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Charentes\LA ROCHE CHALAIS (24) - GF DU BOIS DES PLANTES\Doc fin\"/>
    </mc:Choice>
  </mc:AlternateContent>
  <xr:revisionPtr revIDLastSave="0" documentId="13_ncr:1_{D25E376F-56CA-4D57-A79D-FAFB79002084}" xr6:coauthVersionLast="36" xr6:coauthVersionMax="36" xr10:uidLastSave="{00000000-0000-0000-0000-000000000000}"/>
  <bookViews>
    <workbookView xWindow="0" yWindow="0" windowWidth="28800" windowHeight="12615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6" l="1"/>
  <c r="I23" i="6" l="1"/>
  <c r="I21" i="6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99" i="2" l="1" a="1"/>
  <c r="AH199" i="2" s="1"/>
  <c r="AH19" i="2" a="1"/>
  <c r="AH19" i="2" s="1"/>
  <c r="AH90" i="2" a="1"/>
  <c r="AH90" i="2" s="1"/>
  <c r="AH151" i="2" a="1"/>
  <c r="AH151" i="2" s="1"/>
  <c r="AH163" i="2" a="1"/>
  <c r="AH163" i="2" s="1"/>
  <c r="AH62" i="2" a="1"/>
  <c r="AH62" i="2" s="1"/>
  <c r="AH166" i="2" a="1"/>
  <c r="AH166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M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M6" i="4" s="1"/>
  <c r="F16" i="4"/>
  <c r="BS161" i="2" l="1"/>
  <c r="G16" i="4"/>
  <c r="L16" i="4"/>
  <c r="M16" i="4" s="1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<sst xmlns="http://schemas.openxmlformats.org/spreadsheetml/2006/main" count="1170" uniqueCount="324">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</sst>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1"/>
      <color theme="4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14" borderId="1" xfId="1" applyNumberFormat="1" applyFont="1" applyFill="1" applyBorder="1" applyAlignment="1" applyProtection="1">
      <alignment horizontal="center"/>
      <protection locked="0" hidden="1"/>
    </xf>
    <xf numFmtId="9" fontId="32" fillId="14" borderId="1" xfId="1" applyNumberFormat="1" applyFont="1" applyFill="1" applyBorder="1" applyAlignment="1" applyProtection="1">
      <alignment horizont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2.1351543089605536</c:v>
                </c:pt>
                <c:pt idx="2">
                  <c:v>2.9400965887437809</c:v>
                </c:pt>
                <c:pt idx="3">
                  <c:v>4.0497962162231431</c:v>
                </c:pt>
                <c:pt idx="4">
                  <c:v>5.5800993020168193</c:v>
                </c:pt>
                <c:pt idx="5">
                  <c:v>7.6910522052796955</c:v>
                </c:pt>
                <c:pt idx="6">
                  <c:v>10.603823838311754</c:v>
                </c:pt>
                <c:pt idx="7">
                  <c:v>14.624127196100055</c:v>
                </c:pt>
                <c:pt idx="8">
                  <c:v>20.174643388865338</c:v>
                </c:pt>
                <c:pt idx="9">
                  <c:v>27.839918139949148</c:v>
                </c:pt>
                <c:pt idx="10">
                  <c:v>38.428541572191371</c:v>
                </c:pt>
                <c:pt idx="11">
                  <c:v>53.059282280913983</c:v>
                </c:pt>
                <c:pt idx="12">
                  <c:v>73.28042772070998</c:v>
                </c:pt>
                <c:pt idx="13">
                  <c:v>101.2351647140362</c:v>
                </c:pt>
                <c:pt idx="14">
                  <c:v>104.08100470949104</c:v>
                </c:pt>
                <c:pt idx="15">
                  <c:v>126.56525127580693</c:v>
                </c:pt>
                <c:pt idx="16">
                  <c:v>148.95241602484973</c:v>
                </c:pt>
                <c:pt idx="17">
                  <c:v>171.25918074522826</c:v>
                </c:pt>
                <c:pt idx="18">
                  <c:v>193.49750480852299</c:v>
                </c:pt>
                <c:pt idx="19">
                  <c:v>215.67636522938469</c:v>
                </c:pt>
                <c:pt idx="20">
                  <c:v>185.30042247535178</c:v>
                </c:pt>
                <c:pt idx="21">
                  <c:v>206.63925413557971</c:v>
                </c:pt>
                <c:pt idx="22">
                  <c:v>227.92715942733059</c:v>
                </c:pt>
                <c:pt idx="23">
                  <c:v>249.16956379358496</c:v>
                </c:pt>
                <c:pt idx="24">
                  <c:v>270.37089120353011</c:v>
                </c:pt>
                <c:pt idx="25">
                  <c:v>291.53481477536712</c:v>
                </c:pt>
                <c:pt idx="26">
                  <c:v>239.90544326410898</c:v>
                </c:pt>
                <c:pt idx="27">
                  <c:v>257.6548036297558</c:v>
                </c:pt>
                <c:pt idx="28">
                  <c:v>275.37652518894964</c:v>
                </c:pt>
                <c:pt idx="29">
                  <c:v>293.0726366827804</c:v>
                </c:pt>
                <c:pt idx="30">
                  <c:v>310.74490180919639</c:v>
                </c:pt>
                <c:pt idx="31">
                  <c:v>326.89289569121826</c:v>
                </c:pt>
                <c:pt idx="32">
                  <c:v>343.02327921316777</c:v>
                </c:pt>
                <c:pt idx="33">
                  <c:v>359.13699693842636</c:v>
                </c:pt>
                <c:pt idx="34">
                  <c:v>375.23490175863373</c:v>
                </c:pt>
                <c:pt idx="35">
                  <c:v>391.31776742377127</c:v>
                </c:pt>
                <c:pt idx="36">
                  <c:v>407.38629890446555</c:v>
                </c:pt>
                <c:pt idx="37">
                  <c:v>423.44114103397595</c:v>
                </c:pt>
                <c:pt idx="38">
                  <c:v>439.48288577116256</c:v>
                </c:pt>
                <c:pt idx="39">
                  <c:v>1.0676332069095257E-12</c:v>
                </c:pt>
                <c:pt idx="40">
                  <c:v>1.0676332069095257E-12</c:v>
                </c:pt>
                <c:pt idx="41">
                  <c:v>1.0676332069095257E-12</c:v>
                </c:pt>
                <c:pt idx="42">
                  <c:v>1.0676332069095257E-12</c:v>
                </c:pt>
                <c:pt idx="43">
                  <c:v>1.0676332069095257E-12</c:v>
                </c:pt>
                <c:pt idx="44">
                  <c:v>1.0676332069095257E-12</c:v>
                </c:pt>
                <c:pt idx="45">
                  <c:v>1.0676332069095257E-12</c:v>
                </c:pt>
                <c:pt idx="46">
                  <c:v>1.0676332069095257E-12</c:v>
                </c:pt>
                <c:pt idx="47">
                  <c:v>1.0676332069095257E-12</c:v>
                </c:pt>
                <c:pt idx="48">
                  <c:v>1.0676332069095257E-12</c:v>
                </c:pt>
                <c:pt idx="49">
                  <c:v>1.0676332069095257E-12</c:v>
                </c:pt>
                <c:pt idx="50">
                  <c:v>1.0676332069095257E-12</c:v>
                </c:pt>
                <c:pt idx="51">
                  <c:v>1.0676332069095257E-12</c:v>
                </c:pt>
                <c:pt idx="52">
                  <c:v>1.0676332069095257E-12</c:v>
                </c:pt>
                <c:pt idx="53">
                  <c:v>1.0676332069095257E-12</c:v>
                </c:pt>
                <c:pt idx="54">
                  <c:v>1.0676332069095257E-12</c:v>
                </c:pt>
                <c:pt idx="55">
                  <c:v>1.0676332069095257E-12</c:v>
                </c:pt>
                <c:pt idx="56">
                  <c:v>1.0676332069095257E-12</c:v>
                </c:pt>
                <c:pt idx="57">
                  <c:v>1.0676332069095257E-12</c:v>
                </c:pt>
                <c:pt idx="58">
                  <c:v>1.0676332069095257E-12</c:v>
                </c:pt>
                <c:pt idx="59">
                  <c:v>1.0676332069095257E-12</c:v>
                </c:pt>
                <c:pt idx="60">
                  <c:v>1.0676332069095257E-12</c:v>
                </c:pt>
                <c:pt idx="61">
                  <c:v>1.0676332069095257E-12</c:v>
                </c:pt>
                <c:pt idx="62">
                  <c:v>1.0676332069095257E-12</c:v>
                </c:pt>
                <c:pt idx="63">
                  <c:v>1.0676332069095257E-12</c:v>
                </c:pt>
                <c:pt idx="64">
                  <c:v>1.0676332069095257E-12</c:v>
                </c:pt>
                <c:pt idx="65">
                  <c:v>1.0676332069095257E-12</c:v>
                </c:pt>
                <c:pt idx="66">
                  <c:v>1.0676332069095257E-12</c:v>
                </c:pt>
                <c:pt idx="67">
                  <c:v>1.0676332069095257E-12</c:v>
                </c:pt>
                <c:pt idx="68">
                  <c:v>1.0676332069095257E-12</c:v>
                </c:pt>
                <c:pt idx="69">
                  <c:v>1.0676332069095257E-12</c:v>
                </c:pt>
                <c:pt idx="70">
                  <c:v>1.0676332069095257E-12</c:v>
                </c:pt>
                <c:pt idx="71">
                  <c:v>1.0676332069095257E-12</c:v>
                </c:pt>
                <c:pt idx="72">
                  <c:v>1.0676332069095257E-12</c:v>
                </c:pt>
                <c:pt idx="73">
                  <c:v>1.0676332069095257E-12</c:v>
                </c:pt>
                <c:pt idx="74">
                  <c:v>1.0676332069095257E-12</c:v>
                </c:pt>
                <c:pt idx="75">
                  <c:v>1.0676332069095257E-12</c:v>
                </c:pt>
                <c:pt idx="76">
                  <c:v>1.0676332069095257E-12</c:v>
                </c:pt>
                <c:pt idx="77">
                  <c:v>1.0676332069095257E-12</c:v>
                </c:pt>
                <c:pt idx="78">
                  <c:v>1.0676332069095257E-12</c:v>
                </c:pt>
                <c:pt idx="79">
                  <c:v>1.0676332069095257E-12</c:v>
                </c:pt>
                <c:pt idx="80">
                  <c:v>1.0676332069095257E-12</c:v>
                </c:pt>
                <c:pt idx="81">
                  <c:v>1.0676332069095257E-12</c:v>
                </c:pt>
                <c:pt idx="82">
                  <c:v>1.0676332069095257E-12</c:v>
                </c:pt>
                <c:pt idx="83">
                  <c:v>1.0676332069095257E-12</c:v>
                </c:pt>
                <c:pt idx="84">
                  <c:v>1.0676332069095257E-12</c:v>
                </c:pt>
                <c:pt idx="85">
                  <c:v>1.0676332069095257E-12</c:v>
                </c:pt>
                <c:pt idx="86">
                  <c:v>1.0676332069095257E-12</c:v>
                </c:pt>
                <c:pt idx="87">
                  <c:v>1.0676332069095257E-12</c:v>
                </c:pt>
                <c:pt idx="88">
                  <c:v>1.0676332069095257E-12</c:v>
                </c:pt>
                <c:pt idx="89">
                  <c:v>1.0676332069095257E-12</c:v>
                </c:pt>
                <c:pt idx="90">
                  <c:v>1.0676332069095257E-12</c:v>
                </c:pt>
                <c:pt idx="91">
                  <c:v>1.0676332069095257E-12</c:v>
                </c:pt>
                <c:pt idx="92">
                  <c:v>1.0676332069095257E-12</c:v>
                </c:pt>
                <c:pt idx="93">
                  <c:v>1.0676332069095257E-12</c:v>
                </c:pt>
                <c:pt idx="94">
                  <c:v>1.0676332069095257E-12</c:v>
                </c:pt>
                <c:pt idx="95">
                  <c:v>1.0676332069095257E-12</c:v>
                </c:pt>
                <c:pt idx="96">
                  <c:v>1.0676332069095257E-12</c:v>
                </c:pt>
                <c:pt idx="97">
                  <c:v>1.0676332069095257E-12</c:v>
                </c:pt>
                <c:pt idx="98">
                  <c:v>1.0676332069095257E-12</c:v>
                </c:pt>
                <c:pt idx="99">
                  <c:v>1.0676332069095257E-12</c:v>
                </c:pt>
                <c:pt idx="100">
                  <c:v>1.0676332069095257E-12</c:v>
                </c:pt>
                <c:pt idx="101">
                  <c:v>1.0676332069095257E-12</c:v>
                </c:pt>
                <c:pt idx="102">
                  <c:v>1.0676332069095257E-12</c:v>
                </c:pt>
                <c:pt idx="103">
                  <c:v>1.0676332069095257E-12</c:v>
                </c:pt>
                <c:pt idx="104">
                  <c:v>1.0676332069095257E-12</c:v>
                </c:pt>
                <c:pt idx="105">
                  <c:v>1.0676332069095257E-12</c:v>
                </c:pt>
                <c:pt idx="106">
                  <c:v>1.0676332069095257E-12</c:v>
                </c:pt>
                <c:pt idx="107">
                  <c:v>1.0676332069095257E-12</c:v>
                </c:pt>
                <c:pt idx="108">
                  <c:v>1.0676332069095257E-12</c:v>
                </c:pt>
                <c:pt idx="109">
                  <c:v>1.0676332069095257E-12</c:v>
                </c:pt>
                <c:pt idx="110">
                  <c:v>1.0676332069095257E-12</c:v>
                </c:pt>
                <c:pt idx="111">
                  <c:v>1.0676332069095257E-12</c:v>
                </c:pt>
                <c:pt idx="112">
                  <c:v>1.0676332069095257E-12</c:v>
                </c:pt>
                <c:pt idx="113">
                  <c:v>1.0676332069095257E-12</c:v>
                </c:pt>
                <c:pt idx="114">
                  <c:v>1.0676332069095257E-12</c:v>
                </c:pt>
                <c:pt idx="115">
                  <c:v>1.0676332069095257E-12</c:v>
                </c:pt>
                <c:pt idx="116">
                  <c:v>1.0676332069095257E-12</c:v>
                </c:pt>
                <c:pt idx="117">
                  <c:v>1.0676332069095257E-12</c:v>
                </c:pt>
                <c:pt idx="118">
                  <c:v>1.0676332069095257E-12</c:v>
                </c:pt>
                <c:pt idx="119">
                  <c:v>1.0676332069095257E-12</c:v>
                </c:pt>
                <c:pt idx="120">
                  <c:v>1.0676332069095257E-12</c:v>
                </c:pt>
                <c:pt idx="121">
                  <c:v>1.0676332069095257E-12</c:v>
                </c:pt>
                <c:pt idx="122">
                  <c:v>1.0676332069095257E-12</c:v>
                </c:pt>
                <c:pt idx="123">
                  <c:v>1.0676332069095257E-12</c:v>
                </c:pt>
                <c:pt idx="124">
                  <c:v>1.0676332069095257E-12</c:v>
                </c:pt>
                <c:pt idx="125">
                  <c:v>1.0676332069095257E-12</c:v>
                </c:pt>
                <c:pt idx="126">
                  <c:v>1.0676332069095257E-12</c:v>
                </c:pt>
                <c:pt idx="127">
                  <c:v>1.0676332069095257E-12</c:v>
                </c:pt>
                <c:pt idx="128">
                  <c:v>1.0676332069095257E-12</c:v>
                </c:pt>
                <c:pt idx="129">
                  <c:v>1.0676332069095257E-12</c:v>
                </c:pt>
                <c:pt idx="130">
                  <c:v>1.0676332069095257E-12</c:v>
                </c:pt>
                <c:pt idx="131">
                  <c:v>1.0676332069095257E-12</c:v>
                </c:pt>
                <c:pt idx="132">
                  <c:v>1.0676332069095257E-12</c:v>
                </c:pt>
                <c:pt idx="133">
                  <c:v>1.0676332069095257E-12</c:v>
                </c:pt>
                <c:pt idx="134">
                  <c:v>1.0676332069095257E-12</c:v>
                </c:pt>
                <c:pt idx="135">
                  <c:v>1.0676332069095257E-12</c:v>
                </c:pt>
                <c:pt idx="136">
                  <c:v>1.0676332069095257E-12</c:v>
                </c:pt>
                <c:pt idx="137">
                  <c:v>1.0676332069095257E-12</c:v>
                </c:pt>
                <c:pt idx="138">
                  <c:v>1.0676332069095257E-12</c:v>
                </c:pt>
                <c:pt idx="139">
                  <c:v>1.0676332069095257E-12</c:v>
                </c:pt>
                <c:pt idx="140">
                  <c:v>1.0676332069095257E-12</c:v>
                </c:pt>
                <c:pt idx="141">
                  <c:v>1.0676332069095257E-12</c:v>
                </c:pt>
                <c:pt idx="142">
                  <c:v>1.0676332069095257E-12</c:v>
                </c:pt>
                <c:pt idx="143">
                  <c:v>1.0676332069095257E-12</c:v>
                </c:pt>
                <c:pt idx="144">
                  <c:v>1.0676332069095257E-12</c:v>
                </c:pt>
                <c:pt idx="145">
                  <c:v>1.0676332069095257E-12</c:v>
                </c:pt>
                <c:pt idx="146">
                  <c:v>1.0676332069095257E-12</c:v>
                </c:pt>
                <c:pt idx="147">
                  <c:v>1.0676332069095257E-12</c:v>
                </c:pt>
                <c:pt idx="148">
                  <c:v>1.0676332069095257E-12</c:v>
                </c:pt>
                <c:pt idx="149">
                  <c:v>1.0676332069095257E-12</c:v>
                </c:pt>
                <c:pt idx="150">
                  <c:v>1.0676332069095257E-12</c:v>
                </c:pt>
                <c:pt idx="151">
                  <c:v>1.0676332069095257E-12</c:v>
                </c:pt>
                <c:pt idx="152">
                  <c:v>1.0676332069095257E-12</c:v>
                </c:pt>
                <c:pt idx="153">
                  <c:v>1.0676332069095257E-12</c:v>
                </c:pt>
                <c:pt idx="154">
                  <c:v>1.0676332069095257E-12</c:v>
                </c:pt>
                <c:pt idx="155">
                  <c:v>1.0676332069095257E-12</c:v>
                </c:pt>
                <c:pt idx="156">
                  <c:v>1.0676332069095257E-12</c:v>
                </c:pt>
                <c:pt idx="157">
                  <c:v>1.0676332069095257E-12</c:v>
                </c:pt>
                <c:pt idx="158">
                  <c:v>1.0676332069095257E-12</c:v>
                </c:pt>
                <c:pt idx="159">
                  <c:v>1.0676332069095257E-12</c:v>
                </c:pt>
                <c:pt idx="160">
                  <c:v>1.0676332069095257E-12</c:v>
                </c:pt>
                <c:pt idx="161">
                  <c:v>1.0676332069095257E-12</c:v>
                </c:pt>
                <c:pt idx="162">
                  <c:v>1.0676332069095257E-12</c:v>
                </c:pt>
                <c:pt idx="163">
                  <c:v>1.0676332069095257E-12</c:v>
                </c:pt>
                <c:pt idx="164">
                  <c:v>1.0676332069095257E-12</c:v>
                </c:pt>
                <c:pt idx="165">
                  <c:v>1.0676332069095257E-12</c:v>
                </c:pt>
                <c:pt idx="166">
                  <c:v>1.0676332069095257E-12</c:v>
                </c:pt>
                <c:pt idx="167">
                  <c:v>1.0676332069095257E-12</c:v>
                </c:pt>
                <c:pt idx="168">
                  <c:v>1.0676332069095257E-12</c:v>
                </c:pt>
                <c:pt idx="169">
                  <c:v>1.0676332069095257E-12</c:v>
                </c:pt>
                <c:pt idx="170">
                  <c:v>1.0676332069095257E-12</c:v>
                </c:pt>
                <c:pt idx="171">
                  <c:v>1.0676332069095257E-12</c:v>
                </c:pt>
                <c:pt idx="172">
                  <c:v>1.0676332069095257E-12</c:v>
                </c:pt>
                <c:pt idx="173">
                  <c:v>1.0676332069095257E-12</c:v>
                </c:pt>
                <c:pt idx="174">
                  <c:v>1.0676332069095257E-12</c:v>
                </c:pt>
                <c:pt idx="175">
                  <c:v>1.0676332069095257E-12</c:v>
                </c:pt>
                <c:pt idx="176">
                  <c:v>1.0676332069095257E-12</c:v>
                </c:pt>
                <c:pt idx="177">
                  <c:v>1.0676332069095257E-12</c:v>
                </c:pt>
                <c:pt idx="178">
                  <c:v>1.0676332069095257E-12</c:v>
                </c:pt>
                <c:pt idx="179">
                  <c:v>1.0676332069095257E-12</c:v>
                </c:pt>
                <c:pt idx="180">
                  <c:v>1.0676332069095257E-12</c:v>
                </c:pt>
                <c:pt idx="181">
                  <c:v>1.0676332069095257E-12</c:v>
                </c:pt>
                <c:pt idx="182">
                  <c:v>1.0676332069095257E-12</c:v>
                </c:pt>
                <c:pt idx="183">
                  <c:v>1.0676332069095257E-12</c:v>
                </c:pt>
                <c:pt idx="184">
                  <c:v>1.0676332069095257E-12</c:v>
                </c:pt>
                <c:pt idx="185">
                  <c:v>1.0676332069095257E-12</c:v>
                </c:pt>
                <c:pt idx="186">
                  <c:v>1.0676332069095257E-12</c:v>
                </c:pt>
                <c:pt idx="187">
                  <c:v>1.0676332069095257E-12</c:v>
                </c:pt>
                <c:pt idx="188">
                  <c:v>1.0676332069095257E-12</c:v>
                </c:pt>
                <c:pt idx="189">
                  <c:v>1.0676332069095257E-12</c:v>
                </c:pt>
                <c:pt idx="190">
                  <c:v>1.0676332069095257E-12</c:v>
                </c:pt>
                <c:pt idx="191">
                  <c:v>1.0676332069095257E-12</c:v>
                </c:pt>
                <c:pt idx="192">
                  <c:v>1.0676332069095257E-12</c:v>
                </c:pt>
                <c:pt idx="193">
                  <c:v>1.0676332069095257E-12</c:v>
                </c:pt>
                <c:pt idx="194">
                  <c:v>1.0676332069095257E-12</c:v>
                </c:pt>
                <c:pt idx="195">
                  <c:v>1.0676332069095257E-12</c:v>
                </c:pt>
                <c:pt idx="196">
                  <c:v>1.0676332069095257E-12</c:v>
                </c:pt>
                <c:pt idx="197">
                  <c:v>1.0676332069095257E-12</c:v>
                </c:pt>
                <c:pt idx="198">
                  <c:v>1.0676332069095257E-12</c:v>
                </c:pt>
                <c:pt idx="199">
                  <c:v>1.0676332069095257E-12</c:v>
                </c:pt>
                <c:pt idx="200">
                  <c:v>1.0676332069095257E-12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1.4510163117544339</c:v>
                </c:pt>
                <c:pt idx="2">
                  <c:v>1.7182720127011295</c:v>
                </c:pt>
                <c:pt idx="3">
                  <c:v>2.0349393412568815</c:v>
                </c:pt>
                <c:pt idx="4">
                  <c:v>2.4101865717740352</c:v>
                </c:pt>
                <c:pt idx="5">
                  <c:v>2.8548888689670626</c:v>
                </c:pt>
                <c:pt idx="6">
                  <c:v>3.3819470622862799</c:v>
                </c:pt>
                <c:pt idx="7">
                  <c:v>4.0066661265715924</c:v>
                </c:pt>
                <c:pt idx="8">
                  <c:v>4.7472045818179396</c:v>
                </c:pt>
                <c:pt idx="9">
                  <c:v>5.6251081358022832</c:v>
                </c:pt>
                <c:pt idx="10">
                  <c:v>6.66594340252517</c:v>
                </c:pt>
                <c:pt idx="11">
                  <c:v>7.9000505122077564</c:v>
                </c:pt>
                <c:pt idx="12">
                  <c:v>9.3634369745195816</c:v>
                </c:pt>
                <c:pt idx="13">
                  <c:v>11.098839372322871</c:v>
                </c:pt>
                <c:pt idx="14">
                  <c:v>13.156984475223274</c:v>
                </c:pt>
                <c:pt idx="15">
                  <c:v>15.598087321351393</c:v>
                </c:pt>
                <c:pt idx="16">
                  <c:v>18.493630901380524</c:v>
                </c:pt>
                <c:pt idx="17">
                  <c:v>21.928480504136356</c:v>
                </c:pt>
                <c:pt idx="18">
                  <c:v>26.003395802062048</c:v>
                </c:pt>
                <c:pt idx="19">
                  <c:v>30.838015669207337</c:v>
                </c:pt>
                <c:pt idx="20">
                  <c:v>36.574404893556029</c:v>
                </c:pt>
                <c:pt idx="21">
                  <c:v>43.381268796828387</c:v>
                </c:pt>
                <c:pt idx="22">
                  <c:v>51.458961816982743</c:v>
                </c:pt>
                <c:pt idx="23">
                  <c:v>61.045439946672957</c:v>
                </c:pt>
                <c:pt idx="24">
                  <c:v>72.423335275022851</c:v>
                </c:pt>
                <c:pt idx="25">
                  <c:v>85.928364607203278</c:v>
                </c:pt>
                <c:pt idx="26">
                  <c:v>101.95932425623626</c:v>
                </c:pt>
                <c:pt idx="27">
                  <c:v>120.98997082782786</c:v>
                </c:pt>
                <c:pt idx="28">
                  <c:v>143.58314459619342</c:v>
                </c:pt>
                <c:pt idx="29">
                  <c:v>170.40755961577079</c:v>
                </c:pt>
                <c:pt idx="30">
                  <c:v>202.25776507632233</c:v>
                </c:pt>
                <c:pt idx="31">
                  <c:v>219.43455992571219</c:v>
                </c:pt>
                <c:pt idx="32">
                  <c:v>236.58047440215805</c:v>
                </c:pt>
                <c:pt idx="33">
                  <c:v>253.69806161385125</c:v>
                </c:pt>
                <c:pt idx="34">
                  <c:v>270.78950182200458</c:v>
                </c:pt>
                <c:pt idx="35">
                  <c:v>287.85667749117107</c:v>
                </c:pt>
                <c:pt idx="36">
                  <c:v>307.47751968587681</c:v>
                </c:pt>
                <c:pt idx="37">
                  <c:v>327.07055190951706</c:v>
                </c:pt>
                <c:pt idx="38">
                  <c:v>346.63767379575575</c:v>
                </c:pt>
                <c:pt idx="39">
                  <c:v>366.18055305066923</c:v>
                </c:pt>
                <c:pt idx="40">
                  <c:v>385.70066489261848</c:v>
                </c:pt>
                <c:pt idx="41">
                  <c:v>405.19932308802726</c:v>
                </c:pt>
                <c:pt idx="42">
                  <c:v>424.67770470015256</c:v>
                </c:pt>
                <c:pt idx="43">
                  <c:v>263.75488986167073</c:v>
                </c:pt>
                <c:pt idx="44">
                  <c:v>281.33374857482306</c:v>
                </c:pt>
                <c:pt idx="45">
                  <c:v>298.88799440275955</c:v>
                </c:pt>
                <c:pt idx="46">
                  <c:v>316.41927606814937</c:v>
                </c:pt>
                <c:pt idx="47">
                  <c:v>333.92904467751265</c:v>
                </c:pt>
                <c:pt idx="48">
                  <c:v>351.41858674477544</c:v>
                </c:pt>
                <c:pt idx="49">
                  <c:v>368.88905029363542</c:v>
                </c:pt>
                <c:pt idx="50">
                  <c:v>285.84997848413349</c:v>
                </c:pt>
                <c:pt idx="51">
                  <c:v>302.89711380319778</c:v>
                </c:pt>
                <c:pt idx="52">
                  <c:v>319.92290747907685</c:v>
                </c:pt>
                <c:pt idx="53">
                  <c:v>336.92865492077641</c:v>
                </c:pt>
                <c:pt idx="54">
                  <c:v>353.91551010384433</c:v>
                </c:pt>
                <c:pt idx="55">
                  <c:v>370.8845072011041</c:v>
                </c:pt>
                <c:pt idx="56">
                  <c:v>387.83657804664409</c:v>
                </c:pt>
                <c:pt idx="57">
                  <c:v>323.92601839985667</c:v>
                </c:pt>
                <c:pt idx="58">
                  <c:v>340.5940472434072</c:v>
                </c:pt>
                <c:pt idx="59">
                  <c:v>357.24414130207191</c:v>
                </c:pt>
                <c:pt idx="60">
                  <c:v>373.87725393504792</c:v>
                </c:pt>
                <c:pt idx="61">
                  <c:v>390.49424676672476</c:v>
                </c:pt>
                <c:pt idx="62">
                  <c:v>407.09590212284866</c:v>
                </c:pt>
                <c:pt idx="63">
                  <c:v>423.68293333202695</c:v>
                </c:pt>
                <c:pt idx="64">
                  <c:v>360.90485169292782</c:v>
                </c:pt>
                <c:pt idx="65">
                  <c:v>377.01195254107012</c:v>
                </c:pt>
                <c:pt idx="66">
                  <c:v>393.10407505348206</c:v>
                </c:pt>
                <c:pt idx="67">
                  <c:v>409.18191855919605</c:v>
                </c:pt>
                <c:pt idx="68">
                  <c:v>425.24612295883844</c:v>
                </c:pt>
                <c:pt idx="69">
                  <c:v>441.29727587562394</c:v>
                </c:pt>
                <c:pt idx="70">
                  <c:v>457.33591871178055</c:v>
                </c:pt>
                <c:pt idx="71">
                  <c:v>473.36255181121805</c:v>
                </c:pt>
                <c:pt idx="72">
                  <c:v>397.80082102983096</c:v>
                </c:pt>
                <c:pt idx="73">
                  <c:v>412.87929311615432</c:v>
                </c:pt>
                <c:pt idx="74">
                  <c:v>427.9458868443873</c:v>
                </c:pt>
                <c:pt idx="75">
                  <c:v>443.00107921654762</c:v>
                </c:pt>
                <c:pt idx="76">
                  <c:v>458.04531217587032</c:v>
                </c:pt>
                <c:pt idx="77">
                  <c:v>473.07899627438695</c:v>
                </c:pt>
                <c:pt idx="78">
                  <c:v>488.10251385009468</c:v>
                </c:pt>
                <c:pt idx="79">
                  <c:v>503.11622179266891</c:v>
                </c:pt>
                <c:pt idx="80">
                  <c:v>430.64528450788265</c:v>
                </c:pt>
                <c:pt idx="81">
                  <c:v>444.70474213522584</c:v>
                </c:pt>
                <c:pt idx="82">
                  <c:v>458.75468217404813</c:v>
                </c:pt>
                <c:pt idx="83">
                  <c:v>472.79543711904148</c:v>
                </c:pt>
                <c:pt idx="84">
                  <c:v>486.82731810980704</c:v>
                </c:pt>
                <c:pt idx="85">
                  <c:v>500.85061689127627</c:v>
                </c:pt>
                <c:pt idx="86">
                  <c:v>514.86560754318418</c:v>
                </c:pt>
                <c:pt idx="87">
                  <c:v>528.87254801147901</c:v>
                </c:pt>
                <c:pt idx="88">
                  <c:v>454.4981093621966</c:v>
                </c:pt>
                <c:pt idx="89">
                  <c:v>467.40712233198633</c:v>
                </c:pt>
                <c:pt idx="90">
                  <c:v>480.30853891265838</c:v>
                </c:pt>
                <c:pt idx="91">
                  <c:v>493.20259187340326</c:v>
                </c:pt>
                <c:pt idx="92">
                  <c:v>506.08950082174624</c:v>
                </c:pt>
                <c:pt idx="93">
                  <c:v>518.96947327099576</c:v>
                </c:pt>
                <c:pt idx="94">
                  <c:v>531.84270559622928</c:v>
                </c:pt>
                <c:pt idx="95">
                  <c:v>544.70938389292303</c:v>
                </c:pt>
                <c:pt idx="96">
                  <c:v>287.85667749117147</c:v>
                </c:pt>
                <c:pt idx="97">
                  <c:v>296.43738794697089</c:v>
                </c:pt>
                <c:pt idx="98">
                  <c:v>305.01256073997416</c:v>
                </c:pt>
                <c:pt idx="99">
                  <c:v>313.58237364476804</c:v>
                </c:pt>
                <c:pt idx="100">
                  <c:v>322.14699391797217</c:v>
                </c:pt>
                <c:pt idx="101">
                  <c:v>330.70657918974769</c:v>
                </c:pt>
                <c:pt idx="102">
                  <c:v>339.2612782581262</c:v>
                </c:pt>
                <c:pt idx="103">
                  <c:v>347.81123179898628</c:v>
                </c:pt>
                <c:pt idx="104">
                  <c:v>356.35657300253342</c:v>
                </c:pt>
                <c:pt idx="105">
                  <c:v>364.89742814550806</c:v>
                </c:pt>
                <c:pt idx="106">
                  <c:v>4.2330868906469593E-12</c:v>
                </c:pt>
                <c:pt idx="107">
                  <c:v>4.2330868906469593E-12</c:v>
                </c:pt>
                <c:pt idx="108">
                  <c:v>4.2330868906469593E-12</c:v>
                </c:pt>
                <c:pt idx="109">
                  <c:v>4.2330868906469593E-12</c:v>
                </c:pt>
                <c:pt idx="110">
                  <c:v>4.2330868906469593E-12</c:v>
                </c:pt>
                <c:pt idx="111">
                  <c:v>4.2330868906469593E-12</c:v>
                </c:pt>
                <c:pt idx="112">
                  <c:v>4.2330868906469593E-12</c:v>
                </c:pt>
                <c:pt idx="113">
                  <c:v>4.2330868906469593E-12</c:v>
                </c:pt>
                <c:pt idx="114">
                  <c:v>4.2330868906469593E-12</c:v>
                </c:pt>
                <c:pt idx="115">
                  <c:v>4.2330868906469593E-12</c:v>
                </c:pt>
                <c:pt idx="116">
                  <c:v>4.2330868906469593E-12</c:v>
                </c:pt>
                <c:pt idx="117">
                  <c:v>4.2330868906469593E-12</c:v>
                </c:pt>
                <c:pt idx="118">
                  <c:v>4.2330868906469593E-12</c:v>
                </c:pt>
                <c:pt idx="119">
                  <c:v>4.2330868906469593E-12</c:v>
                </c:pt>
                <c:pt idx="120">
                  <c:v>4.2330868906469593E-12</c:v>
                </c:pt>
                <c:pt idx="121">
                  <c:v>4.2330868906469593E-12</c:v>
                </c:pt>
                <c:pt idx="122">
                  <c:v>4.2330868906469593E-12</c:v>
                </c:pt>
                <c:pt idx="123">
                  <c:v>4.2330868906469593E-12</c:v>
                </c:pt>
                <c:pt idx="124">
                  <c:v>4.2330868906469593E-12</c:v>
                </c:pt>
                <c:pt idx="125">
                  <c:v>4.2330868906469593E-12</c:v>
                </c:pt>
                <c:pt idx="126">
                  <c:v>4.2330868906469593E-12</c:v>
                </c:pt>
                <c:pt idx="127">
                  <c:v>4.2330868906469593E-12</c:v>
                </c:pt>
                <c:pt idx="128">
                  <c:v>4.2330868906469593E-12</c:v>
                </c:pt>
                <c:pt idx="129">
                  <c:v>4.2330868906469593E-12</c:v>
                </c:pt>
                <c:pt idx="130">
                  <c:v>4.2330868906469593E-12</c:v>
                </c:pt>
                <c:pt idx="131">
                  <c:v>4.2330868906469593E-12</c:v>
                </c:pt>
                <c:pt idx="132">
                  <c:v>4.2330868906469593E-12</c:v>
                </c:pt>
                <c:pt idx="133">
                  <c:v>4.2330868906469593E-12</c:v>
                </c:pt>
                <c:pt idx="134">
                  <c:v>4.2330868906469593E-12</c:v>
                </c:pt>
                <c:pt idx="135">
                  <c:v>4.2330868906469593E-12</c:v>
                </c:pt>
                <c:pt idx="136">
                  <c:v>4.2330868906469593E-12</c:v>
                </c:pt>
                <c:pt idx="137">
                  <c:v>4.2330868906469593E-12</c:v>
                </c:pt>
                <c:pt idx="138">
                  <c:v>4.2330868906469593E-12</c:v>
                </c:pt>
                <c:pt idx="139">
                  <c:v>4.2330868906469593E-12</c:v>
                </c:pt>
                <c:pt idx="140">
                  <c:v>4.2330868906469593E-12</c:v>
                </c:pt>
                <c:pt idx="141">
                  <c:v>4.2330868906469593E-12</c:v>
                </c:pt>
                <c:pt idx="142">
                  <c:v>4.2330868906469593E-12</c:v>
                </c:pt>
                <c:pt idx="143">
                  <c:v>4.2330868906469593E-12</c:v>
                </c:pt>
                <c:pt idx="144">
                  <c:v>4.2330868906469593E-12</c:v>
                </c:pt>
                <c:pt idx="145">
                  <c:v>4.2330868906469593E-12</c:v>
                </c:pt>
                <c:pt idx="146">
                  <c:v>4.2330868906469593E-12</c:v>
                </c:pt>
                <c:pt idx="147">
                  <c:v>4.2330868906469593E-12</c:v>
                </c:pt>
                <c:pt idx="148">
                  <c:v>4.2330868906469593E-12</c:v>
                </c:pt>
                <c:pt idx="149">
                  <c:v>4.2330868906469593E-12</c:v>
                </c:pt>
                <c:pt idx="150">
                  <c:v>4.2330868906469593E-12</c:v>
                </c:pt>
                <c:pt idx="151">
                  <c:v>4.2330868906469593E-12</c:v>
                </c:pt>
                <c:pt idx="152">
                  <c:v>4.2330868906469593E-12</c:v>
                </c:pt>
                <c:pt idx="153">
                  <c:v>4.2330868906469593E-12</c:v>
                </c:pt>
                <c:pt idx="154">
                  <c:v>4.2330868906469593E-12</c:v>
                </c:pt>
                <c:pt idx="155">
                  <c:v>4.2330868906469593E-12</c:v>
                </c:pt>
                <c:pt idx="156">
                  <c:v>4.2330868906469593E-12</c:v>
                </c:pt>
                <c:pt idx="157">
                  <c:v>4.2330868906469593E-12</c:v>
                </c:pt>
                <c:pt idx="158">
                  <c:v>4.2330868906469593E-12</c:v>
                </c:pt>
                <c:pt idx="159">
                  <c:v>4.2330868906469593E-12</c:v>
                </c:pt>
                <c:pt idx="160">
                  <c:v>4.2330868906469593E-12</c:v>
                </c:pt>
                <c:pt idx="161">
                  <c:v>4.2330868906469593E-12</c:v>
                </c:pt>
                <c:pt idx="162">
                  <c:v>4.2330868906469593E-12</c:v>
                </c:pt>
                <c:pt idx="163">
                  <c:v>4.2330868906469593E-12</c:v>
                </c:pt>
                <c:pt idx="164">
                  <c:v>4.2330868906469593E-12</c:v>
                </c:pt>
                <c:pt idx="165">
                  <c:v>4.2330868906469593E-12</c:v>
                </c:pt>
                <c:pt idx="166">
                  <c:v>4.2330868906469593E-12</c:v>
                </c:pt>
                <c:pt idx="167">
                  <c:v>4.2330868906469593E-12</c:v>
                </c:pt>
                <c:pt idx="168">
                  <c:v>4.2330868906469593E-12</c:v>
                </c:pt>
                <c:pt idx="169">
                  <c:v>4.2330868906469593E-12</c:v>
                </c:pt>
                <c:pt idx="170">
                  <c:v>4.2330868906469593E-12</c:v>
                </c:pt>
                <c:pt idx="171">
                  <c:v>4.2330868906469593E-12</c:v>
                </c:pt>
                <c:pt idx="172">
                  <c:v>4.2330868906469593E-12</c:v>
                </c:pt>
                <c:pt idx="173">
                  <c:v>4.2330868906469593E-12</c:v>
                </c:pt>
                <c:pt idx="174">
                  <c:v>4.2330868906469593E-12</c:v>
                </c:pt>
                <c:pt idx="175">
                  <c:v>4.2330868906469593E-12</c:v>
                </c:pt>
                <c:pt idx="176">
                  <c:v>4.2330868906469593E-12</c:v>
                </c:pt>
                <c:pt idx="177">
                  <c:v>4.2330868906469593E-12</c:v>
                </c:pt>
                <c:pt idx="178">
                  <c:v>4.2330868906469593E-12</c:v>
                </c:pt>
                <c:pt idx="179">
                  <c:v>4.2330868906469593E-12</c:v>
                </c:pt>
                <c:pt idx="180">
                  <c:v>4.2330868906469593E-12</c:v>
                </c:pt>
                <c:pt idx="181">
                  <c:v>4.2330868906469593E-12</c:v>
                </c:pt>
                <c:pt idx="182">
                  <c:v>4.2330868906469593E-12</c:v>
                </c:pt>
                <c:pt idx="183">
                  <c:v>4.2330868906469593E-12</c:v>
                </c:pt>
                <c:pt idx="184">
                  <c:v>4.2330868906469593E-12</c:v>
                </c:pt>
                <c:pt idx="185">
                  <c:v>4.2330868906469593E-12</c:v>
                </c:pt>
                <c:pt idx="186">
                  <c:v>4.2330868906469593E-12</c:v>
                </c:pt>
                <c:pt idx="187">
                  <c:v>4.2330868906469593E-12</c:v>
                </c:pt>
                <c:pt idx="188">
                  <c:v>4.2330868906469593E-12</c:v>
                </c:pt>
                <c:pt idx="189">
                  <c:v>4.2330868906469593E-12</c:v>
                </c:pt>
                <c:pt idx="190">
                  <c:v>4.2330868906469593E-12</c:v>
                </c:pt>
                <c:pt idx="191">
                  <c:v>4.2330868906469593E-12</c:v>
                </c:pt>
                <c:pt idx="192">
                  <c:v>4.2330868906469593E-12</c:v>
                </c:pt>
                <c:pt idx="193">
                  <c:v>4.2330868906469593E-12</c:v>
                </c:pt>
                <c:pt idx="194">
                  <c:v>4.2330868906469593E-12</c:v>
                </c:pt>
                <c:pt idx="195">
                  <c:v>4.2330868906469593E-12</c:v>
                </c:pt>
                <c:pt idx="196">
                  <c:v>4.2330868906469593E-12</c:v>
                </c:pt>
                <c:pt idx="197">
                  <c:v>4.2330868906469593E-12</c:v>
                </c:pt>
                <c:pt idx="198">
                  <c:v>4.2330868906469593E-12</c:v>
                </c:pt>
                <c:pt idx="199">
                  <c:v>4.2330868906469593E-12</c:v>
                </c:pt>
                <c:pt idx="200">
                  <c:v>4.2330868906469593E-12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4" t="s">
        <v>291</v>
      </c>
      <c r="C12" s="294"/>
      <c r="D12" s="294"/>
      <c r="E12" s="294"/>
      <c r="F12" s="294"/>
      <c r="G12" s="294"/>
      <c r="H12" s="294"/>
      <c r="I12" s="294"/>
      <c r="J12" s="294"/>
      <c r="K12" s="294"/>
      <c r="L12" s="294"/>
      <c r="M12" s="294"/>
    </row>
    <row r="13" spans="2:13" ht="15" customHeight="1" x14ac:dyDescent="0.25">
      <c r="B13" s="294"/>
      <c r="C13" s="294"/>
      <c r="D13" s="294"/>
      <c r="E13" s="294"/>
      <c r="F13" s="294"/>
      <c r="G13" s="294"/>
      <c r="H13" s="294"/>
      <c r="I13" s="294"/>
      <c r="J13" s="294"/>
      <c r="K13" s="294"/>
      <c r="L13" s="294"/>
      <c r="M13" s="294"/>
    </row>
    <row r="14" spans="2:13" ht="15" customHeight="1" x14ac:dyDescent="0.25">
      <c r="B14" s="294"/>
      <c r="C14" s="294"/>
      <c r="D14" s="294"/>
      <c r="E14" s="294"/>
      <c r="F14" s="294"/>
      <c r="G14" s="294"/>
      <c r="H14" s="294"/>
      <c r="I14" s="294"/>
      <c r="J14" s="294"/>
      <c r="K14" s="294"/>
      <c r="L14" s="294"/>
      <c r="M14" s="294"/>
    </row>
    <row r="15" spans="2:13" ht="18.75" customHeight="1" x14ac:dyDescent="0.25">
      <c r="B15" s="294"/>
      <c r="C15" s="294"/>
      <c r="D15" s="294"/>
      <c r="E15" s="294"/>
      <c r="F15" s="294"/>
      <c r="G15" s="294"/>
      <c r="H15" s="294"/>
      <c r="I15" s="294"/>
      <c r="J15" s="294"/>
      <c r="K15" s="294"/>
      <c r="L15" s="294"/>
      <c r="M15" s="294"/>
    </row>
    <row r="16" spans="2:13" ht="18.75" customHeight="1" x14ac:dyDescent="0.25">
      <c r="B16" s="294"/>
      <c r="C16" s="294"/>
      <c r="D16" s="294"/>
      <c r="E16" s="294"/>
      <c r="F16" s="294"/>
      <c r="G16" s="294"/>
      <c r="H16" s="294"/>
      <c r="I16" s="294"/>
      <c r="J16" s="294"/>
      <c r="K16" s="294"/>
      <c r="L16" s="294"/>
      <c r="M16" s="294"/>
    </row>
    <row r="18" spans="2:13" ht="12" customHeight="1" x14ac:dyDescent="0.25">
      <c r="B18" s="294" t="s">
        <v>292</v>
      </c>
      <c r="C18" s="294"/>
      <c r="D18" s="294"/>
      <c r="E18" s="294"/>
      <c r="F18" s="294"/>
      <c r="G18" s="294"/>
      <c r="H18" s="294"/>
      <c r="I18" s="294"/>
      <c r="J18" s="294"/>
      <c r="K18" s="294"/>
      <c r="L18" s="294"/>
      <c r="M18" s="294"/>
    </row>
    <row r="19" spans="2:13" ht="12" customHeight="1" x14ac:dyDescent="0.25">
      <c r="B19" s="294"/>
      <c r="C19" s="294"/>
      <c r="D19" s="294"/>
      <c r="E19" s="294"/>
      <c r="F19" s="294"/>
      <c r="G19" s="294"/>
      <c r="H19" s="294"/>
      <c r="I19" s="294"/>
      <c r="J19" s="294"/>
      <c r="K19" s="294"/>
      <c r="L19" s="294"/>
      <c r="M19" s="294"/>
    </row>
    <row r="20" spans="2:13" ht="12" customHeight="1" x14ac:dyDescent="0.25">
      <c r="B20" s="294"/>
      <c r="C20" s="294"/>
      <c r="D20" s="294"/>
      <c r="E20" s="294"/>
      <c r="F20" s="294"/>
      <c r="G20" s="294"/>
      <c r="H20" s="294"/>
      <c r="I20" s="294"/>
      <c r="J20" s="294"/>
      <c r="K20" s="294"/>
      <c r="L20" s="294"/>
      <c r="M20" s="294"/>
    </row>
    <row r="21" spans="2:13" ht="12" customHeight="1" x14ac:dyDescent="0.25">
      <c r="B21" s="294"/>
      <c r="C21" s="294"/>
      <c r="D21" s="294"/>
      <c r="E21" s="294"/>
      <c r="F21" s="294"/>
      <c r="G21" s="294"/>
      <c r="H21" s="294"/>
      <c r="I21" s="294"/>
      <c r="J21" s="294"/>
      <c r="K21" s="294"/>
      <c r="L21" s="294"/>
      <c r="M21" s="294"/>
    </row>
    <row r="22" spans="2:13" ht="12" customHeight="1" x14ac:dyDescent="0.25">
      <c r="B22" s="294"/>
      <c r="C22" s="294"/>
      <c r="D22" s="294"/>
      <c r="E22" s="294"/>
      <c r="F22" s="294"/>
      <c r="G22" s="294"/>
      <c r="H22" s="294"/>
      <c r="I22" s="294"/>
      <c r="J22" s="294"/>
      <c r="K22" s="294"/>
      <c r="L22" s="294"/>
      <c r="M22" s="294"/>
    </row>
    <row r="23" spans="2:13" ht="12" customHeight="1" x14ac:dyDescent="0.25">
      <c r="B23" s="294"/>
      <c r="C23" s="294"/>
      <c r="D23" s="294"/>
      <c r="E23" s="294"/>
      <c r="F23" s="294"/>
      <c r="G23" s="294"/>
      <c r="H23" s="294"/>
      <c r="I23" s="294"/>
      <c r="J23" s="294"/>
      <c r="K23" s="294"/>
      <c r="L23" s="294"/>
      <c r="M23" s="294"/>
    </row>
    <row r="24" spans="2:13" ht="12" customHeight="1" x14ac:dyDescent="0.25">
      <c r="B24" s="294"/>
      <c r="C24" s="294"/>
      <c r="D24" s="294"/>
      <c r="E24" s="294"/>
      <c r="F24" s="294"/>
      <c r="G24" s="294"/>
      <c r="H24" s="294"/>
      <c r="I24" s="294"/>
      <c r="J24" s="294"/>
      <c r="K24" s="294"/>
      <c r="L24" s="294"/>
      <c r="M24" s="294"/>
    </row>
    <row r="25" spans="2:13" ht="12" customHeight="1" x14ac:dyDescent="0.25">
      <c r="B25" s="294"/>
      <c r="C25" s="294"/>
      <c r="D25" s="294"/>
      <c r="E25" s="294"/>
      <c r="F25" s="294"/>
      <c r="G25" s="294"/>
      <c r="H25" s="294"/>
      <c r="I25" s="294"/>
      <c r="J25" s="294"/>
      <c r="K25" s="294"/>
      <c r="L25" s="294"/>
      <c r="M25" s="294"/>
    </row>
    <row r="26" spans="2:13" ht="12" customHeight="1" x14ac:dyDescent="0.25">
      <c r="B26" s="294"/>
      <c r="C26" s="294"/>
      <c r="D26" s="294"/>
      <c r="E26" s="294"/>
      <c r="F26" s="294"/>
      <c r="G26" s="294"/>
      <c r="H26" s="294"/>
      <c r="I26" s="294"/>
      <c r="J26" s="294"/>
      <c r="K26" s="294"/>
      <c r="L26" s="294"/>
      <c r="M26" s="294"/>
    </row>
    <row r="27" spans="2:13" ht="12" customHeight="1" x14ac:dyDescent="0.25">
      <c r="B27" s="294"/>
      <c r="C27" s="294"/>
      <c r="D27" s="294"/>
      <c r="E27" s="294"/>
      <c r="F27" s="294"/>
      <c r="G27" s="294"/>
      <c r="H27" s="294"/>
      <c r="I27" s="294"/>
      <c r="J27" s="294"/>
      <c r="K27" s="294"/>
      <c r="L27" s="294"/>
      <c r="M27" s="294"/>
    </row>
    <row r="28" spans="2:13" ht="12" customHeight="1" x14ac:dyDescent="0.25">
      <c r="B28" s="294"/>
      <c r="C28" s="294"/>
      <c r="D28" s="294"/>
      <c r="E28" s="294"/>
      <c r="F28" s="294"/>
      <c r="G28" s="294"/>
      <c r="H28" s="294"/>
      <c r="I28" s="294"/>
      <c r="J28" s="294"/>
      <c r="K28" s="294"/>
      <c r="L28" s="294"/>
      <c r="M28" s="294"/>
    </row>
    <row r="29" spans="2:13" ht="12" customHeight="1" x14ac:dyDescent="0.25">
      <c r="B29" s="294"/>
      <c r="C29" s="294"/>
      <c r="D29" s="294"/>
      <c r="E29" s="294"/>
      <c r="F29" s="294"/>
      <c r="G29" s="294"/>
      <c r="H29" s="294"/>
      <c r="I29" s="294"/>
      <c r="J29" s="294"/>
      <c r="K29" s="294"/>
      <c r="L29" s="294"/>
      <c r="M29" s="294"/>
    </row>
    <row r="30" spans="2:13" ht="12" customHeight="1" x14ac:dyDescent="0.25">
      <c r="B30" s="294"/>
      <c r="C30" s="294"/>
      <c r="D30" s="294"/>
      <c r="E30" s="294"/>
      <c r="F30" s="294"/>
      <c r="G30" s="294"/>
      <c r="H30" s="294"/>
      <c r="I30" s="294"/>
      <c r="J30" s="294"/>
      <c r="K30" s="294"/>
      <c r="L30" s="294"/>
      <c r="M30" s="294"/>
    </row>
    <row r="31" spans="2:13" ht="12" customHeight="1" x14ac:dyDescent="0.25">
      <c r="B31" s="294"/>
      <c r="C31" s="294"/>
      <c r="D31" s="294"/>
      <c r="E31" s="294"/>
      <c r="F31" s="294"/>
      <c r="G31" s="294"/>
      <c r="H31" s="294"/>
      <c r="I31" s="294"/>
      <c r="J31" s="294"/>
      <c r="K31" s="294"/>
      <c r="L31" s="294"/>
      <c r="M31" s="294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="90" zoomScaleNormal="90" workbookViewId="0">
      <selection activeCell="G62" sqref="G62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5" t="s">
        <v>190</v>
      </c>
      <c r="D1" s="295"/>
      <c r="E1" s="29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300" t="s">
        <v>192</v>
      </c>
      <c r="C3" s="301"/>
      <c r="D3" s="301"/>
      <c r="E3" s="301"/>
      <c r="F3" s="302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6" t="s">
        <v>231</v>
      </c>
      <c r="B5" s="306"/>
      <c r="C5" s="26">
        <v>4.3</v>
      </c>
      <c r="D5" s="307" t="s">
        <v>229</v>
      </c>
      <c r="E5" s="308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4" t="s">
        <v>226</v>
      </c>
      <c r="B7" s="304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36</v>
      </c>
      <c r="C9" s="35">
        <v>0.76</v>
      </c>
      <c r="D9" s="36">
        <f t="shared" ref="D9:D18" si="0">C9*$C$5</f>
        <v>3.2679999999999998</v>
      </c>
      <c r="E9" s="37">
        <v>38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164</v>
      </c>
      <c r="C10" s="35">
        <v>0.24</v>
      </c>
      <c r="D10" s="36">
        <f t="shared" si="0"/>
        <v>1.032</v>
      </c>
      <c r="E10" s="37">
        <v>105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4.3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3" t="s">
        <v>232</v>
      </c>
      <c r="B22" s="303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5" t="s">
        <v>227</v>
      </c>
      <c r="B30" s="305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6" t="s">
        <v>186</v>
      </c>
      <c r="D34" s="296"/>
      <c r="E34" s="297" t="s">
        <v>187</v>
      </c>
      <c r="F34" s="298"/>
      <c r="G34" s="298"/>
      <c r="H34" s="299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13</v>
      </c>
      <c r="B36" s="63">
        <v>75</v>
      </c>
      <c r="C36" s="63">
        <v>1</v>
      </c>
      <c r="D36" s="63">
        <v>15</v>
      </c>
      <c r="E36" s="54"/>
      <c r="F36" s="54"/>
      <c r="G36" s="54">
        <v>1</v>
      </c>
      <c r="H36" s="54"/>
      <c r="I36" s="52">
        <f>IFERROR(B36/A36,"")</f>
        <v>5.7692307692307692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19</v>
      </c>
      <c r="B37" s="63">
        <v>163</v>
      </c>
      <c r="C37" s="63">
        <v>2</v>
      </c>
      <c r="D37" s="63">
        <v>40</v>
      </c>
      <c r="E37" s="54">
        <v>0.3</v>
      </c>
      <c r="F37" s="293"/>
      <c r="G37" s="54">
        <v>0.7</v>
      </c>
      <c r="H37" s="54"/>
      <c r="I37" s="56">
        <f t="shared" ref="I37:I55" si="1">IF(A37&lt;&gt;0,(B37-(B36-D36))/(A37-A36),"")</f>
        <v>17.166666666666668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25</v>
      </c>
      <c r="B38" s="63">
        <v>222</v>
      </c>
      <c r="C38" s="63">
        <v>3</v>
      </c>
      <c r="D38" s="63">
        <v>54</v>
      </c>
      <c r="E38" s="54">
        <v>0.4</v>
      </c>
      <c r="F38" s="54">
        <v>0.2</v>
      </c>
      <c r="G38" s="54">
        <v>0.4</v>
      </c>
      <c r="H38" s="54"/>
      <c r="I38" s="56">
        <f t="shared" si="1"/>
        <v>16.5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3">
        <v>237</v>
      </c>
      <c r="C39" s="63">
        <v>4</v>
      </c>
      <c r="D39" s="63">
        <v>0</v>
      </c>
      <c r="E39" s="54"/>
      <c r="F39" s="54"/>
      <c r="G39" s="54"/>
      <c r="H39" s="54"/>
      <c r="I39" s="52">
        <f t="shared" si="1"/>
        <v>13.8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38</v>
      </c>
      <c r="B40" s="63">
        <v>338</v>
      </c>
      <c r="C40" s="63">
        <v>5</v>
      </c>
      <c r="D40" s="63">
        <v>338</v>
      </c>
      <c r="E40" s="54">
        <v>0.7</v>
      </c>
      <c r="F40" s="54"/>
      <c r="G40" s="54">
        <v>0.3</v>
      </c>
      <c r="H40" s="54"/>
      <c r="I40" s="52">
        <f t="shared" si="1"/>
        <v>12.625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Cèdre de l'Atlas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6" t="s">
        <v>186</v>
      </c>
      <c r="D60" s="296"/>
      <c r="E60" s="297" t="s">
        <v>187</v>
      </c>
      <c r="F60" s="298"/>
      <c r="G60" s="298"/>
      <c r="H60" s="299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30</v>
      </c>
      <c r="B62" s="63">
        <v>195</v>
      </c>
      <c r="C62" s="63">
        <v>1</v>
      </c>
      <c r="D62" s="63">
        <v>0</v>
      </c>
      <c r="E62" s="54"/>
      <c r="F62" s="54"/>
      <c r="G62" s="54"/>
      <c r="H62" s="54"/>
      <c r="I62" s="56">
        <f>IFERROR(B62/A62,"")</f>
        <v>6.5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35</v>
      </c>
      <c r="B63" s="63">
        <v>280</v>
      </c>
      <c r="C63" s="63">
        <v>2</v>
      </c>
      <c r="D63" s="63">
        <v>0</v>
      </c>
      <c r="E63" s="54"/>
      <c r="F63" s="54"/>
      <c r="G63" s="54"/>
      <c r="H63" s="54"/>
      <c r="I63" s="52">
        <f>IF(A63&lt;&gt;0,(B63-(B62-D62))/(A63-A62),"")</f>
        <v>17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42</v>
      </c>
      <c r="B64" s="63">
        <v>417</v>
      </c>
      <c r="C64" s="63">
        <v>3</v>
      </c>
      <c r="D64" s="63">
        <v>182</v>
      </c>
      <c r="E64" s="54"/>
      <c r="F64" s="54"/>
      <c r="G64" s="54"/>
      <c r="H64" s="54"/>
      <c r="I64" s="52">
        <f>IF(A64&lt;&gt;0,(B64-(B63-D63))/(A64-A63),"")</f>
        <v>19.571428571428573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43</v>
      </c>
      <c r="B65" s="63">
        <v>256</v>
      </c>
      <c r="C65" s="63">
        <v>4</v>
      </c>
      <c r="D65" s="63">
        <v>0</v>
      </c>
      <c r="E65" s="54"/>
      <c r="F65" s="54"/>
      <c r="G65" s="54"/>
      <c r="H65" s="54"/>
      <c r="I65" s="52">
        <f>IF(A65&lt;&gt;0,(B65-(B64-D64))/(A65-A64),"")</f>
        <v>21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49</v>
      </c>
      <c r="B66" s="63">
        <v>361</v>
      </c>
      <c r="C66" s="63">
        <v>5</v>
      </c>
      <c r="D66" s="63">
        <v>100</v>
      </c>
      <c r="E66" s="54"/>
      <c r="F66" s="54"/>
      <c r="G66" s="54"/>
      <c r="H66" s="54"/>
      <c r="I66" s="52">
        <f t="shared" ref="I66:I81" si="2">IF(A66&lt;&gt;0,(B66-(B65-D65))/(A66-A65),"")</f>
        <v>17.5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50</v>
      </c>
      <c r="B67" s="63">
        <v>278</v>
      </c>
      <c r="C67" s="63">
        <v>6</v>
      </c>
      <c r="D67" s="63">
        <v>0</v>
      </c>
      <c r="E67" s="54"/>
      <c r="F67" s="54"/>
      <c r="G67" s="54"/>
      <c r="H67" s="54"/>
      <c r="I67" s="52">
        <f t="shared" si="2"/>
        <v>17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56</v>
      </c>
      <c r="B68" s="63">
        <v>380</v>
      </c>
      <c r="C68" s="63">
        <v>7</v>
      </c>
      <c r="D68" s="63">
        <v>79</v>
      </c>
      <c r="E68" s="54"/>
      <c r="F68" s="54"/>
      <c r="G68" s="54"/>
      <c r="H68" s="54"/>
      <c r="I68" s="52">
        <f t="shared" si="2"/>
        <v>17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57</v>
      </c>
      <c r="B69" s="53">
        <v>316</v>
      </c>
      <c r="C69" s="53">
        <v>8</v>
      </c>
      <c r="D69" s="53">
        <v>0</v>
      </c>
      <c r="E69" s="54"/>
      <c r="F69" s="54"/>
      <c r="G69" s="54"/>
      <c r="H69" s="54"/>
      <c r="I69" s="52">
        <f t="shared" si="2"/>
        <v>15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63</v>
      </c>
      <c r="B70" s="53">
        <v>416</v>
      </c>
      <c r="C70" s="53">
        <v>9</v>
      </c>
      <c r="D70" s="53">
        <v>79</v>
      </c>
      <c r="E70" s="54"/>
      <c r="F70" s="54"/>
      <c r="G70" s="54"/>
      <c r="H70" s="54"/>
      <c r="I70" s="52">
        <f t="shared" si="2"/>
        <v>16.666666666666668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>
        <v>64</v>
      </c>
      <c r="B71" s="53">
        <v>353</v>
      </c>
      <c r="C71" s="53">
        <v>10</v>
      </c>
      <c r="D71" s="53">
        <v>0</v>
      </c>
      <c r="E71" s="54"/>
      <c r="F71" s="54"/>
      <c r="G71" s="54"/>
      <c r="H71" s="54"/>
      <c r="I71" s="52">
        <f t="shared" si="2"/>
        <v>16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>
        <v>71</v>
      </c>
      <c r="B72" s="53">
        <v>466</v>
      </c>
      <c r="C72" s="53">
        <v>11</v>
      </c>
      <c r="D72" s="53">
        <v>91</v>
      </c>
      <c r="E72" s="54"/>
      <c r="F72" s="54"/>
      <c r="G72" s="54"/>
      <c r="H72" s="54"/>
      <c r="I72" s="52">
        <f t="shared" si="2"/>
        <v>16.142857142857142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>
        <v>72</v>
      </c>
      <c r="B73" s="53">
        <v>390</v>
      </c>
      <c r="C73" s="53">
        <v>12</v>
      </c>
      <c r="D73" s="53">
        <v>0</v>
      </c>
      <c r="E73" s="54"/>
      <c r="F73" s="54"/>
      <c r="G73" s="54"/>
      <c r="H73" s="54"/>
      <c r="I73" s="52">
        <f t="shared" si="2"/>
        <v>15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>
        <v>79</v>
      </c>
      <c r="B74" s="53">
        <v>496</v>
      </c>
      <c r="C74" s="53">
        <v>13</v>
      </c>
      <c r="D74" s="53">
        <v>88</v>
      </c>
      <c r="E74" s="54"/>
      <c r="F74" s="54"/>
      <c r="G74" s="54"/>
      <c r="H74" s="54"/>
      <c r="I74" s="52">
        <f t="shared" si="2"/>
        <v>15.142857142857142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>
        <v>80</v>
      </c>
      <c r="B75" s="53">
        <v>423</v>
      </c>
      <c r="C75" s="53">
        <v>14</v>
      </c>
      <c r="D75" s="53">
        <v>0</v>
      </c>
      <c r="E75" s="54"/>
      <c r="F75" s="54"/>
      <c r="G75" s="54"/>
      <c r="H75" s="54"/>
      <c r="I75" s="52">
        <f t="shared" si="2"/>
        <v>15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>
        <v>87</v>
      </c>
      <c r="B76" s="53">
        <v>522</v>
      </c>
      <c r="C76" s="53">
        <v>15</v>
      </c>
      <c r="D76" s="53">
        <v>89</v>
      </c>
      <c r="E76" s="54"/>
      <c r="F76" s="54"/>
      <c r="G76" s="54"/>
      <c r="H76" s="54"/>
      <c r="I76" s="52">
        <f t="shared" si="2"/>
        <v>14.142857142857142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>
        <v>88</v>
      </c>
      <c r="B77" s="53">
        <v>447</v>
      </c>
      <c r="C77" s="53">
        <v>16</v>
      </c>
      <c r="D77" s="53">
        <v>0</v>
      </c>
      <c r="E77" s="54"/>
      <c r="F77" s="54"/>
      <c r="G77" s="54"/>
      <c r="H77" s="54"/>
      <c r="I77" s="52">
        <f t="shared" si="2"/>
        <v>14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>
        <v>94</v>
      </c>
      <c r="B78" s="53">
        <v>525</v>
      </c>
      <c r="C78" s="53">
        <v>17</v>
      </c>
      <c r="D78" s="53">
        <v>0</v>
      </c>
      <c r="E78" s="54"/>
      <c r="F78" s="54"/>
      <c r="G78" s="54"/>
      <c r="H78" s="54"/>
      <c r="I78" s="52">
        <f t="shared" si="2"/>
        <v>13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>
        <v>95</v>
      </c>
      <c r="B79" s="53">
        <v>538</v>
      </c>
      <c r="C79" s="53">
        <v>18</v>
      </c>
      <c r="D79" s="53">
        <v>269</v>
      </c>
      <c r="E79" s="54"/>
      <c r="F79" s="54"/>
      <c r="G79" s="54"/>
      <c r="H79" s="54"/>
      <c r="I79" s="52">
        <f t="shared" si="2"/>
        <v>13</v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>
        <v>96</v>
      </c>
      <c r="B80" s="53">
        <v>280</v>
      </c>
      <c r="C80" s="53">
        <v>19</v>
      </c>
      <c r="D80" s="53">
        <v>0</v>
      </c>
      <c r="E80" s="54"/>
      <c r="F80" s="54"/>
      <c r="G80" s="54"/>
      <c r="H80" s="54"/>
      <c r="I80" s="52">
        <f t="shared" si="2"/>
        <v>11</v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>
        <v>105</v>
      </c>
      <c r="B81" s="53">
        <v>357</v>
      </c>
      <c r="C81" s="53">
        <v>20</v>
      </c>
      <c r="D81" s="53">
        <v>357</v>
      </c>
      <c r="E81" s="54"/>
      <c r="F81" s="54"/>
      <c r="G81" s="54"/>
      <c r="H81" s="54"/>
      <c r="I81" s="52">
        <f t="shared" si="2"/>
        <v>8.5555555555555554</v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6" t="s">
        <v>186</v>
      </c>
      <c r="D86" s="296"/>
      <c r="E86" s="297" t="s">
        <v>187</v>
      </c>
      <c r="F86" s="298"/>
      <c r="G86" s="298"/>
      <c r="H86" s="299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6" t="s">
        <v>186</v>
      </c>
      <c r="D112" s="296"/>
      <c r="E112" s="297" t="s">
        <v>187</v>
      </c>
      <c r="F112" s="298"/>
      <c r="G112" s="298"/>
      <c r="H112" s="299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6" t="s">
        <v>186</v>
      </c>
      <c r="D138" s="296"/>
      <c r="E138" s="297" t="s">
        <v>187</v>
      </c>
      <c r="F138" s="298"/>
      <c r="G138" s="298"/>
      <c r="H138" s="299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6" t="s">
        <v>186</v>
      </c>
      <c r="D164" s="296"/>
      <c r="E164" s="297" t="s">
        <v>187</v>
      </c>
      <c r="F164" s="298"/>
      <c r="G164" s="298"/>
      <c r="H164" s="299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6" t="s">
        <v>186</v>
      </c>
      <c r="D190" s="296"/>
      <c r="E190" s="297" t="s">
        <v>187</v>
      </c>
      <c r="F190" s="298"/>
      <c r="G190" s="298"/>
      <c r="H190" s="299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6" t="s">
        <v>186</v>
      </c>
      <c r="D216" s="296"/>
      <c r="E216" s="297" t="s">
        <v>187</v>
      </c>
      <c r="F216" s="298"/>
      <c r="G216" s="298"/>
      <c r="H216" s="299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6" t="s">
        <v>186</v>
      </c>
      <c r="D242" s="296"/>
      <c r="E242" s="297" t="s">
        <v>187</v>
      </c>
      <c r="F242" s="298"/>
      <c r="G242" s="298"/>
      <c r="H242" s="299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6" t="s">
        <v>186</v>
      </c>
      <c r="D268" s="296"/>
      <c r="E268" s="297" t="s">
        <v>187</v>
      </c>
      <c r="F268" s="298"/>
      <c r="G268" s="298"/>
      <c r="H268" s="299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E16" sqref="E16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10" t="s">
        <v>191</v>
      </c>
      <c r="C2" s="311"/>
      <c r="D2" s="311"/>
      <c r="E2" s="311"/>
      <c r="F2" s="311"/>
      <c r="G2" s="312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9"/>
      <c r="C4" s="309"/>
      <c r="D4" s="309"/>
      <c r="E4" s="309"/>
      <c r="F4" s="309"/>
      <c r="G4" s="309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6" t="s">
        <v>176</v>
      </c>
      <c r="C1" s="317"/>
      <c r="D1" s="317"/>
      <c r="E1" s="317"/>
      <c r="F1" s="317"/>
      <c r="G1" s="317"/>
      <c r="H1" s="318"/>
      <c r="I1" s="313" t="str">
        <f>IF('Données projet'!$B$9="","",'Données projet'!$B$9)</f>
        <v>Pin maritime</v>
      </c>
      <c r="J1" s="314"/>
      <c r="K1" s="314"/>
      <c r="L1" s="314"/>
      <c r="M1" s="314"/>
      <c r="N1" s="314"/>
      <c r="O1" s="314"/>
      <c r="P1" s="314"/>
      <c r="Q1" s="314"/>
      <c r="R1" s="314"/>
      <c r="S1" s="314"/>
      <c r="T1" s="314"/>
      <c r="U1" s="314"/>
      <c r="V1" s="314"/>
      <c r="W1" s="314"/>
      <c r="X1" s="314"/>
      <c r="Y1" s="314"/>
      <c r="Z1" s="314"/>
      <c r="AA1" s="314"/>
      <c r="AB1" s="314"/>
      <c r="AC1" s="315"/>
      <c r="AD1" s="314" t="str">
        <f>IF('Données projet'!$B$10="","",'Données projet'!$B$10)</f>
        <v>Cèdre de l'Atlas</v>
      </c>
      <c r="AE1" s="314"/>
      <c r="AF1" s="314"/>
      <c r="AG1" s="314"/>
      <c r="AH1" s="314"/>
      <c r="AI1" s="314"/>
      <c r="AJ1" s="314"/>
      <c r="AK1" s="314"/>
      <c r="AL1" s="314"/>
      <c r="AM1" s="314"/>
      <c r="AN1" s="314"/>
      <c r="AO1" s="314"/>
      <c r="AP1" s="314"/>
      <c r="AQ1" s="314"/>
      <c r="AR1" s="314"/>
      <c r="AS1" s="314"/>
      <c r="AT1" s="314"/>
      <c r="AU1" s="314"/>
      <c r="AV1" s="314"/>
      <c r="AW1" s="314"/>
      <c r="AX1" s="315"/>
      <c r="AY1" s="313" t="str">
        <f>IF('Données projet'!$B$11="","",'Données projet'!$B$11)</f>
        <v/>
      </c>
      <c r="AZ1" s="314"/>
      <c r="BA1" s="314"/>
      <c r="BB1" s="314"/>
      <c r="BC1" s="314"/>
      <c r="BD1" s="314"/>
      <c r="BE1" s="314"/>
      <c r="BF1" s="314"/>
      <c r="BG1" s="314"/>
      <c r="BH1" s="314"/>
      <c r="BI1" s="314"/>
      <c r="BJ1" s="314"/>
      <c r="BK1" s="314"/>
      <c r="BL1" s="314"/>
      <c r="BM1" s="314"/>
      <c r="BN1" s="314"/>
      <c r="BO1" s="314"/>
      <c r="BP1" s="314"/>
      <c r="BQ1" s="314"/>
      <c r="BR1" s="314"/>
      <c r="BS1" s="315"/>
      <c r="BT1" s="313" t="str">
        <f>IF('Données projet'!$B$12="","",'Données projet'!$B$12)</f>
        <v/>
      </c>
      <c r="BU1" s="314"/>
      <c r="BV1" s="314"/>
      <c r="BW1" s="314"/>
      <c r="BX1" s="314"/>
      <c r="BY1" s="314"/>
      <c r="BZ1" s="314"/>
      <c r="CA1" s="314"/>
      <c r="CB1" s="314"/>
      <c r="CC1" s="314"/>
      <c r="CD1" s="314"/>
      <c r="CE1" s="314"/>
      <c r="CF1" s="314"/>
      <c r="CG1" s="314"/>
      <c r="CH1" s="314"/>
      <c r="CI1" s="314"/>
      <c r="CJ1" s="314"/>
      <c r="CK1" s="314"/>
      <c r="CL1" s="314"/>
      <c r="CM1" s="314"/>
      <c r="CN1" s="315"/>
      <c r="CO1" s="313" t="str">
        <f>IF('Données projet'!$B$13="","",'Données projet'!$B$13)</f>
        <v/>
      </c>
      <c r="CP1" s="314"/>
      <c r="CQ1" s="314"/>
      <c r="CR1" s="314"/>
      <c r="CS1" s="314"/>
      <c r="CT1" s="314"/>
      <c r="CU1" s="314"/>
      <c r="CV1" s="314"/>
      <c r="CW1" s="314"/>
      <c r="CX1" s="314"/>
      <c r="CY1" s="314"/>
      <c r="CZ1" s="314"/>
      <c r="DA1" s="314"/>
      <c r="DB1" s="314"/>
      <c r="DC1" s="314"/>
      <c r="DD1" s="314"/>
      <c r="DE1" s="314"/>
      <c r="DF1" s="314"/>
      <c r="DG1" s="314"/>
      <c r="DH1" s="314"/>
      <c r="DI1" s="315"/>
      <c r="DJ1" s="313" t="str">
        <f>IF('Données projet'!$B$14="","",'Données projet'!$B$14)</f>
        <v/>
      </c>
      <c r="DK1" s="314"/>
      <c r="DL1" s="314"/>
      <c r="DM1" s="314"/>
      <c r="DN1" s="314"/>
      <c r="DO1" s="314"/>
      <c r="DP1" s="314"/>
      <c r="DQ1" s="314"/>
      <c r="DR1" s="314"/>
      <c r="DS1" s="314"/>
      <c r="DT1" s="314"/>
      <c r="DU1" s="314"/>
      <c r="DV1" s="314"/>
      <c r="DW1" s="314"/>
      <c r="DX1" s="314"/>
      <c r="DY1" s="314"/>
      <c r="DZ1" s="314"/>
      <c r="EA1" s="314"/>
      <c r="EB1" s="314"/>
      <c r="EC1" s="314"/>
      <c r="ED1" s="315"/>
      <c r="EE1" s="313" t="str">
        <f>IF('Données projet'!$B$15="","",'Données projet'!$B$15)</f>
        <v/>
      </c>
      <c r="EF1" s="314"/>
      <c r="EG1" s="314"/>
      <c r="EH1" s="314"/>
      <c r="EI1" s="314"/>
      <c r="EJ1" s="314"/>
      <c r="EK1" s="314"/>
      <c r="EL1" s="314"/>
      <c r="EM1" s="314"/>
      <c r="EN1" s="314"/>
      <c r="EO1" s="314"/>
      <c r="EP1" s="314"/>
      <c r="EQ1" s="314"/>
      <c r="ER1" s="314"/>
      <c r="ES1" s="314"/>
      <c r="ET1" s="314"/>
      <c r="EU1" s="314"/>
      <c r="EV1" s="314"/>
      <c r="EW1" s="314"/>
      <c r="EX1" s="314"/>
      <c r="EY1" s="315"/>
      <c r="EZ1" s="313" t="str">
        <f>IF('Données projet'!$B$16="","",'Données projet'!$B$16)</f>
        <v/>
      </c>
      <c r="FA1" s="314"/>
      <c r="FB1" s="314"/>
      <c r="FC1" s="314"/>
      <c r="FD1" s="314"/>
      <c r="FE1" s="314"/>
      <c r="FF1" s="314"/>
      <c r="FG1" s="314"/>
      <c r="FH1" s="314"/>
      <c r="FI1" s="314"/>
      <c r="FJ1" s="314"/>
      <c r="FK1" s="314"/>
      <c r="FL1" s="314"/>
      <c r="FM1" s="314"/>
      <c r="FN1" s="314"/>
      <c r="FO1" s="314"/>
      <c r="FP1" s="314"/>
      <c r="FQ1" s="314"/>
      <c r="FR1" s="314"/>
      <c r="FS1" s="314"/>
      <c r="FT1" s="315"/>
      <c r="FU1" s="313" t="str">
        <f>IF('Données projet'!$B$17="","",'Données projet'!$B$17)</f>
        <v/>
      </c>
      <c r="FV1" s="314"/>
      <c r="FW1" s="314"/>
      <c r="FX1" s="314"/>
      <c r="FY1" s="314"/>
      <c r="FZ1" s="314"/>
      <c r="GA1" s="314"/>
      <c r="GB1" s="314"/>
      <c r="GC1" s="314"/>
      <c r="GD1" s="314"/>
      <c r="GE1" s="314"/>
      <c r="GF1" s="314"/>
      <c r="GG1" s="314"/>
      <c r="GH1" s="314"/>
      <c r="GI1" s="314"/>
      <c r="GJ1" s="314"/>
      <c r="GK1" s="314"/>
      <c r="GL1" s="314"/>
      <c r="GM1" s="314"/>
      <c r="GN1" s="314"/>
      <c r="GO1" s="315"/>
      <c r="GP1" s="313" t="str">
        <f>IF('Données projet'!$B$18="","",'Données projet'!$B$18)</f>
        <v/>
      </c>
      <c r="GQ1" s="314"/>
      <c r="GR1" s="314"/>
      <c r="GS1" s="314"/>
      <c r="GT1" s="314"/>
      <c r="GU1" s="314"/>
      <c r="GV1" s="314"/>
      <c r="GW1" s="314"/>
      <c r="GX1" s="314"/>
      <c r="GY1" s="314"/>
      <c r="GZ1" s="314"/>
      <c r="HA1" s="314"/>
      <c r="HB1" s="314"/>
      <c r="HC1" s="314"/>
      <c r="HD1" s="314"/>
      <c r="HE1" s="314"/>
      <c r="HF1" s="314"/>
      <c r="HG1" s="314"/>
      <c r="HH1" s="314"/>
      <c r="HI1" s="314"/>
      <c r="HJ1" s="315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157.98488572680344</v>
      </c>
      <c r="T3" s="62">
        <f>IF('Données projet'!E9&gt;30,$R$33-$H$33,LOOKUP('Données projet'!$E$9,$A$3:$A$203,R3:R203)-LOOKUP('Données projet'!$E$9,$A$3:$A$203,$H$3:$H$203))</f>
        <v>269.20989374735825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293.33333333333331</v>
      </c>
      <c r="AN3" s="62">
        <f ca="1">AVERAGE(OFFSET($AM$3,0,0,'Données projet'!$E$10+1,1))-AVERAGE(OFFSET($H$3,0,0,'Données projet'!$E$10+1,1))</f>
        <v>215.04236469150038</v>
      </c>
      <c r="AO3" s="62">
        <f>IF('Données projet'!E10&gt;30,$AM$33-$H$33,LOOKUP('Données projet'!$E$10,$A$3:$A$203,AM3:AM203)-LOOKUP('Données projet'!$E$10,$A$3:$A$203,$H$3:$H$203))</f>
        <v>160.72275701448416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2">
        <f>IFERROR(EXP(-1.0587+0.8836*LN(C4)+0.284),0)</f>
        <v>0.29258040116091422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70">
        <f t="shared" ref="H4:H67" si="1">(B4+E4+F4)*44/12+(C4+D4)*0.475*44/12</f>
        <v>294.8844275320219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5.7692307692307692</v>
      </c>
      <c r="N4" s="14">
        <f>IF('Données projet'!$A$36&gt;35,N3+M4-V3,IF(A4&lt;'Données projet'!$A$36,$K$205^A4,IF(A4='Données projet'!$A$36,'Données projet'!$B$36,N3+M4-V3)))</f>
        <v>1.3939124009120489</v>
      </c>
      <c r="O4" s="14">
        <f>N4*VLOOKUP('Données projet'!$B$9,Paramètres!$A$1:$I$89,3,0)*VLOOKUP('Données projet'!$B$9,Paramètres!$A$1:$I$89,5,0)</f>
        <v>0.83355961574540538</v>
      </c>
      <c r="P4" s="14">
        <f>EXP(-1.0587+0.8836*LN(O4)+0.284)</f>
        <v>0.39236630327500827</v>
      </c>
      <c r="Q4" s="22">
        <f t="shared" ref="Q4:Q34" si="2">(O4+P4)*0.475*44/12</f>
        <v>2.1351543089605536</v>
      </c>
      <c r="R4" s="62">
        <f t="shared" si="0"/>
        <v>295.46848764229389</v>
      </c>
      <c r="S4" s="62">
        <f ca="1">AVERAGE(OFFSET($R$3,0,0,'Données projet'!$E$9+1,1))-AVERAGE(OFFSET($H$3,0,0,'Données projet'!$E$9+1,1))</f>
        <v>157.98488572680344</v>
      </c>
      <c r="T4" s="62">
        <f>$T$3</f>
        <v>269.20989374735825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6.5</v>
      </c>
      <c r="AI4" s="14">
        <f>IF('Données projet'!$A$62&gt;35,AI3+AH4-AQ3,IF(A4&lt;'Données projet'!$A$62,$AF$205^A4,IF(A4='Données projet'!$A$62,'Données projet'!$B$62,AI3+AH4-AQ3)))</f>
        <v>1.1921598380198544</v>
      </c>
      <c r="AJ4" s="14">
        <f>AI4*VLOOKUP('Données projet'!$B$10,Paramètres!$A$1:$I$89,3,0)*VLOOKUP('Données projet'!$B$10,Paramètres!$A$1:$I$89,5,0)</f>
        <v>0.55793080419329188</v>
      </c>
      <c r="AK4" s="14">
        <f>EXP(-1.0587+0.8836*LN(AJ4)+0.284)</f>
        <v>0.27518860925423011</v>
      </c>
      <c r="AL4" s="22">
        <f t="shared" ref="AL4:AL67" si="4">(AJ4+AK4)*0.475*44/12</f>
        <v>1.4510163117544339</v>
      </c>
      <c r="AM4" s="62">
        <f t="shared" ref="AM4:AM67" si="5">AL4+(AD4+AE4)*44/12</f>
        <v>294.78434964508773</v>
      </c>
      <c r="AN4" s="62">
        <f ca="1">AVERAGE(OFFSET($AM$3,0,0,'Données projet'!$E$10+1,1))-AVERAGE(OFFSET($H$3,0,0,'Données projet'!$E$10+1,1))</f>
        <v>215.04236469150038</v>
      </c>
      <c r="AO4" s="62">
        <f>$AO$3</f>
        <v>160.72275701448416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2">
        <f t="shared" ref="D5:D68" si="32">IFERROR(EXP(-1.0587+0.8836*LN(C5)+0.284),0)</f>
        <v>0.53980305140256757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70">
        <f t="shared" si="1"/>
        <v>296.35652364785943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5.7692307692307692</v>
      </c>
      <c r="N5" s="14">
        <f>IF('Données projet'!$A$36&gt;35,N4+M5-V4,IF(A5&lt;'Données projet'!$A$36,$K$205^A5,IF(A5='Données projet'!$A$36,'Données projet'!$B$36,N4+M5-V4)))</f>
        <v>1.9429917814163926</v>
      </c>
      <c r="O5" s="14">
        <f>N5*VLOOKUP('Données projet'!$B$9,Paramètres!$A$1:$I$89,3,0)*VLOOKUP('Données projet'!$B$9,Paramètres!$A$1:$I$89,5,0)</f>
        <v>1.1619090852870029</v>
      </c>
      <c r="P5" s="14">
        <f t="shared" ref="P5:P68" si="33">EXP(-1.0587+0.8836*LN(O5)+0.284)</f>
        <v>0.52618464987689018</v>
      </c>
      <c r="Q5" s="22">
        <f t="shared" si="2"/>
        <v>2.9400965887437809</v>
      </c>
      <c r="R5" s="62">
        <f t="shared" si="0"/>
        <v>296.27342992207707</v>
      </c>
      <c r="S5" s="62">
        <f ca="1">AVERAGE(OFFSET($R$3,0,0,'Données projet'!$E$9+1,1))-AVERAGE(OFFSET($H$3,0,0,'Données projet'!$E$9+1,1))</f>
        <v>157.98488572680344</v>
      </c>
      <c r="T5" s="62">
        <f t="shared" ref="T5:T68" si="34">$T$3</f>
        <v>269.20989374735825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6.5</v>
      </c>
      <c r="AI5" s="14">
        <f>IF('Données projet'!$A$62&gt;35,AI4+AH5-AQ4,IF(A5&lt;'Données projet'!$A$62,$AF$205^A5,IF(A5='Données projet'!$A$62,'Données projet'!$B$62,AI4+AH5-AQ4)))</f>
        <v>1.4212450793875253</v>
      </c>
      <c r="AJ5" s="14">
        <f>AI5*VLOOKUP('Données projet'!$B$10,Paramètres!$A$1:$I$89,3,0)*VLOOKUP('Données projet'!$B$10,Paramètres!$A$1:$I$89,5,0)</f>
        <v>0.66514269715336183</v>
      </c>
      <c r="AK5" s="14">
        <f t="shared" ref="AK5:AK68" si="35">EXP(-1.0587+0.8836*LN(AJ5)+0.284)</f>
        <v>0.3214249656415451</v>
      </c>
      <c r="AL5" s="22">
        <f t="shared" si="4"/>
        <v>1.7182720127011295</v>
      </c>
      <c r="AM5" s="62">
        <f t="shared" si="5"/>
        <v>295.05160534603442</v>
      </c>
      <c r="AN5" s="62">
        <f ca="1">AVERAGE(OFFSET($AM$3,0,0,'Données projet'!$E$10+1,1))-AVERAGE(OFFSET($H$3,0,0,'Données projet'!$E$10+1,1))</f>
        <v>215.04236469150038</v>
      </c>
      <c r="AO5" s="62">
        <f t="shared" ref="AO5:AO68" si="36">$AO$3</f>
        <v>160.72275701448416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2">
        <f t="shared" si="32"/>
        <v>0.77237742491396744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70">
        <f t="shared" si="1"/>
        <v>297.80310734839179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5.7692307692307692</v>
      </c>
      <c r="N6" s="14">
        <f>IF('Données projet'!$A$36&gt;35,N5+M6-V5,IF(A6&lt;'Données projet'!$A$36,$K$205^A6,IF(A6='Données projet'!$A$36,'Données projet'!$B$36,N5+M6-V5)))</f>
        <v>2.7083603389865027</v>
      </c>
      <c r="O6" s="14">
        <f>N6*VLOOKUP('Données projet'!$B$9,Paramètres!$A$1:$I$89,3,0)*VLOOKUP('Données projet'!$B$9,Paramètres!$A$1:$I$89,5,0)</f>
        <v>1.6195994827139286</v>
      </c>
      <c r="P6" s="14">
        <f t="shared" si="33"/>
        <v>0.70564236392136903</v>
      </c>
      <c r="Q6" s="22">
        <f t="shared" si="2"/>
        <v>4.0497962162231431</v>
      </c>
      <c r="R6" s="62">
        <f t="shared" si="0"/>
        <v>297.38312954955643</v>
      </c>
      <c r="S6" s="62">
        <f ca="1">AVERAGE(OFFSET($R$3,0,0,'Données projet'!$E$9+1,1))-AVERAGE(OFFSET($H$3,0,0,'Données projet'!$E$9+1,1))</f>
        <v>157.98488572680344</v>
      </c>
      <c r="T6" s="62">
        <f t="shared" si="34"/>
        <v>269.20989374735825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6.5</v>
      </c>
      <c r="AI6" s="14">
        <f>IF('Données projet'!$A$62&gt;35,AI5+AH6-AQ5,IF(A6&lt;'Données projet'!$A$62,$AF$205^A6,IF(A6='Données projet'!$A$62,'Données projet'!$B$62,AI5+AH6-AQ5)))</f>
        <v>1.6943513036291473</v>
      </c>
      <c r="AJ6" s="14">
        <f>AI6*VLOOKUP('Données projet'!$B$10,Paramètres!$A$1:$I$89,3,0)*VLOOKUP('Données projet'!$B$10,Paramètres!$A$1:$I$89,5,0)</f>
        <v>0.79295641009844098</v>
      </c>
      <c r="AK6" s="14">
        <f t="shared" si="35"/>
        <v>0.37542981454665864</v>
      </c>
      <c r="AL6" s="22">
        <f t="shared" si="4"/>
        <v>2.0349393412568815</v>
      </c>
      <c r="AM6" s="62">
        <f t="shared" si="5"/>
        <v>295.36827267459017</v>
      </c>
      <c r="AN6" s="62">
        <f ca="1">AVERAGE(OFFSET($AM$3,0,0,'Données projet'!$E$10+1,1))-AVERAGE(OFFSET($H$3,0,0,'Données projet'!$E$10+1,1))</f>
        <v>215.04236469150038</v>
      </c>
      <c r="AO6" s="62">
        <f t="shared" si="36"/>
        <v>160.72275701448416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2">
        <f t="shared" si="32"/>
        <v>0.99592225982103644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70">
        <f t="shared" si="1"/>
        <v>299.23396460252161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5.7692307692307692</v>
      </c>
      <c r="N7" s="14">
        <f>IF('Données projet'!$A$36&gt;35,N6+M7-V6,IF(A7&lt;'Données projet'!$A$36,$K$205^A7,IF(A7='Données projet'!$A$36,'Données projet'!$B$36,N6+M7-V6)))</f>
        <v>3.775217062651647</v>
      </c>
      <c r="O7" s="14">
        <f>N7*VLOOKUP('Données projet'!$B$9,Paramètres!$A$1:$I$89,3,0)*VLOOKUP('Données projet'!$B$9,Paramètres!$A$1:$I$89,5,0)</f>
        <v>2.2575798034656849</v>
      </c>
      <c r="P7" s="14">
        <f t="shared" si="33"/>
        <v>0.94630496324253699</v>
      </c>
      <c r="Q7" s="22">
        <f t="shared" si="2"/>
        <v>5.5800993020168193</v>
      </c>
      <c r="R7" s="62">
        <f t="shared" si="0"/>
        <v>298.91343263535015</v>
      </c>
      <c r="S7" s="62">
        <f ca="1">AVERAGE(OFFSET($R$3,0,0,'Données projet'!$E$9+1,1))-AVERAGE(OFFSET($H$3,0,0,'Données projet'!$E$9+1,1))</f>
        <v>157.98488572680344</v>
      </c>
      <c r="T7" s="62">
        <f t="shared" si="34"/>
        <v>269.20989374735825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6.5</v>
      </c>
      <c r="AI7" s="14">
        <f>IF('Données projet'!$A$62&gt;35,AI6+AH7-AQ6,IF(A7&lt;'Données projet'!$A$62,$AF$205^A7,IF(A7='Données projet'!$A$62,'Données projet'!$B$62,AI6+AH7-AQ6)))</f>
        <v>2.0199375756832532</v>
      </c>
      <c r="AJ7" s="14">
        <f>AI7*VLOOKUP('Données projet'!$B$10,Paramètres!$A$1:$I$89,3,0)*VLOOKUP('Données projet'!$B$10,Paramètres!$A$1:$I$89,5,0)</f>
        <v>0.94533078541976245</v>
      </c>
      <c r="AK7" s="14">
        <f t="shared" si="35"/>
        <v>0.43850839454619067</v>
      </c>
      <c r="AL7" s="22">
        <f t="shared" si="4"/>
        <v>2.4101865717740352</v>
      </c>
      <c r="AM7" s="62">
        <f t="shared" si="5"/>
        <v>295.74351990510735</v>
      </c>
      <c r="AN7" s="62">
        <f ca="1">AVERAGE(OFFSET($AM$3,0,0,'Données projet'!$E$10+1,1))-AVERAGE(OFFSET($H$3,0,0,'Données projet'!$E$10+1,1))</f>
        <v>215.04236469150038</v>
      </c>
      <c r="AO7" s="62">
        <f t="shared" si="36"/>
        <v>160.72275701448416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2">
        <f t="shared" si="32"/>
        <v>1.2129841524368585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70">
        <f t="shared" si="1"/>
        <v>300.65353073216085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5.7692307692307692</v>
      </c>
      <c r="N8" s="14">
        <f>IF('Données projet'!$A$36&gt;35,N7+M8-V7,IF(A8&lt;'Données projet'!$A$36,$K$205^A8,IF(A8='Données projet'!$A$36,'Données projet'!$B$36,N7+M8-V7)))</f>
        <v>5.2623218797648903</v>
      </c>
      <c r="O8" s="14">
        <f>N8*VLOOKUP('Données projet'!$B$9,Paramètres!$A$1:$I$89,3,0)*VLOOKUP('Données projet'!$B$9,Paramètres!$A$1:$I$89,5,0)</f>
        <v>3.1468684840994046</v>
      </c>
      <c r="P8" s="14">
        <f t="shared" si="33"/>
        <v>1.2690466576879811</v>
      </c>
      <c r="Q8" s="22">
        <f t="shared" si="2"/>
        <v>7.6910522052796955</v>
      </c>
      <c r="R8" s="62">
        <f t="shared" si="0"/>
        <v>301.02438553861299</v>
      </c>
      <c r="S8" s="62">
        <f ca="1">AVERAGE(OFFSET($R$3,0,0,'Données projet'!$E$9+1,1))-AVERAGE(OFFSET($H$3,0,0,'Données projet'!$E$9+1,1))</f>
        <v>157.98488572680344</v>
      </c>
      <c r="T8" s="62">
        <f t="shared" si="34"/>
        <v>269.20989374735825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6.5</v>
      </c>
      <c r="AI8" s="14">
        <f>IF('Données projet'!$A$62&gt;35,AI7+AH8-AQ7,IF(A8&lt;'Données projet'!$A$62,$AF$205^A8,IF(A8='Données projet'!$A$62,'Données projet'!$B$62,AI7+AH8-AQ7)))</f>
        <v>2.4080884530367643</v>
      </c>
      <c r="AJ8" s="14">
        <f>AI8*VLOOKUP('Données projet'!$B$10,Paramètres!$A$1:$I$89,3,0)*VLOOKUP('Données projet'!$B$10,Paramètres!$A$1:$I$89,5,0)</f>
        <v>1.1269853960212057</v>
      </c>
      <c r="AK8" s="14">
        <f t="shared" si="35"/>
        <v>0.51218524644792107</v>
      </c>
      <c r="AL8" s="22">
        <f t="shared" si="4"/>
        <v>2.8548888689670626</v>
      </c>
      <c r="AM8" s="62">
        <f t="shared" si="5"/>
        <v>296.18822220230038</v>
      </c>
      <c r="AN8" s="62">
        <f ca="1">AVERAGE(OFFSET($AM$3,0,0,'Données projet'!$E$10+1,1))-AVERAGE(OFFSET($H$3,0,0,'Données projet'!$E$10+1,1))</f>
        <v>215.04236469150038</v>
      </c>
      <c r="AO8" s="62">
        <f t="shared" si="36"/>
        <v>160.72275701448416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2">
        <f t="shared" si="32"/>
        <v>1.4250157876217819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70">
        <f t="shared" si="1"/>
        <v>302.06433583010789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5.7692307692307692</v>
      </c>
      <c r="N9" s="14">
        <f>IF('Données projet'!$A$36&gt;35,N8+M9-V8,IF(A9&lt;'Données projet'!$A$36,$K$205^A9,IF(A9='Données projet'!$A$36,'Données projet'!$B$36,N8+M9-V8)))</f>
        <v>7.3352157257950852</v>
      </c>
      <c r="O9" s="14">
        <f>N9*VLOOKUP('Données projet'!$B$9,Paramètres!$A$1:$I$89,3,0)*VLOOKUP('Données projet'!$B$9,Paramètres!$A$1:$I$89,5,0)</f>
        <v>4.3864590040254612</v>
      </c>
      <c r="P9" s="14">
        <f t="shared" si="33"/>
        <v>1.7018609031391834</v>
      </c>
      <c r="Q9" s="22">
        <f t="shared" si="2"/>
        <v>10.603823838311754</v>
      </c>
      <c r="R9" s="62">
        <f t="shared" si="0"/>
        <v>303.93715717164508</v>
      </c>
      <c r="S9" s="62">
        <f ca="1">AVERAGE(OFFSET($R$3,0,0,'Données projet'!$E$9+1,1))-AVERAGE(OFFSET($H$3,0,0,'Données projet'!$E$9+1,1))</f>
        <v>157.98488572680344</v>
      </c>
      <c r="T9" s="62">
        <f t="shared" si="34"/>
        <v>269.20989374735825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6.5</v>
      </c>
      <c r="AI9" s="14">
        <f>IF('Données projet'!$A$62&gt;35,AI8+AH9-AQ8,IF(A9&lt;'Données projet'!$A$62,$AF$205^A9,IF(A9='Données projet'!$A$62,'Données projet'!$B$62,AI8+AH9-AQ8)))</f>
        <v>2.8708263401097907</v>
      </c>
      <c r="AJ9" s="14">
        <f>AI9*VLOOKUP('Données projet'!$B$10,Paramètres!$A$1:$I$89,3,0)*VLOOKUP('Données projet'!$B$10,Paramètres!$A$1:$I$89,5,0)</f>
        <v>1.3435467271713821</v>
      </c>
      <c r="AK9" s="14">
        <f t="shared" si="35"/>
        <v>0.59824105978724762</v>
      </c>
      <c r="AL9" s="22">
        <f t="shared" si="4"/>
        <v>3.3819470622862799</v>
      </c>
      <c r="AM9" s="62">
        <f t="shared" si="5"/>
        <v>296.71528039561957</v>
      </c>
      <c r="AN9" s="62">
        <f ca="1">AVERAGE(OFFSET($AM$3,0,0,'Données projet'!$E$10+1,1))-AVERAGE(OFFSET($H$3,0,0,'Données projet'!$E$10+1,1))</f>
        <v>215.04236469150038</v>
      </c>
      <c r="AO9" s="62">
        <f t="shared" si="36"/>
        <v>160.72275701448416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2">
        <f t="shared" si="32"/>
        <v>1.6329536551363955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70">
        <f t="shared" si="1"/>
        <v>303.46801094936251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5.7692307692307692</v>
      </c>
      <c r="N10" s="14">
        <f>IF('Données projet'!$A$36&gt;35,N9+M10-V9,IF(A10&lt;'Données projet'!$A$36,$K$205^A10,IF(A10='Données projet'!$A$36,'Données projet'!$B$36,N9+M10-V9)))</f>
        <v>10.224648163550844</v>
      </c>
      <c r="O10" s="14">
        <f>N10*VLOOKUP('Données projet'!$B$9,Paramètres!$A$1:$I$89,3,0)*VLOOKUP('Données projet'!$B$9,Paramètres!$A$1:$I$89,5,0)</f>
        <v>6.1143396018034055</v>
      </c>
      <c r="P10" s="14">
        <f t="shared" si="33"/>
        <v>2.2822884533736612</v>
      </c>
      <c r="Q10" s="22">
        <f t="shared" si="2"/>
        <v>14.624127196100055</v>
      </c>
      <c r="R10" s="62">
        <f t="shared" si="0"/>
        <v>307.95746052943338</v>
      </c>
      <c r="S10" s="62">
        <f ca="1">AVERAGE(OFFSET($R$3,0,0,'Données projet'!$E$9+1,1))-AVERAGE(OFFSET($H$3,0,0,'Données projet'!$E$9+1,1))</f>
        <v>157.98488572680344</v>
      </c>
      <c r="T10" s="62">
        <f t="shared" si="34"/>
        <v>269.20989374735825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6.5</v>
      </c>
      <c r="AI10" s="14">
        <f>IF('Données projet'!$A$62&gt;35,AI9+AH10-AQ9,IF(A10&lt;'Données projet'!$A$62,$AF$205^A10,IF(A10='Données projet'!$A$62,'Données projet'!$B$62,AI9+AH10-AQ9)))</f>
        <v>3.4224838646084192</v>
      </c>
      <c r="AJ10" s="14">
        <f>AI10*VLOOKUP('Données projet'!$B$10,Paramètres!$A$1:$I$89,3,0)*VLOOKUP('Données projet'!$B$10,Paramètres!$A$1:$I$89,5,0)</f>
        <v>1.6017224486367401</v>
      </c>
      <c r="AK10" s="14">
        <f t="shared" si="35"/>
        <v>0.69875571016034643</v>
      </c>
      <c r="AL10" s="22">
        <f t="shared" si="4"/>
        <v>4.0066661265715924</v>
      </c>
      <c r="AM10" s="62">
        <f t="shared" si="5"/>
        <v>297.3399994599049</v>
      </c>
      <c r="AN10" s="62">
        <f ca="1">AVERAGE(OFFSET($AM$3,0,0,'Données projet'!$E$10+1,1))-AVERAGE(OFFSET($H$3,0,0,'Données projet'!$E$10+1,1))</f>
        <v>215.04236469150038</v>
      </c>
      <c r="AO10" s="62">
        <f t="shared" si="36"/>
        <v>160.72275701448416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2">
        <f t="shared" si="32"/>
        <v>1.8374500570715413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70">
        <f t="shared" si="1"/>
        <v>304.86569218273291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5.7692307692307692</v>
      </c>
      <c r="N11" s="14">
        <f>IF('Données projet'!$A$36&gt;35,N10+M11-V10,IF(A11&lt;'Données projet'!$A$36,$K$205^A11,IF(A11='Données projet'!$A$36,'Données projet'!$B$36,N10+M11-V10)))</f>
        <v>14.252263870136129</v>
      </c>
      <c r="O11" s="14">
        <f>N11*VLOOKUP('Données projet'!$B$9,Paramètres!$A$1:$I$89,3,0)*VLOOKUP('Données projet'!$B$9,Paramètres!$A$1:$I$89,5,0)</f>
        <v>8.5228537943414064</v>
      </c>
      <c r="P11" s="14">
        <f t="shared" si="33"/>
        <v>3.0606735102702713</v>
      </c>
      <c r="Q11" s="22">
        <f t="shared" si="2"/>
        <v>20.174643388865338</v>
      </c>
      <c r="R11" s="62">
        <f t="shared" si="0"/>
        <v>313.50797672219863</v>
      </c>
      <c r="S11" s="62">
        <f ca="1">AVERAGE(OFFSET($R$3,0,0,'Données projet'!$E$9+1,1))-AVERAGE(OFFSET($H$3,0,0,'Données projet'!$E$9+1,1))</f>
        <v>157.98488572680344</v>
      </c>
      <c r="T11" s="62">
        <f t="shared" si="34"/>
        <v>269.20989374735825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6.5</v>
      </c>
      <c r="AI11" s="14">
        <f>IF('Données projet'!$A$62&gt;35,AI10+AH11-AQ10,IF(A11&lt;'Données projet'!$A$62,$AF$205^A11,IF(A11='Données projet'!$A$62,'Données projet'!$B$62,AI10+AH11-AQ10)))</f>
        <v>4.080147809657138</v>
      </c>
      <c r="AJ11" s="14">
        <f>AI11*VLOOKUP('Données projet'!$B$10,Paramètres!$A$1:$I$89,3,0)*VLOOKUP('Données projet'!$B$10,Paramètres!$A$1:$I$89,5,0)</f>
        <v>1.9095091749195405</v>
      </c>
      <c r="AK11" s="14">
        <f t="shared" si="35"/>
        <v>0.81615852755965934</v>
      </c>
      <c r="AL11" s="22">
        <f t="shared" si="4"/>
        <v>4.7472045818179396</v>
      </c>
      <c r="AM11" s="62">
        <f t="shared" si="5"/>
        <v>298.08053791515124</v>
      </c>
      <c r="AN11" s="62">
        <f ca="1">AVERAGE(OFFSET($AM$3,0,0,'Données projet'!$E$10+1,1))-AVERAGE(OFFSET($H$3,0,0,'Données projet'!$E$10+1,1))</f>
        <v>215.04236469150038</v>
      </c>
      <c r="AO11" s="62">
        <f t="shared" si="36"/>
        <v>160.72275701448416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2">
        <f t="shared" si="32"/>
        <v>2.038984443761938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70">
        <f t="shared" si="1"/>
        <v>306.25821457288538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5.7692307692307692</v>
      </c>
      <c r="N12" s="14">
        <f>IF('Données projet'!$A$36&gt;35,N11+M12-V11,IF(A12&lt;'Données projet'!$A$36,$K$205^A12,IF(A12='Données projet'!$A$36,'Données projet'!$B$36,N11+M12-V11)))</f>
        <v>19.866407349653503</v>
      </c>
      <c r="O12" s="14">
        <f>N12*VLOOKUP('Données projet'!$B$9,Paramètres!$A$1:$I$89,3,0)*VLOOKUP('Données projet'!$B$9,Paramètres!$A$1:$I$89,5,0)</f>
        <v>11.880111595092796</v>
      </c>
      <c r="P12" s="14">
        <f t="shared" si="33"/>
        <v>4.1045303991363813</v>
      </c>
      <c r="Q12" s="22">
        <f t="shared" si="2"/>
        <v>27.839918139949148</v>
      </c>
      <c r="R12" s="62">
        <f t="shared" si="0"/>
        <v>321.17325147328245</v>
      </c>
      <c r="S12" s="62">
        <f ca="1">AVERAGE(OFFSET($R$3,0,0,'Données projet'!$E$9+1,1))-AVERAGE(OFFSET($H$3,0,0,'Données projet'!$E$9+1,1))</f>
        <v>157.98488572680344</v>
      </c>
      <c r="T12" s="62">
        <f t="shared" si="34"/>
        <v>269.20989374735825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6.5</v>
      </c>
      <c r="AI12" s="14">
        <f>IF('Données projet'!$A$62&gt;35,AI11+AH12-AQ11,IF(A12&lt;'Données projet'!$A$62,$AF$205^A12,IF(A12='Données projet'!$A$62,'Données projet'!$B$62,AI11+AH12-AQ11)))</f>
        <v>4.8641883518579174</v>
      </c>
      <c r="AJ12" s="14">
        <f>AI12*VLOOKUP('Données projet'!$B$10,Paramètres!$A$1:$I$89,3,0)*VLOOKUP('Données projet'!$B$10,Paramètres!$A$1:$I$89,5,0)</f>
        <v>2.2764401486695052</v>
      </c>
      <c r="AK12" s="14">
        <f t="shared" si="35"/>
        <v>0.95328701064281096</v>
      </c>
      <c r="AL12" s="22">
        <f t="shared" si="4"/>
        <v>5.6251081358022832</v>
      </c>
      <c r="AM12" s="62">
        <f t="shared" si="5"/>
        <v>298.95844146913561</v>
      </c>
      <c r="AN12" s="62">
        <f ca="1">AVERAGE(OFFSET($AM$3,0,0,'Données projet'!$E$10+1,1))-AVERAGE(OFFSET($H$3,0,0,'Données projet'!$E$10+1,1))</f>
        <v>215.04236469150038</v>
      </c>
      <c r="AO12" s="62">
        <f t="shared" si="36"/>
        <v>160.72275701448416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2">
        <f t="shared" si="32"/>
        <v>2.2379234705753914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70">
        <f t="shared" si="1"/>
        <v>307.64621671125212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5.7692307692307692</v>
      </c>
      <c r="N13" s="14">
        <f>IF('Données projet'!$A$36&gt;35,N12+M13-V12,IF(A13&lt;'Données projet'!$A$36,$K$205^A13,IF(A13='Données projet'!$A$36,'Données projet'!$B$36,N12+M13-V12)))</f>
        <v>27.69203156625229</v>
      </c>
      <c r="O13" s="14">
        <f>N13*VLOOKUP('Données projet'!$B$9,Paramètres!$A$1:$I$89,3,0)*VLOOKUP('Données projet'!$B$9,Paramètres!$A$1:$I$89,5,0)</f>
        <v>16.559834876618869</v>
      </c>
      <c r="P13" s="14">
        <f t="shared" si="33"/>
        <v>5.5043995188977117</v>
      </c>
      <c r="Q13" s="22">
        <f t="shared" si="2"/>
        <v>38.428541572191371</v>
      </c>
      <c r="R13" s="62">
        <f t="shared" si="0"/>
        <v>331.76187490552468</v>
      </c>
      <c r="S13" s="62">
        <f ca="1">AVERAGE(OFFSET($R$3,0,0,'Données projet'!$E$9+1,1))-AVERAGE(OFFSET($H$3,0,0,'Données projet'!$E$9+1,1))</f>
        <v>157.98488572680344</v>
      </c>
      <c r="T13" s="62">
        <f t="shared" si="34"/>
        <v>269.20989374735825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6.5</v>
      </c>
      <c r="AI13" s="14">
        <f>IF('Données projet'!$A$62&gt;35,AI12+AH13-AQ12,IF(A13&lt;'Données projet'!$A$62,$AF$205^A13,IF(A13='Données projet'!$A$62,'Données projet'!$B$62,AI12+AH13-AQ12)))</f>
        <v>5.7988899976489963</v>
      </c>
      <c r="AJ13" s="14">
        <f>AI13*VLOOKUP('Données projet'!$B$10,Paramètres!$A$1:$I$89,3,0)*VLOOKUP('Données projet'!$B$10,Paramètres!$A$1:$I$89,5,0)</f>
        <v>2.7138805188997304</v>
      </c>
      <c r="AK13" s="14">
        <f t="shared" si="35"/>
        <v>1.1134554059951043</v>
      </c>
      <c r="AL13" s="22">
        <f t="shared" si="4"/>
        <v>6.66594340252517</v>
      </c>
      <c r="AM13" s="62">
        <f t="shared" si="5"/>
        <v>299.99927673585847</v>
      </c>
      <c r="AN13" s="62">
        <f ca="1">AVERAGE(OFFSET($AM$3,0,0,'Données projet'!$E$10+1,1))-AVERAGE(OFFSET($H$3,0,0,'Données projet'!$E$10+1,1))</f>
        <v>215.04236469150038</v>
      </c>
      <c r="AO13" s="62">
        <f t="shared" si="36"/>
        <v>160.72275701448416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2">
        <f t="shared" si="32"/>
        <v>2.4345562183329115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70">
        <f t="shared" si="1"/>
        <v>309.03020208026311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5.7692307692307692</v>
      </c>
      <c r="N14" s="14">
        <f>IF('Données projet'!$A$36&gt;35,N13+M14-V13,IF(A14&lt;'Données projet'!$A$36,$K$205^A14,IF(A14='Données projet'!$A$36,'Données projet'!$B$36,N13+M14-V13)))</f>
        <v>38.600266206646971</v>
      </c>
      <c r="O14" s="14">
        <f>N14*VLOOKUP('Données projet'!$B$9,Paramètres!$A$1:$I$89,3,0)*VLOOKUP('Données projet'!$B$9,Paramètres!$A$1:$I$89,5,0)</f>
        <v>23.08295919157489</v>
      </c>
      <c r="P14" s="14">
        <f t="shared" si="33"/>
        <v>7.3817004912465372</v>
      </c>
      <c r="Q14" s="22">
        <f t="shared" si="2"/>
        <v>53.059282280913983</v>
      </c>
      <c r="R14" s="62">
        <f t="shared" si="0"/>
        <v>346.39261561424729</v>
      </c>
      <c r="S14" s="62">
        <f ca="1">AVERAGE(OFFSET($R$3,0,0,'Données projet'!$E$9+1,1))-AVERAGE(OFFSET($H$3,0,0,'Données projet'!$E$9+1,1))</f>
        <v>157.98488572680344</v>
      </c>
      <c r="T14" s="62">
        <f t="shared" si="34"/>
        <v>269.20989374735825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6.5</v>
      </c>
      <c r="AI14" s="14">
        <f>IF('Données projet'!$A$62&gt;35,AI13+AH14-AQ13,IF(A14&lt;'Données projet'!$A$62,$AF$205^A14,IF(A14='Données projet'!$A$62,'Données projet'!$B$62,AI13+AH14-AQ13)))</f>
        <v>6.9132037602921814</v>
      </c>
      <c r="AJ14" s="14">
        <f>AI14*VLOOKUP('Données projet'!$B$10,Paramètres!$A$1:$I$89,3,0)*VLOOKUP('Données projet'!$B$10,Paramètres!$A$1:$I$89,5,0)</f>
        <v>3.2353793598167409</v>
      </c>
      <c r="AK14" s="14">
        <f t="shared" si="35"/>
        <v>1.3005348098719234</v>
      </c>
      <c r="AL14" s="22">
        <f t="shared" si="4"/>
        <v>7.9000505122077564</v>
      </c>
      <c r="AM14" s="62">
        <f t="shared" si="5"/>
        <v>301.23338384554108</v>
      </c>
      <c r="AN14" s="62">
        <f ca="1">AVERAGE(OFFSET($AM$3,0,0,'Données projet'!$E$10+1,1))-AVERAGE(OFFSET($H$3,0,0,'Données projet'!$E$10+1,1))</f>
        <v>215.04236469150038</v>
      </c>
      <c r="AO14" s="62">
        <f t="shared" si="36"/>
        <v>160.72275701448416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2">
        <f t="shared" si="32"/>
        <v>2.629116193028969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70">
        <f t="shared" si="1"/>
        <v>310.41057736952541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5.7692307692307692</v>
      </c>
      <c r="N15" s="14">
        <f>IF('Données projet'!$A$36&gt;35,N14+M15-V14,IF(A15&lt;'Données projet'!$A$36,$K$205^A15,IF(A15='Données projet'!$A$36,'Données projet'!$B$36,N14+M15-V14)))</f>
        <v>53.805389743951515</v>
      </c>
      <c r="O15" s="14">
        <f>N15*VLOOKUP('Données projet'!$B$9,Paramètres!$A$1:$I$89,3,0)*VLOOKUP('Données projet'!$B$9,Paramètres!$A$1:$I$89,5,0)</f>
        <v>32.175623066883006</v>
      </c>
      <c r="P15" s="14">
        <f t="shared" si="33"/>
        <v>9.8992636627112418</v>
      </c>
      <c r="Q15" s="22">
        <f t="shared" si="2"/>
        <v>73.28042772070998</v>
      </c>
      <c r="R15" s="62">
        <f t="shared" si="0"/>
        <v>366.61376105404327</v>
      </c>
      <c r="S15" s="62">
        <f ca="1">AVERAGE(OFFSET($R$3,0,0,'Données projet'!$E$9+1,1))-AVERAGE(OFFSET($H$3,0,0,'Données projet'!$E$9+1,1))</f>
        <v>157.98488572680344</v>
      </c>
      <c r="T15" s="62">
        <f t="shared" si="34"/>
        <v>269.20989374735825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6.5</v>
      </c>
      <c r="AI15" s="14">
        <f>IF('Données projet'!$A$62&gt;35,AI14+AH15-AQ14,IF(A15&lt;'Données projet'!$A$62,$AF$205^A15,IF(A15='Données projet'!$A$62,'Données projet'!$B$62,AI14+AH15-AQ14)))</f>
        <v>8.2416438750681742</v>
      </c>
      <c r="AJ15" s="14">
        <f>AI15*VLOOKUP('Données projet'!$B$10,Paramètres!$A$1:$I$89,3,0)*VLOOKUP('Données projet'!$B$10,Paramètres!$A$1:$I$89,5,0)</f>
        <v>3.8570893335319059</v>
      </c>
      <c r="AK15" s="14">
        <f t="shared" si="35"/>
        <v>1.5190467283932132</v>
      </c>
      <c r="AL15" s="22">
        <f t="shared" si="4"/>
        <v>9.3634369745195816</v>
      </c>
      <c r="AM15" s="62">
        <f t="shared" si="5"/>
        <v>302.69677030785289</v>
      </c>
      <c r="AN15" s="62">
        <f ca="1">AVERAGE(OFFSET($AM$3,0,0,'Données projet'!$E$10+1,1))-AVERAGE(OFFSET($H$3,0,0,'Données projet'!$E$10+1,1))</f>
        <v>215.04236469150038</v>
      </c>
      <c r="AO15" s="62">
        <f t="shared" si="36"/>
        <v>160.72275701448416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2">
        <f t="shared" si="32"/>
        <v>2.8217957637427893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70">
        <f t="shared" si="1"/>
        <v>311.78767762185203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>
        <f>VLOOKUP(A16,'Données projet'!$A$35:$I$55,2,0)</f>
        <v>75</v>
      </c>
      <c r="L16" s="13">
        <f>VLOOKUP(A16,'Données projet'!$A$35:$I$55,9,0)</f>
        <v>5.7692307692307692</v>
      </c>
      <c r="M16" s="13">
        <f t="array" ref="M16">INDEX(L:L,MIN(IF(ISNUMBER(L16:L212),ROW(L16:L212),"")))</f>
        <v>5.7692307692307692</v>
      </c>
      <c r="N16" s="14">
        <f>IF('Données projet'!$A$36&gt;35,N15+M16-V15,IF(A16&lt;'Données projet'!$A$36,$K$205^A16,IF(A16='Données projet'!$A$36,'Données projet'!$B$36,N15+M16-V15)))</f>
        <v>75</v>
      </c>
      <c r="O16" s="14">
        <f>N16*VLOOKUP('Données projet'!$B$9,Paramètres!$A$1:$I$89,3,0)*VLOOKUP('Données projet'!$B$9,Paramètres!$A$1:$I$89,5,0)</f>
        <v>44.85</v>
      </c>
      <c r="P16" s="14">
        <f t="shared" si="33"/>
        <v>13.275453424327006</v>
      </c>
      <c r="Q16" s="22">
        <f t="shared" si="2"/>
        <v>101.2351647140362</v>
      </c>
      <c r="R16" s="62">
        <f t="shared" si="0"/>
        <v>394.56849804736953</v>
      </c>
      <c r="S16" s="62">
        <f ca="1">AVERAGE(OFFSET($R$3,0,0,'Données projet'!$E$9+1,1))-AVERAGE(OFFSET($H$3,0,0,'Données projet'!$E$9+1,1))</f>
        <v>157.98488572680344</v>
      </c>
      <c r="T16" s="62">
        <f t="shared" si="34"/>
        <v>269.20989374735825</v>
      </c>
      <c r="U16" s="16">
        <f>IF(ISNA(VLOOKUP(A16,'Données projet'!$A$35:$I$55,3,0)),0,VLOOKUP(A16,'Données projet'!$A$35:$I$55,3,0))</f>
        <v>1</v>
      </c>
      <c r="V16" s="16">
        <f>IF(ISNA(VLOOKUP(A16,'Données projet'!$A$35:$I$55,4,0)),0,VLOOKUP(A16,'Données projet'!$A$35:$I$55,4,0))</f>
        <v>15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1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10.1561237088124</v>
      </c>
      <c r="AC16" s="24">
        <f t="shared" si="3"/>
        <v>10.1561237088124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6.5</v>
      </c>
      <c r="AI16" s="14">
        <f>IF('Données projet'!$A$62&gt;35,AI15+AH16-AQ15,IF(A16&lt;'Données projet'!$A$62,$AF$205^A16,IF(A16='Données projet'!$A$62,'Données projet'!$B$62,AI15+AH16-AQ15)))</f>
        <v>9.8253568271186005</v>
      </c>
      <c r="AJ16" s="14">
        <f>AI16*VLOOKUP('Données projet'!$B$10,Paramètres!$A$1:$I$89,3,0)*VLOOKUP('Données projet'!$B$10,Paramètres!$A$1:$I$89,5,0)</f>
        <v>4.5982669950915049</v>
      </c>
      <c r="AK16" s="14">
        <f t="shared" si="35"/>
        <v>1.7742723574383734</v>
      </c>
      <c r="AL16" s="22">
        <f t="shared" si="4"/>
        <v>11.098839372322871</v>
      </c>
      <c r="AM16" s="62">
        <f t="shared" si="5"/>
        <v>304.43217270565617</v>
      </c>
      <c r="AN16" s="62">
        <f ca="1">AVERAGE(OFFSET($AM$3,0,0,'Données projet'!$E$10+1,1))-AVERAGE(OFFSET($H$3,0,0,'Données projet'!$E$10+1,1))</f>
        <v>215.04236469150038</v>
      </c>
      <c r="AO16" s="62">
        <f t="shared" si="36"/>
        <v>160.72275701448416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2">
        <f t="shared" si="32"/>
        <v>3.0127560231104038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70">
        <f t="shared" si="1"/>
        <v>313.16178340691727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17.166666666666668</v>
      </c>
      <c r="N17" s="14">
        <f>IF('Données projet'!$A$36&gt;35,N16+M17-V16,IF(A17&lt;'Données projet'!$A$36,$K$205^A17,IF(A17='Données projet'!$A$36,'Données projet'!$B$36,N16+M17-V16)))</f>
        <v>77.166666666666671</v>
      </c>
      <c r="O17" s="14">
        <f>N17*VLOOKUP('Données projet'!$B$9,Paramètres!$A$1:$I$89,3,0)*VLOOKUP('Données projet'!$B$9,Paramètres!$A$1:$I$89,5,0)</f>
        <v>46.145666666666671</v>
      </c>
      <c r="P17" s="14">
        <f t="shared" si="33"/>
        <v>13.613761874667908</v>
      </c>
      <c r="Q17" s="22">
        <f t="shared" si="2"/>
        <v>104.08100470949104</v>
      </c>
      <c r="R17" s="62">
        <f t="shared" si="0"/>
        <v>397.41433804282434</v>
      </c>
      <c r="S17" s="62">
        <f ca="1">AVERAGE(OFFSET($R$3,0,0,'Données projet'!$E$9+1,1))-AVERAGE(OFFSET($H$3,0,0,'Données projet'!$E$9+1,1))</f>
        <v>157.98488572680344</v>
      </c>
      <c r="T17" s="62">
        <f t="shared" si="34"/>
        <v>269.20989374735825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7.1814639450707176</v>
      </c>
      <c r="AC17" s="24">
        <f t="shared" si="3"/>
        <v>7.1814639450707176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6.5</v>
      </c>
      <c r="AI17" s="14">
        <f>IF('Données projet'!$A$62&gt;35,AI16+AH17-AQ16,IF(A17&lt;'Données projet'!$A$62,$AF$205^A17,IF(A17='Données projet'!$A$62,'Données projet'!$B$62,AI16+AH17-AQ16)))</f>
        <v>11.71339580350498</v>
      </c>
      <c r="AJ17" s="14">
        <f>AI17*VLOOKUP('Données projet'!$B$10,Paramètres!$A$1:$I$89,3,0)*VLOOKUP('Données projet'!$B$10,Paramètres!$A$1:$I$89,5,0)</f>
        <v>5.4818692360403301</v>
      </c>
      <c r="AK17" s="14">
        <f t="shared" si="35"/>
        <v>2.0723802234180093</v>
      </c>
      <c r="AL17" s="22">
        <f t="shared" si="4"/>
        <v>13.156984475223274</v>
      </c>
      <c r="AM17" s="62">
        <f t="shared" si="5"/>
        <v>306.4903178085566</v>
      </c>
      <c r="AN17" s="62">
        <f ca="1">AVERAGE(OFFSET($AM$3,0,0,'Données projet'!$E$10+1,1))-AVERAGE(OFFSET($H$3,0,0,'Données projet'!$E$10+1,1))</f>
        <v>215.04236469150038</v>
      </c>
      <c r="AO17" s="62">
        <f t="shared" si="36"/>
        <v>160.72275701448416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2">
        <f t="shared" si="32"/>
        <v>3.2021337464957651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70">
        <f t="shared" si="1"/>
        <v>314.53313294181345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17.166666666666668</v>
      </c>
      <c r="N18" s="14">
        <f>IF('Données projet'!$A$36&gt;35,N17+M18-V17,IF(A18&lt;'Données projet'!$A$36,$K$205^A18,IF(A18='Données projet'!$A$36,'Données projet'!$B$36,N17+M18-V17)))</f>
        <v>94.333333333333343</v>
      </c>
      <c r="O18" s="14">
        <f>N18*VLOOKUP('Données projet'!$B$9,Paramètres!$A$1:$I$89,3,0)*VLOOKUP('Données projet'!$B$9,Paramètres!$A$1:$I$89,5,0)</f>
        <v>56.411333333333339</v>
      </c>
      <c r="P18" s="14">
        <f t="shared" si="33"/>
        <v>16.257710461388346</v>
      </c>
      <c r="Q18" s="22">
        <f t="shared" si="2"/>
        <v>126.56525127580693</v>
      </c>
      <c r="R18" s="62">
        <f t="shared" si="0"/>
        <v>419.89858460914024</v>
      </c>
      <c r="S18" s="62">
        <f ca="1">AVERAGE(OFFSET($R$3,0,0,'Données projet'!$E$9+1,1))-AVERAGE(OFFSET($H$3,0,0,'Données projet'!$E$9+1,1))</f>
        <v>157.98488572680344</v>
      </c>
      <c r="T18" s="62">
        <f t="shared" si="34"/>
        <v>269.20989374735825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5.0780618544062008</v>
      </c>
      <c r="AC18" s="24">
        <f t="shared" si="3"/>
        <v>5.0780618544062008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6.5</v>
      </c>
      <c r="AI18" s="14">
        <f>IF('Données projet'!$A$62&gt;35,AI17+AH18-AQ17,IF(A18&lt;'Données projet'!$A$62,$AF$205^A18,IF(A18='Données projet'!$A$62,'Données projet'!$B$62,AI17+AH18-AQ17)))</f>
        <v>13.964240043768939</v>
      </c>
      <c r="AJ18" s="14">
        <f>AI18*VLOOKUP('Données projet'!$B$10,Paramètres!$A$1:$I$89,3,0)*VLOOKUP('Données projet'!$B$10,Paramètres!$A$1:$I$89,5,0)</f>
        <v>6.5352643404838631</v>
      </c>
      <c r="AK18" s="14">
        <f t="shared" si="35"/>
        <v>2.4205752698614362</v>
      </c>
      <c r="AL18" s="22">
        <f t="shared" si="4"/>
        <v>15.598087321351393</v>
      </c>
      <c r="AM18" s="62">
        <f t="shared" si="5"/>
        <v>308.9314206546847</v>
      </c>
      <c r="AN18" s="62">
        <f ca="1">AVERAGE(OFFSET($AM$3,0,0,'Données projet'!$E$10+1,1))-AVERAGE(OFFSET($H$3,0,0,'Données projet'!$E$10+1,1))</f>
        <v>215.04236469150038</v>
      </c>
      <c r="AO18" s="62">
        <f t="shared" si="36"/>
        <v>160.72275701448416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2">
        <f t="shared" si="32"/>
        <v>3.3900464408124646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70">
        <f t="shared" si="1"/>
        <v>315.90193088441504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17.166666666666668</v>
      </c>
      <c r="N19" s="14">
        <f>IF('Données projet'!$A$36&gt;35,N18+M19-V18,IF(A19&lt;'Données projet'!$A$36,$K$205^A19,IF(A19='Données projet'!$A$36,'Données projet'!$B$36,N18+M19-V18)))</f>
        <v>111.50000000000001</v>
      </c>
      <c r="O19" s="14">
        <f>N19*VLOOKUP('Données projet'!$B$9,Paramètres!$A$1:$I$89,3,0)*VLOOKUP('Données projet'!$B$9,Paramètres!$A$1:$I$89,5,0)</f>
        <v>66.677000000000007</v>
      </c>
      <c r="P19" s="14">
        <f t="shared" si="33"/>
        <v>18.845918291779732</v>
      </c>
      <c r="Q19" s="22">
        <f t="shared" si="2"/>
        <v>148.95241602484973</v>
      </c>
      <c r="R19" s="62">
        <f t="shared" si="0"/>
        <v>442.28574935818301</v>
      </c>
      <c r="S19" s="62">
        <f ca="1">AVERAGE(OFFSET($R$3,0,0,'Données projet'!$E$9+1,1))-AVERAGE(OFFSET($H$3,0,0,'Données projet'!$E$9+1,1))</f>
        <v>157.98488572680344</v>
      </c>
      <c r="T19" s="62">
        <f t="shared" si="34"/>
        <v>269.20989374735825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3.5907319725353593</v>
      </c>
      <c r="AC19" s="24">
        <f t="shared" si="3"/>
        <v>3.5907319725353593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6.5</v>
      </c>
      <c r="AI19" s="14">
        <f>IF('Données projet'!$A$62&gt;35,AI18+AH19-AQ18,IF(A19&lt;'Données projet'!$A$62,$AF$205^A19,IF(A19='Données projet'!$A$62,'Données projet'!$B$62,AI18+AH19-AQ18)))</f>
        <v>16.647606148649942</v>
      </c>
      <c r="AJ19" s="14">
        <f>AI19*VLOOKUP('Données projet'!$B$10,Paramètres!$A$1:$I$89,3,0)*VLOOKUP('Données projet'!$B$10,Paramètres!$A$1:$I$89,5,0)</f>
        <v>7.791079677568173</v>
      </c>
      <c r="AK19" s="14">
        <f t="shared" si="35"/>
        <v>2.8272729930809319</v>
      </c>
      <c r="AL19" s="22">
        <f t="shared" si="4"/>
        <v>18.493630901380524</v>
      </c>
      <c r="AM19" s="62">
        <f t="shared" si="5"/>
        <v>311.82696423471384</v>
      </c>
      <c r="AN19" s="62">
        <f ca="1">AVERAGE(OFFSET($AM$3,0,0,'Données projet'!$E$10+1,1))-AVERAGE(OFFSET($H$3,0,0,'Données projet'!$E$10+1,1))</f>
        <v>215.04236469150038</v>
      </c>
      <c r="AO19" s="62">
        <f t="shared" si="36"/>
        <v>160.72275701448416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2">
        <f t="shared" si="32"/>
        <v>3.576596094420871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70">
        <f t="shared" si="1"/>
        <v>317.26835486444969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17.166666666666668</v>
      </c>
      <c r="N20" s="14">
        <f>IF('Données projet'!$A$36&gt;35,N19+M20-V19,IF(A20&lt;'Données projet'!$A$36,$K$205^A20,IF(A20='Données projet'!$A$36,'Données projet'!$B$36,N19+M20-V19)))</f>
        <v>128.66666666666669</v>
      </c>
      <c r="O20" s="14">
        <f>N20*VLOOKUP('Données projet'!$B$9,Paramètres!$A$1:$I$89,3,0)*VLOOKUP('Données projet'!$B$9,Paramètres!$A$1:$I$89,5,0)</f>
        <v>76.942666666666682</v>
      </c>
      <c r="P20" s="14">
        <f t="shared" si="33"/>
        <v>21.387963426287346</v>
      </c>
      <c r="Q20" s="22">
        <f t="shared" si="2"/>
        <v>171.25918074522826</v>
      </c>
      <c r="R20" s="62">
        <f t="shared" si="0"/>
        <v>464.59251407856158</v>
      </c>
      <c r="S20" s="62">
        <f ca="1">AVERAGE(OFFSET($R$3,0,0,'Données projet'!$E$9+1,1))-AVERAGE(OFFSET($H$3,0,0,'Données projet'!$E$9+1,1))</f>
        <v>157.98488572680344</v>
      </c>
      <c r="T20" s="62">
        <f t="shared" si="34"/>
        <v>269.20989374735825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2.5390309272031004</v>
      </c>
      <c r="AC20" s="24">
        <f t="shared" si="3"/>
        <v>2.5390309272031004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6.5</v>
      </c>
      <c r="AI20" s="14">
        <f>IF('Données projet'!$A$62&gt;35,AI19+AH20-AQ19,IF(A20&lt;'Données projet'!$A$62,$AF$205^A20,IF(A20='Données projet'!$A$62,'Données projet'!$B$62,AI19+AH20-AQ19)))</f>
        <v>19.846607449592845</v>
      </c>
      <c r="AJ20" s="14">
        <f>AI20*VLOOKUP('Données projet'!$B$10,Paramètres!$A$1:$I$89,3,0)*VLOOKUP('Données projet'!$B$10,Paramètres!$A$1:$I$89,5,0)</f>
        <v>9.2882122864094523</v>
      </c>
      <c r="AK20" s="14">
        <f t="shared" si="35"/>
        <v>3.3023028355827138</v>
      </c>
      <c r="AL20" s="22">
        <f t="shared" si="4"/>
        <v>21.928480504136356</v>
      </c>
      <c r="AM20" s="62">
        <f t="shared" si="5"/>
        <v>315.26181383746967</v>
      </c>
      <c r="AN20" s="62">
        <f ca="1">AVERAGE(OFFSET($AM$3,0,0,'Données projet'!$E$10+1,1))-AVERAGE(OFFSET($H$3,0,0,'Données projet'!$E$10+1,1))</f>
        <v>215.04236469150038</v>
      </c>
      <c r="AO20" s="62">
        <f t="shared" si="36"/>
        <v>160.72275701448416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2">
        <f t="shared" si="32"/>
        <v>3.76187201923933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70">
        <f t="shared" si="1"/>
        <v>318.6325604335085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17.166666666666668</v>
      </c>
      <c r="N21" s="14">
        <f>IF('Données projet'!$A$36&gt;35,N20+M21-V20,IF(A21&lt;'Données projet'!$A$36,$K$205^A21,IF(A21='Données projet'!$A$36,'Données projet'!$B$36,N20+M21-V20)))</f>
        <v>145.83333333333334</v>
      </c>
      <c r="O21" s="14">
        <f>N21*VLOOKUP('Données projet'!$B$9,Paramètres!$A$1:$I$89,3,0)*VLOOKUP('Données projet'!$B$9,Paramètres!$A$1:$I$89,5,0)</f>
        <v>87.208333333333343</v>
      </c>
      <c r="P21" s="14">
        <f t="shared" si="33"/>
        <v>23.890712489742075</v>
      </c>
      <c r="Q21" s="22">
        <f t="shared" si="2"/>
        <v>193.49750480852299</v>
      </c>
      <c r="R21" s="62">
        <f t="shared" si="0"/>
        <v>486.8308381418563</v>
      </c>
      <c r="S21" s="62">
        <f ca="1">AVERAGE(OFFSET($R$3,0,0,'Données projet'!$E$9+1,1))-AVERAGE(OFFSET($H$3,0,0,'Données projet'!$E$9+1,1))</f>
        <v>157.98488572680344</v>
      </c>
      <c r="T21" s="62">
        <f t="shared" si="34"/>
        <v>269.20989374735825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1.7953659862676796</v>
      </c>
      <c r="AC21" s="24">
        <f t="shared" si="3"/>
        <v>1.7953659862676796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6.5</v>
      </c>
      <c r="AI21" s="14">
        <f>IF('Données projet'!$A$62&gt;35,AI20+AH21-AQ20,IF(A21&lt;'Données projet'!$A$62,$AF$205^A21,IF(A21='Données projet'!$A$62,'Données projet'!$B$62,AI20+AH21-AQ20)))</f>
        <v>23.660328322350242</v>
      </c>
      <c r="AJ21" s="14">
        <f>AI21*VLOOKUP('Données projet'!$B$10,Paramètres!$A$1:$I$89,3,0)*VLOOKUP('Données projet'!$B$10,Paramètres!$A$1:$I$89,5,0)</f>
        <v>11.073033654859913</v>
      </c>
      <c r="AK21" s="14">
        <f t="shared" si="35"/>
        <v>3.8571457530226052</v>
      </c>
      <c r="AL21" s="22">
        <f t="shared" si="4"/>
        <v>26.003395802062048</v>
      </c>
      <c r="AM21" s="62">
        <f t="shared" si="5"/>
        <v>319.33672913539539</v>
      </c>
      <c r="AN21" s="62">
        <f ca="1">AVERAGE(OFFSET($AM$3,0,0,'Données projet'!$E$10+1,1))-AVERAGE(OFFSET($H$3,0,0,'Données projet'!$E$10+1,1))</f>
        <v>215.04236469150038</v>
      </c>
      <c r="AO21" s="62">
        <f t="shared" si="36"/>
        <v>160.72275701448416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2">
        <f t="shared" si="32"/>
        <v>3.9459530431682608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70">
        <f t="shared" si="1"/>
        <v>319.99468488351806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>
        <f>VLOOKUP(A22,'Données projet'!$A$35:$I$55,2,0)</f>
        <v>163</v>
      </c>
      <c r="L22" s="13">
        <f>VLOOKUP(A22,'Données projet'!$A$35:$I$55,9,0)</f>
        <v>17.166666666666668</v>
      </c>
      <c r="M22" s="13">
        <f t="array" ref="M22">INDEX(L:L,MIN(IF(ISNUMBER(L22:L218),ROW(L22:L218),"")))</f>
        <v>17.166666666666668</v>
      </c>
      <c r="N22" s="14">
        <f>IF('Données projet'!$A$36&gt;35,N21+M22-V21,IF(A22&lt;'Données projet'!$A$36,$K$205^A22,IF(A22='Données projet'!$A$36,'Données projet'!$B$36,N21+M22-V21)))</f>
        <v>163</v>
      </c>
      <c r="O22" s="14">
        <f>N22*VLOOKUP('Données projet'!$B$9,Paramètres!$A$1:$I$89,3,0)*VLOOKUP('Données projet'!$B$9,Paramètres!$A$1:$I$89,5,0)</f>
        <v>97.474000000000004</v>
      </c>
      <c r="P22" s="14">
        <f t="shared" si="33"/>
        <v>26.359319748929014</v>
      </c>
      <c r="Q22" s="22">
        <f t="shared" si="2"/>
        <v>215.67636522938469</v>
      </c>
      <c r="R22" s="62">
        <f t="shared" si="0"/>
        <v>509.00969856271797</v>
      </c>
      <c r="S22" s="62">
        <f ca="1">AVERAGE(OFFSET($R$3,0,0,'Données projet'!$E$9+1,1))-AVERAGE(OFFSET($H$3,0,0,'Données projet'!$E$9+1,1))</f>
        <v>157.98488572680344</v>
      </c>
      <c r="T22" s="62">
        <f t="shared" si="34"/>
        <v>269.20989374735825</v>
      </c>
      <c r="U22" s="16">
        <f>IF(ISNA(VLOOKUP(A22,'Données projet'!$A$35:$I$55,3,0)),0,VLOOKUP(A22,'Données projet'!$A$35:$I$55,3,0))</f>
        <v>2</v>
      </c>
      <c r="V22" s="16">
        <f>IF(ISNA(VLOOKUP(A22,'Données projet'!$A$35:$I$55,4,0)),0,VLOOKUP(A22,'Données projet'!$A$35:$I$55,4,0))</f>
        <v>40</v>
      </c>
      <c r="W22" s="17">
        <f>IF(ISNA(VLOOKUP(A22,'Données projet'!$A$35:$I$55,5,0)),0%,VLOOKUP(A22,'Données projet'!$A$35:$I$55,5,0)*VLOOKUP('Données projet'!$B$9,Paramètres!$A$1:$I$89,7,0))</f>
        <v>0.13500000000000001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0.7</v>
      </c>
      <c r="Z22" s="23">
        <f>EXP(-LN(2)/35)*Z21+(1-EXP(-LN(2)/35))/(LN(2)/35)*V22*W22*VLOOKUP('Données projet'!$B$9,Paramètres!$A$1:$I$89,3,0)*0.475*44/12</f>
        <v>4.2837419395053642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20.227613053384697</v>
      </c>
      <c r="AC22" s="24">
        <f t="shared" si="3"/>
        <v>24.511354992890062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6.5</v>
      </c>
      <c r="AI22" s="14">
        <f>IF('Données projet'!$A$62&gt;35,AI21+AH22-AQ21,IF(A22&lt;'Données projet'!$A$62,$AF$205^A22,IF(A22='Données projet'!$A$62,'Données projet'!$B$62,AI21+AH22-AQ21)))</f>
        <v>28.206893180269638</v>
      </c>
      <c r="AJ22" s="14">
        <f>AI22*VLOOKUP('Données projet'!$B$10,Paramètres!$A$1:$I$89,3,0)*VLOOKUP('Données projet'!$B$10,Paramètres!$A$1:$I$89,5,0)</f>
        <v>13.200826008366192</v>
      </c>
      <c r="AK22" s="14">
        <f t="shared" si="35"/>
        <v>4.5052116964418483</v>
      </c>
      <c r="AL22" s="22">
        <f t="shared" si="4"/>
        <v>30.838015669207337</v>
      </c>
      <c r="AM22" s="62">
        <f t="shared" si="5"/>
        <v>324.17134900254064</v>
      </c>
      <c r="AN22" s="62">
        <f ca="1">AVERAGE(OFFSET($AM$3,0,0,'Données projet'!$E$10+1,1))-AVERAGE(OFFSET($H$3,0,0,'Données projet'!$E$10+1,1))</f>
        <v>215.04236469150038</v>
      </c>
      <c r="AO22" s="62">
        <f t="shared" si="36"/>
        <v>160.72275701448416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2">
        <f t="shared" si="32"/>
        <v>4.1289092277839252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70">
        <f t="shared" si="1"/>
        <v>321.35485023839033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16.5</v>
      </c>
      <c r="N23" s="14">
        <f>IF('Données projet'!$A$36&gt;35,N22+M23-V22,IF(A23&lt;'Données projet'!$A$36,$K$205^A23,IF(A23='Données projet'!$A$36,'Données projet'!$B$36,N22+M23-V22)))</f>
        <v>139.5</v>
      </c>
      <c r="O23" s="14">
        <f>N23*VLOOKUP('Données projet'!$B$9,Paramètres!$A$1:$I$89,3,0)*VLOOKUP('Données projet'!$B$9,Paramètres!$A$1:$I$89,5,0)</f>
        <v>83.421000000000006</v>
      </c>
      <c r="P23" s="14">
        <f t="shared" si="33"/>
        <v>22.97158706718762</v>
      </c>
      <c r="Q23" s="22">
        <f t="shared" si="2"/>
        <v>185.30042247535178</v>
      </c>
      <c r="R23" s="62">
        <f t="shared" si="0"/>
        <v>478.63375580868512</v>
      </c>
      <c r="S23" s="62">
        <f ca="1">AVERAGE(OFFSET($R$3,0,0,'Données projet'!$E$9+1,1))-AVERAGE(OFFSET($H$3,0,0,'Données projet'!$E$9+1,1))</f>
        <v>157.98488572680344</v>
      </c>
      <c r="T23" s="62">
        <f t="shared" si="34"/>
        <v>269.20989374735825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4.1997403728962519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14.303082357265847</v>
      </c>
      <c r="AC23" s="24">
        <f t="shared" si="3"/>
        <v>18.502822730162098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6.5</v>
      </c>
      <c r="AI23" s="14">
        <f>IF('Données projet'!$A$62&gt;35,AI22+AH23-AQ22,IF(A23&lt;'Données projet'!$A$62,$AF$205^A23,IF(A23='Données projet'!$A$62,'Données projet'!$B$62,AI22+AH23-AQ22)))</f>
        <v>33.627125204833582</v>
      </c>
      <c r="AJ23" s="14">
        <f>AI23*VLOOKUP('Données projet'!$B$10,Paramètres!$A$1:$I$89,3,0)*VLOOKUP('Données projet'!$B$10,Paramètres!$A$1:$I$89,5,0)</f>
        <v>15.737494595862117</v>
      </c>
      <c r="AK23" s="14">
        <f t="shared" si="35"/>
        <v>5.2621637162274721</v>
      </c>
      <c r="AL23" s="22">
        <f t="shared" si="4"/>
        <v>36.574404893556029</v>
      </c>
      <c r="AM23" s="62">
        <f t="shared" si="5"/>
        <v>329.90773822688936</v>
      </c>
      <c r="AN23" s="62">
        <f ca="1">AVERAGE(OFFSET($AM$3,0,0,'Données projet'!$E$10+1,1))-AVERAGE(OFFSET($H$3,0,0,'Données projet'!$E$10+1,1))</f>
        <v>215.04236469150038</v>
      </c>
      <c r="AO23" s="62">
        <f t="shared" si="36"/>
        <v>160.72275701448416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2">
        <f t="shared" si="32"/>
        <v>4.3108032327306534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70">
        <f t="shared" si="1"/>
        <v>322.71316563033923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16.5</v>
      </c>
      <c r="N24" s="14">
        <f>IF('Données projet'!$A$36&gt;35,N23+M24-V23,IF(A24&lt;'Données projet'!$A$36,$K$205^A24,IF(A24='Données projet'!$A$36,'Données projet'!$B$36,N23+M24-V23)))</f>
        <v>156</v>
      </c>
      <c r="O24" s="14">
        <f>N24*VLOOKUP('Données projet'!$B$9,Paramètres!$A$1:$I$89,3,0)*VLOOKUP('Données projet'!$B$9,Paramètres!$A$1:$I$89,5,0)</f>
        <v>93.288000000000011</v>
      </c>
      <c r="P24" s="14">
        <f t="shared" si="33"/>
        <v>25.356547829040977</v>
      </c>
      <c r="Q24" s="22">
        <f t="shared" si="2"/>
        <v>206.63925413557971</v>
      </c>
      <c r="R24" s="62">
        <f t="shared" si="0"/>
        <v>499.97258746891305</v>
      </c>
      <c r="S24" s="62">
        <f ca="1">AVERAGE(OFFSET($R$3,0,0,'Données projet'!$E$9+1,1))-AVERAGE(OFFSET($H$3,0,0,'Données projet'!$E$9+1,1))</f>
        <v>157.98488572680344</v>
      </c>
      <c r="T24" s="62">
        <f t="shared" si="34"/>
        <v>269.20989374735825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4.1173860257724479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10.11380652669235</v>
      </c>
      <c r="AC24" s="24">
        <f t="shared" si="3"/>
        <v>14.231192552464798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6.5</v>
      </c>
      <c r="AI24" s="14">
        <f>IF('Données projet'!$A$62&gt;35,AI23+AH24-AQ23,IF(A24&lt;'Données projet'!$A$62,$AF$205^A24,IF(A24='Données projet'!$A$62,'Données projet'!$B$62,AI23+AH24-AQ23)))</f>
        <v>40.088908137267765</v>
      </c>
      <c r="AJ24" s="14">
        <f>AI24*VLOOKUP('Données projet'!$B$10,Paramètres!$A$1:$I$89,3,0)*VLOOKUP('Données projet'!$B$10,Paramètres!$A$1:$I$89,5,0)</f>
        <v>18.761609008241315</v>
      </c>
      <c r="AK24" s="14">
        <f t="shared" si="35"/>
        <v>6.1462965210381464</v>
      </c>
      <c r="AL24" s="22">
        <f t="shared" si="4"/>
        <v>43.381268796828387</v>
      </c>
      <c r="AM24" s="62">
        <f t="shared" si="5"/>
        <v>336.71460213016172</v>
      </c>
      <c r="AN24" s="62">
        <f ca="1">AVERAGE(OFFSET($AM$3,0,0,'Données projet'!$E$10+1,1))-AVERAGE(OFFSET($H$3,0,0,'Données projet'!$E$10+1,1))</f>
        <v>215.04236469150038</v>
      </c>
      <c r="AO24" s="62">
        <f t="shared" si="36"/>
        <v>160.72275701448416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2">
        <f t="shared" si="32"/>
        <v>4.4916914128654328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70">
        <f t="shared" si="1"/>
        <v>324.0697292107406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16.5</v>
      </c>
      <c r="N25" s="14">
        <f>IF('Données projet'!$A$36&gt;35,N24+M25-V24,IF(A25&lt;'Données projet'!$A$36,$K$205^A25,IF(A25='Données projet'!$A$36,'Données projet'!$B$36,N24+M25-V24)))</f>
        <v>172.5</v>
      </c>
      <c r="O25" s="14">
        <f>N25*VLOOKUP('Données projet'!$B$9,Paramètres!$A$1:$I$89,3,0)*VLOOKUP('Données projet'!$B$9,Paramètres!$A$1:$I$89,5,0)</f>
        <v>103.15500000000002</v>
      </c>
      <c r="P25" s="14">
        <f t="shared" si="33"/>
        <v>27.71226857071613</v>
      </c>
      <c r="Q25" s="22">
        <f t="shared" si="2"/>
        <v>227.92715942733059</v>
      </c>
      <c r="R25" s="62">
        <f t="shared" si="0"/>
        <v>521.26049276066396</v>
      </c>
      <c r="S25" s="62">
        <f ca="1">AVERAGE(OFFSET($R$3,0,0,'Données projet'!$E$9+1,1))-AVERAGE(OFFSET($H$3,0,0,'Données projet'!$E$9+1,1))</f>
        <v>157.98488572680344</v>
      </c>
      <c r="T25" s="62">
        <f t="shared" si="34"/>
        <v>269.20989374735825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4.03664659716455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7.1515411786329244</v>
      </c>
      <c r="AC25" s="24">
        <f t="shared" si="3"/>
        <v>11.188187775797473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6.5</v>
      </c>
      <c r="AI25" s="14">
        <f>IF('Données projet'!$A$62&gt;35,AI24+AH25-AQ24,IF(A25&lt;'Données projet'!$A$62,$AF$205^A25,IF(A25='Données projet'!$A$62,'Données projet'!$B$62,AI24+AH25-AQ24)))</f>
        <v>47.792386231317963</v>
      </c>
      <c r="AJ25" s="14">
        <f>AI25*VLOOKUP('Données projet'!$B$10,Paramètres!$A$1:$I$89,3,0)*VLOOKUP('Données projet'!$B$10,Paramètres!$A$1:$I$89,5,0)</f>
        <v>22.366836756256806</v>
      </c>
      <c r="AK25" s="14">
        <f t="shared" si="35"/>
        <v>7.178978641053865</v>
      </c>
      <c r="AL25" s="22">
        <f t="shared" si="4"/>
        <v>51.458961816982743</v>
      </c>
      <c r="AM25" s="62">
        <f t="shared" si="5"/>
        <v>344.79229515031608</v>
      </c>
      <c r="AN25" s="62">
        <f ca="1">AVERAGE(OFFSET($AM$3,0,0,'Données projet'!$E$10+1,1))-AVERAGE(OFFSET($H$3,0,0,'Données projet'!$E$10+1,1))</f>
        <v>215.04236469150038</v>
      </c>
      <c r="AO25" s="62">
        <f t="shared" si="36"/>
        <v>160.72275701448416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2">
        <f t="shared" si="32"/>
        <v>4.6716247102827966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70">
        <f t="shared" si="1"/>
        <v>325.42462970374254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16.5</v>
      </c>
      <c r="N26" s="14">
        <f>IF('Données projet'!$A$36&gt;35,N25+M26-V25,IF(A26&lt;'Données projet'!$A$36,$K$205^A26,IF(A26='Données projet'!$A$36,'Données projet'!$B$36,N25+M26-V25)))</f>
        <v>189</v>
      </c>
      <c r="O26" s="14">
        <f>N26*VLOOKUP('Données projet'!$B$9,Paramètres!$A$1:$I$89,3,0)*VLOOKUP('Données projet'!$B$9,Paramètres!$A$1:$I$89,5,0)</f>
        <v>113.02200000000001</v>
      </c>
      <c r="P26" s="14">
        <f t="shared" si="33"/>
        <v>30.041864379091852</v>
      </c>
      <c r="Q26" s="22">
        <f t="shared" si="2"/>
        <v>249.16956379358496</v>
      </c>
      <c r="R26" s="62">
        <f t="shared" si="0"/>
        <v>542.50289712691824</v>
      </c>
      <c r="S26" s="62">
        <f ca="1">AVERAGE(OFFSET($R$3,0,0,'Données projet'!$E$9+1,1))-AVERAGE(OFFSET($H$3,0,0,'Données projet'!$E$9+1,1))</f>
        <v>157.98488572680344</v>
      </c>
      <c r="T26" s="62">
        <f t="shared" si="34"/>
        <v>269.20989374735825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3.9574904195054641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5.0569032633461761</v>
      </c>
      <c r="AC26" s="24">
        <f t="shared" si="3"/>
        <v>9.0143936828516402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6.5</v>
      </c>
      <c r="AI26" s="14">
        <f>IF('Données projet'!$A$62&gt;35,AI25+AH26-AQ25,IF(A26&lt;'Données projet'!$A$62,$AF$205^A26,IF(A26='Données projet'!$A$62,'Données projet'!$B$62,AI25+AH26-AQ25)))</f>
        <v>56.976163428110333</v>
      </c>
      <c r="AJ26" s="14">
        <f>AI26*VLOOKUP('Données projet'!$B$10,Paramètres!$A$1:$I$89,3,0)*VLOOKUP('Données projet'!$B$10,Paramètres!$A$1:$I$89,5,0)</f>
        <v>26.664844484355637</v>
      </c>
      <c r="AK26" s="14">
        <f t="shared" si="35"/>
        <v>8.3851688821551527</v>
      </c>
      <c r="AL26" s="22">
        <f t="shared" si="4"/>
        <v>61.045439946672957</v>
      </c>
      <c r="AM26" s="62">
        <f t="shared" si="5"/>
        <v>354.37877328000627</v>
      </c>
      <c r="AN26" s="62">
        <f ca="1">AVERAGE(OFFSET($AM$3,0,0,'Données projet'!$E$10+1,1))-AVERAGE(OFFSET($H$3,0,0,'Données projet'!$E$10+1,1))</f>
        <v>215.04236469150038</v>
      </c>
      <c r="AO26" s="62">
        <f t="shared" si="36"/>
        <v>160.72275701448416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2">
        <f t="shared" si="32"/>
        <v>4.8506493868275271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70">
        <f t="shared" si="1"/>
        <v>326.77794768205791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16.5</v>
      </c>
      <c r="N27" s="14">
        <f>IF('Données projet'!$A$36&gt;35,N26+M27-V26,IF(A27&lt;'Données projet'!$A$36,$K$205^A27,IF(A27='Données projet'!$A$36,'Données projet'!$B$36,N26+M27-V26)))</f>
        <v>205.5</v>
      </c>
      <c r="O27" s="14">
        <f>N27*VLOOKUP('Données projet'!$B$9,Paramètres!$A$1:$I$89,3,0)*VLOOKUP('Données projet'!$B$9,Paramètres!$A$1:$I$89,5,0)</f>
        <v>122.88900000000001</v>
      </c>
      <c r="P27" s="14">
        <f t="shared" si="33"/>
        <v>32.347875332170432</v>
      </c>
      <c r="Q27" s="22">
        <f t="shared" si="2"/>
        <v>270.37089120353011</v>
      </c>
      <c r="R27" s="62">
        <f t="shared" si="0"/>
        <v>563.70422453686342</v>
      </c>
      <c r="S27" s="62">
        <f ca="1">AVERAGE(OFFSET($R$3,0,0,'Données projet'!$E$9+1,1))-AVERAGE(OFFSET($H$3,0,0,'Données projet'!$E$9+1,1))</f>
        <v>157.98488572680344</v>
      </c>
      <c r="T27" s="62">
        <f t="shared" si="34"/>
        <v>269.20989374735825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3.8798864462097717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3.5757705893164631</v>
      </c>
      <c r="AC27" s="24">
        <f t="shared" si="3"/>
        <v>7.4556570355262348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6.5</v>
      </c>
      <c r="AI27" s="14">
        <f>IF('Données projet'!$A$62&gt;35,AI26+AH27-AQ26,IF(A27&lt;'Données projet'!$A$62,$AF$205^A27,IF(A27='Données projet'!$A$62,'Données projet'!$B$62,AI26+AH27-AQ26)))</f>
        <v>67.924693763448758</v>
      </c>
      <c r="AJ27" s="14">
        <f>AI27*VLOOKUP('Données projet'!$B$10,Paramètres!$A$1:$I$89,3,0)*VLOOKUP('Données projet'!$B$10,Paramètres!$A$1:$I$89,5,0)</f>
        <v>31.788756681294021</v>
      </c>
      <c r="AK27" s="14">
        <f t="shared" si="35"/>
        <v>9.7940195531688623</v>
      </c>
      <c r="AL27" s="22">
        <f t="shared" si="4"/>
        <v>72.423335275022851</v>
      </c>
      <c r="AM27" s="62">
        <f t="shared" si="5"/>
        <v>365.75666860835616</v>
      </c>
      <c r="AN27" s="62">
        <f ca="1">AVERAGE(OFFSET($AM$3,0,0,'Données projet'!$E$10+1,1))-AVERAGE(OFFSET($H$3,0,0,'Données projet'!$E$10+1,1))</f>
        <v>215.04236469150038</v>
      </c>
      <c r="AO27" s="62">
        <f t="shared" si="36"/>
        <v>160.72275701448416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2">
        <f t="shared" si="32"/>
        <v>5.02880763108175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70">
        <f t="shared" si="1"/>
        <v>328.12975662413402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>
        <f>VLOOKUP(A28,'Données projet'!$A$35:$I$55,2,0)</f>
        <v>222</v>
      </c>
      <c r="L28" s="13">
        <f>VLOOKUP(A28,'Données projet'!$A$35:$I$55,9,0)</f>
        <v>16.5</v>
      </c>
      <c r="M28" s="13">
        <f t="array" ref="M28">INDEX(L:L,MIN(IF(ISNUMBER(L28:L224),ROW(L28:L224),"")))</f>
        <v>16.5</v>
      </c>
      <c r="N28" s="14">
        <f>IF('Données projet'!$A$36&gt;35,N27+M28-V27,IF(A28&lt;'Données projet'!$A$36,$K$205^A28,IF(A28='Données projet'!$A$36,'Données projet'!$B$36,N27+M28-V27)))</f>
        <v>222</v>
      </c>
      <c r="O28" s="14">
        <f>N28*VLOOKUP('Données projet'!$B$9,Paramètres!$A$1:$I$89,3,0)*VLOOKUP('Données projet'!$B$9,Paramètres!$A$1:$I$89,5,0)</f>
        <v>132.756</v>
      </c>
      <c r="P28" s="14">
        <f t="shared" si="33"/>
        <v>34.632410397339967</v>
      </c>
      <c r="Q28" s="22">
        <f t="shared" si="2"/>
        <v>291.53481477536712</v>
      </c>
      <c r="R28" s="62">
        <f t="shared" si="0"/>
        <v>584.86814810870044</v>
      </c>
      <c r="S28" s="62">
        <f ca="1">AVERAGE(OFFSET($R$3,0,0,'Données projet'!$E$9+1,1))-AVERAGE(OFFSET($H$3,0,0,'Données projet'!$E$9+1,1))</f>
        <v>157.98488572680344</v>
      </c>
      <c r="T28" s="62">
        <f t="shared" si="34"/>
        <v>269.20989374735825</v>
      </c>
      <c r="U28" s="16">
        <f>IF(ISNA(VLOOKUP(A28,'Données projet'!$A$35:$I$55,3,0)),0,VLOOKUP(A28,'Données projet'!$A$35:$I$55,3,0))</f>
        <v>3</v>
      </c>
      <c r="V28" s="16">
        <f>IF(ISNA(VLOOKUP(A28,'Données projet'!$A$35:$I$55,4,0)),0,VLOOKUP(A28,'Données projet'!$A$35:$I$55,4,0))</f>
        <v>54</v>
      </c>
      <c r="W28" s="17">
        <f>IF(ISNA(VLOOKUP(A28,'Données projet'!$A$35:$I$55,5,0)),0%,VLOOKUP(A28,'Données projet'!$A$35:$I$55,5,0)*VLOOKUP('Données projet'!$B$9,Paramètres!$A$1:$I$89,7,0))</f>
        <v>0.18000000000000002</v>
      </c>
      <c r="X28" s="17">
        <f>IF(ISNA(VLOOKUP(A28,'Données projet'!$A$35:$I$55,6,0)),0%,VLOOKUP(A28,'Données projet'!$A$35:$I$55,6,0)*VLOOKUP('Données projet'!$B$9,Paramètres!$A$1:$I$89,7,0))</f>
        <v>9.0000000000000011E-2</v>
      </c>
      <c r="Y28" s="17">
        <f>IF(ISNA(VLOOKUP(A28,'Données projet'!$A$35:$I$55,7,0)),0%,VLOOKUP(A28,'Données projet'!$A$35:$I$55,7,0))</f>
        <v>0.4</v>
      </c>
      <c r="Z28" s="23">
        <f>EXP(-LN(2)/35)*Z27+(1-EXP(-LN(2)/35))/(LN(2)/35)*V28*W28*VLOOKUP('Données projet'!$B$9,Paramètres!$A$1:$I$89,3,0)*0.475*44/12</f>
        <v>11.514539730606312</v>
      </c>
      <c r="AA28" s="23">
        <f>EXP(-LN(2)/25)*AA27+(1-EXP(-LN(2)/25))/(LN(2)/25)*Calculateur!V28*Calculateur!X28*VLOOKUP('Données projet'!$B$9,Paramètres!$A$1:$I$89,3,0)*0.475*44/12</f>
        <v>3.8401876937302988</v>
      </c>
      <c r="AB28" s="23">
        <f>EXP(-LN(2)/2)*AB27+(1-EXP(-LN(2)/2))/(LN(2)/2)*V28*Y28*VLOOKUP('Données projet'!$B$9,Paramètres!$A$1:$I$89,3,0)*0.475*44/12</f>
        <v>17.153269772362943</v>
      </c>
      <c r="AC28" s="24">
        <f t="shared" si="3"/>
        <v>32.507997196699556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6.5</v>
      </c>
      <c r="AI28" s="14">
        <f>IF('Données projet'!$A$62&gt;35,AI27+AH28-AQ27,IF(A28&lt;'Données projet'!$A$62,$AF$205^A28,IF(A28='Données projet'!$A$62,'Données projet'!$B$62,AI27+AH28-AQ27)))</f>
        <v>80.977091914581294</v>
      </c>
      <c r="AJ28" s="14">
        <f>AI28*VLOOKUP('Données projet'!$B$10,Paramètres!$A$1:$I$89,3,0)*VLOOKUP('Données projet'!$B$10,Paramètres!$A$1:$I$89,5,0)</f>
        <v>37.897279016024044</v>
      </c>
      <c r="AK28" s="14">
        <f t="shared" si="35"/>
        <v>11.43958104552808</v>
      </c>
      <c r="AL28" s="22">
        <f t="shared" si="4"/>
        <v>85.928364607203278</v>
      </c>
      <c r="AM28" s="62">
        <f t="shared" si="5"/>
        <v>379.26169794053658</v>
      </c>
      <c r="AN28" s="62">
        <f ca="1">AVERAGE(OFFSET($AM$3,0,0,'Données projet'!$E$10+1,1))-AVERAGE(OFFSET($H$3,0,0,'Données projet'!$E$10+1,1))</f>
        <v>215.04236469150038</v>
      </c>
      <c r="AO28" s="62">
        <f t="shared" si="36"/>
        <v>160.72275701448416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2">
        <f t="shared" si="32"/>
        <v>5.2061380655003466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70">
        <f t="shared" si="1"/>
        <v>329.48012379741311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13.8</v>
      </c>
      <c r="N29" s="14">
        <f>IF('Données projet'!$A$36&gt;35,N28+M29-V28,IF(A29&lt;'Données projet'!$A$36,$K$205^A29,IF(A29='Données projet'!$A$36,'Données projet'!$B$36,N28+M29-V28)))</f>
        <v>181.8</v>
      </c>
      <c r="O29" s="14">
        <f>N29*VLOOKUP('Données projet'!$B$9,Paramètres!$A$1:$I$89,3,0)*VLOOKUP('Données projet'!$B$9,Paramètres!$A$1:$I$89,5,0)</f>
        <v>108.71640000000002</v>
      </c>
      <c r="P29" s="14">
        <f t="shared" si="33"/>
        <v>29.028352113364011</v>
      </c>
      <c r="Q29" s="22">
        <f t="shared" si="2"/>
        <v>239.90544326410898</v>
      </c>
      <c r="R29" s="62">
        <f t="shared" si="0"/>
        <v>533.23877659744232</v>
      </c>
      <c r="S29" s="62">
        <f ca="1">AVERAGE(OFFSET($R$3,0,0,'Données projet'!$E$9+1,1))-AVERAGE(OFFSET($H$3,0,0,'Données projet'!$E$9+1,1))</f>
        <v>157.98488572680344</v>
      </c>
      <c r="T29" s="62">
        <f t="shared" si="34"/>
        <v>269.20989374735825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11.288746629664876</v>
      </c>
      <c r="AA29" s="23">
        <f>EXP(-LN(2)/25)*AA28+(1-EXP(-LN(2)/25))/(LN(2)/25)*Calculateur!V29*Calculateur!X29*VLOOKUP('Données projet'!$B$9,Paramètres!$A$1:$I$89,3,0)*0.475*44/12</f>
        <v>3.7351775592985499</v>
      </c>
      <c r="AB29" s="23">
        <f>EXP(-LN(2)/2)*AB28+(1-EXP(-LN(2)/2))/(LN(2)/2)*V29*Y29*VLOOKUP('Données projet'!$B$9,Paramètres!$A$1:$I$89,3,0)*0.475*44/12</f>
        <v>12.129193375560064</v>
      </c>
      <c r="AC29" s="24">
        <f t="shared" si="3"/>
        <v>27.153117564523491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6.5</v>
      </c>
      <c r="AI29" s="14">
        <f>IF('Données projet'!$A$62&gt;35,AI28+AH29-AQ28,IF(A29&lt;'Données projet'!$A$62,$AF$205^A29,IF(A29='Données projet'!$A$62,'Données projet'!$B$62,AI28+AH29-AQ28)))</f>
        <v>96.537636780206071</v>
      </c>
      <c r="AJ29" s="14">
        <f>AI29*VLOOKUP('Données projet'!$B$10,Paramètres!$A$1:$I$89,3,0)*VLOOKUP('Données projet'!$B$10,Paramètres!$A$1:$I$89,5,0)</f>
        <v>45.179614013136444</v>
      </c>
      <c r="AK29" s="14">
        <f t="shared" si="35"/>
        <v>13.361624794271938</v>
      </c>
      <c r="AL29" s="22">
        <f t="shared" si="4"/>
        <v>101.95932425623626</v>
      </c>
      <c r="AM29" s="62">
        <f t="shared" si="5"/>
        <v>395.29265758956956</v>
      </c>
      <c r="AN29" s="62">
        <f ca="1">AVERAGE(OFFSET($AM$3,0,0,'Données projet'!$E$10+1,1))-AVERAGE(OFFSET($H$3,0,0,'Données projet'!$E$10+1,1))</f>
        <v>215.04236469150038</v>
      </c>
      <c r="AO29" s="62">
        <f t="shared" si="36"/>
        <v>160.72275701448416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2">
        <f t="shared" si="32"/>
        <v>5.3826761733310189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70">
        <f t="shared" si="1"/>
        <v>330.82911100188483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13.8</v>
      </c>
      <c r="N30" s="14">
        <f>IF('Données projet'!$A$36&gt;35,N29+M30-V29,IF(A30&lt;'Données projet'!$A$36,$K$205^A30,IF(A30='Données projet'!$A$36,'Données projet'!$B$36,N29+M30-V29)))</f>
        <v>195.60000000000002</v>
      </c>
      <c r="O30" s="14">
        <f>N30*VLOOKUP('Données projet'!$B$9,Paramètres!$A$1:$I$89,3,0)*VLOOKUP('Données projet'!$B$9,Paramètres!$A$1:$I$89,5,0)</f>
        <v>116.96880000000002</v>
      </c>
      <c r="P30" s="14">
        <f t="shared" si="33"/>
        <v>30.966972418998537</v>
      </c>
      <c r="Q30" s="22">
        <f t="shared" si="2"/>
        <v>257.6548036297558</v>
      </c>
      <c r="R30" s="62">
        <f t="shared" si="0"/>
        <v>550.98813696308912</v>
      </c>
      <c r="S30" s="62">
        <f ca="1">AVERAGE(OFFSET($R$3,0,0,'Données projet'!$E$9+1,1))-AVERAGE(OFFSET($H$3,0,0,'Données projet'!$E$9+1,1))</f>
        <v>157.98488572680344</v>
      </c>
      <c r="T30" s="62">
        <f t="shared" si="34"/>
        <v>269.20989374735825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11.067381193712711</v>
      </c>
      <c r="AA30" s="23">
        <f>EXP(-LN(2)/25)*AA29+(1-EXP(-LN(2)/25))/(LN(2)/25)*Calculateur!V30*Calculateur!X30*VLOOKUP('Données projet'!$B$9,Paramètres!$A$1:$I$89,3,0)*0.475*44/12</f>
        <v>3.6330389325150803</v>
      </c>
      <c r="AB30" s="23">
        <f>EXP(-LN(2)/2)*AB29+(1-EXP(-LN(2)/2))/(LN(2)/2)*V30*Y30*VLOOKUP('Données projet'!$B$9,Paramètres!$A$1:$I$89,3,0)*0.475*44/12</f>
        <v>8.5766348861814716</v>
      </c>
      <c r="AC30" s="24">
        <f t="shared" si="3"/>
        <v>23.277055012409264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6.5</v>
      </c>
      <c r="AI30" s="14">
        <f>IF('Données projet'!$A$62&gt;35,AI29+AH30-AQ29,IF(A30&lt;'Données projet'!$A$62,$AF$205^A30,IF(A30='Données projet'!$A$62,'Données projet'!$B$62,AI29+AH30-AQ29)))</f>
        <v>115.08829342671002</v>
      </c>
      <c r="AJ30" s="14">
        <f>AI30*VLOOKUP('Données projet'!$B$10,Paramètres!$A$1:$I$89,3,0)*VLOOKUP('Données projet'!$B$10,Paramètres!$A$1:$I$89,5,0)</f>
        <v>53.861321323700288</v>
      </c>
      <c r="AK30" s="14">
        <f t="shared" si="35"/>
        <v>15.606604510459258</v>
      </c>
      <c r="AL30" s="22">
        <f t="shared" si="4"/>
        <v>120.98997082782786</v>
      </c>
      <c r="AM30" s="62">
        <f t="shared" si="5"/>
        <v>414.32330416116116</v>
      </c>
      <c r="AN30" s="62">
        <f ca="1">AVERAGE(OFFSET($AM$3,0,0,'Données projet'!$E$10+1,1))-AVERAGE(OFFSET($H$3,0,0,'Données projet'!$E$10+1,1))</f>
        <v>215.04236469150038</v>
      </c>
      <c r="AO30" s="62">
        <f t="shared" si="36"/>
        <v>160.72275701448416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2">
        <f t="shared" si="32"/>
        <v>5.5584546605089464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70">
        <f t="shared" si="1"/>
        <v>332.17677520038643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13.8</v>
      </c>
      <c r="N31" s="14">
        <f>IF('Données projet'!$A$36&gt;35,N30+M31-V30,IF(A31&lt;'Données projet'!$A$36,$K$205^A31,IF(A31='Données projet'!$A$36,'Données projet'!$B$36,N30+M31-V30)))</f>
        <v>209.40000000000003</v>
      </c>
      <c r="O31" s="14">
        <f>N31*VLOOKUP('Données projet'!$B$9,Paramètres!$A$1:$I$89,3,0)*VLOOKUP('Données projet'!$B$9,Paramètres!$A$1:$I$89,5,0)</f>
        <v>125.22120000000004</v>
      </c>
      <c r="P31" s="14">
        <f t="shared" si="33"/>
        <v>32.889723553463881</v>
      </c>
      <c r="Q31" s="22">
        <f t="shared" si="2"/>
        <v>275.37652518894964</v>
      </c>
      <c r="R31" s="62">
        <f t="shared" si="0"/>
        <v>568.70985852228296</v>
      </c>
      <c r="S31" s="62">
        <f ca="1">AVERAGE(OFFSET($R$3,0,0,'Données projet'!$E$9+1,1))-AVERAGE(OFFSET($H$3,0,0,'Données projet'!$E$9+1,1))</f>
        <v>157.98488572680344</v>
      </c>
      <c r="T31" s="62">
        <f t="shared" si="34"/>
        <v>269.20989374735825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10.850356598939982</v>
      </c>
      <c r="AA31" s="23">
        <f>EXP(-LN(2)/25)*AA30+(1-EXP(-LN(2)/25))/(LN(2)/25)*Calculateur!V31*Calculateur!X31*VLOOKUP('Données projet'!$B$9,Paramètres!$A$1:$I$89,3,0)*0.475*44/12</f>
        <v>3.5336932918522415</v>
      </c>
      <c r="AB31" s="23">
        <f>EXP(-LN(2)/2)*AB30+(1-EXP(-LN(2)/2))/(LN(2)/2)*V31*Y31*VLOOKUP('Données projet'!$B$9,Paramètres!$A$1:$I$89,3,0)*0.475*44/12</f>
        <v>6.0645966877800319</v>
      </c>
      <c r="AC31" s="24">
        <f t="shared" si="3"/>
        <v>20.448646578572255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6.5</v>
      </c>
      <c r="AI31" s="14">
        <f>IF('Données projet'!$A$62&gt;35,AI30+AH31-AQ30,IF(A31&lt;'Données projet'!$A$62,$AF$205^A31,IF(A31='Données projet'!$A$62,'Données projet'!$B$62,AI30+AH31-AQ30)))</f>
        <v>137.20364124956808</v>
      </c>
      <c r="AJ31" s="14">
        <f>AI31*VLOOKUP('Données projet'!$B$10,Paramètres!$A$1:$I$89,3,0)*VLOOKUP('Données projet'!$B$10,Paramètres!$A$1:$I$89,5,0)</f>
        <v>64.211304104797861</v>
      </c>
      <c r="AK31" s="14">
        <f t="shared" si="35"/>
        <v>18.228778916940001</v>
      </c>
      <c r="AL31" s="22">
        <f t="shared" si="4"/>
        <v>143.58314459619342</v>
      </c>
      <c r="AM31" s="62">
        <f t="shared" si="5"/>
        <v>436.91647792952676</v>
      </c>
      <c r="AN31" s="62">
        <f ca="1">AVERAGE(OFFSET($AM$3,0,0,'Données projet'!$E$10+1,1))-AVERAGE(OFFSET($H$3,0,0,'Données projet'!$E$10+1,1))</f>
        <v>215.04236469150038</v>
      </c>
      <c r="AO31" s="62">
        <f t="shared" si="36"/>
        <v>160.72275701448416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2">
        <f t="shared" si="32"/>
        <v>5.7335037643993987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70">
        <f t="shared" si="1"/>
        <v>333.52316905632892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13.8</v>
      </c>
      <c r="N32" s="14">
        <f>IF('Données projet'!$A$36&gt;35,N31+M32-V31,IF(A32&lt;'Données projet'!$A$36,$K$205^A32,IF(A32='Données projet'!$A$36,'Données projet'!$B$36,N31+M32-V31)))</f>
        <v>223.20000000000005</v>
      </c>
      <c r="O32" s="14">
        <f>N32*VLOOKUP('Données projet'!$B$9,Paramètres!$A$1:$I$89,3,0)*VLOOKUP('Données projet'!$B$9,Paramètres!$A$1:$I$89,5,0)</f>
        <v>133.47360000000003</v>
      </c>
      <c r="P32" s="14">
        <f t="shared" si="33"/>
        <v>34.79777034418013</v>
      </c>
      <c r="Q32" s="22">
        <f t="shared" si="2"/>
        <v>293.0726366827804</v>
      </c>
      <c r="R32" s="62">
        <f t="shared" si="0"/>
        <v>586.40597001611377</v>
      </c>
      <c r="S32" s="62">
        <f ca="1">AVERAGE(OFFSET($R$3,0,0,'Données projet'!$E$9+1,1))-AVERAGE(OFFSET($H$3,0,0,'Données projet'!$E$9+1,1))</f>
        <v>157.98488572680344</v>
      </c>
      <c r="T32" s="62">
        <f t="shared" si="34"/>
        <v>269.20989374735825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10.637587724098815</v>
      </c>
      <c r="AA32" s="23">
        <f>EXP(-LN(2)/25)*AA31+(1-EXP(-LN(2)/25))/(LN(2)/25)*Calculateur!V32*Calculateur!X32*VLOOKUP('Données projet'!$B$9,Paramètres!$A$1:$I$89,3,0)*0.475*44/12</f>
        <v>3.437064262957688</v>
      </c>
      <c r="AB32" s="23">
        <f>EXP(-LN(2)/2)*AB31+(1-EXP(-LN(2)/2))/(LN(2)/2)*V32*Y32*VLOOKUP('Données projet'!$B$9,Paramètres!$A$1:$I$89,3,0)*0.475*44/12</f>
        <v>4.2883174430907358</v>
      </c>
      <c r="AC32" s="24">
        <f t="shared" si="3"/>
        <v>18.362969430147238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6.5</v>
      </c>
      <c r="AI32" s="14">
        <f>IF('Données projet'!$A$62&gt;35,AI31+AH32-AQ31,IF(A32&lt;'Données projet'!$A$62,$AF$205^A32,IF(A32='Données projet'!$A$62,'Données projet'!$B$62,AI31+AH32-AQ31)))</f>
        <v>163.5686707278193</v>
      </c>
      <c r="AJ32" s="14">
        <f>AI32*VLOOKUP('Données projet'!$B$10,Paramètres!$A$1:$I$89,3,0)*VLOOKUP('Données projet'!$B$10,Paramètres!$A$1:$I$89,5,0)</f>
        <v>76.550137900619433</v>
      </c>
      <c r="AK32" s="14">
        <f t="shared" si="35"/>
        <v>21.291523122789648</v>
      </c>
      <c r="AL32" s="22">
        <f t="shared" si="4"/>
        <v>170.40755961577079</v>
      </c>
      <c r="AM32" s="62">
        <f t="shared" si="5"/>
        <v>463.74089294910414</v>
      </c>
      <c r="AN32" s="62">
        <f ca="1">AVERAGE(OFFSET($AM$3,0,0,'Données projet'!$E$10+1,1))-AVERAGE(OFFSET($H$3,0,0,'Données projet'!$E$10+1,1))</f>
        <v>215.04236469150038</v>
      </c>
      <c r="AO32" s="62">
        <f t="shared" si="36"/>
        <v>160.72275701448416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2">
        <f t="shared" si="32"/>
        <v>5.907851518758747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70">
        <f t="shared" si="1"/>
        <v>334.86834139517146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237</v>
      </c>
      <c r="L33" s="13">
        <f>VLOOKUP(A33,'Données projet'!$A$35:$I$55,9,0)</f>
        <v>13.8</v>
      </c>
      <c r="M33" s="13">
        <f t="array" ref="M33">INDEX(L:L,MIN(IF(ISNUMBER(L33:L229),ROW(L33:L229),"")))</f>
        <v>13.8</v>
      </c>
      <c r="N33" s="14">
        <f>IF('Données projet'!$A$36&gt;35,N32+M33-V32,IF(A33&lt;'Données projet'!$A$36,$K$205^A33,IF(A33='Données projet'!$A$36,'Données projet'!$B$36,N32+M33-V32)))</f>
        <v>237.00000000000006</v>
      </c>
      <c r="O33" s="14">
        <f>N33*VLOOKUP('Données projet'!$B$9,Paramètres!$A$1:$I$89,3,0)*VLOOKUP('Données projet'!$B$9,Paramètres!$A$1:$I$89,5,0)</f>
        <v>141.72600000000003</v>
      </c>
      <c r="P33" s="14">
        <f t="shared" si="33"/>
        <v>36.692125440686915</v>
      </c>
      <c r="Q33" s="22">
        <f t="shared" si="2"/>
        <v>310.74490180919639</v>
      </c>
      <c r="R33" s="62">
        <f t="shared" si="0"/>
        <v>604.07823514252971</v>
      </c>
      <c r="S33" s="62">
        <f ca="1">AVERAGE(OFFSET($R$3,0,0,'Données projet'!$E$9+1,1))-AVERAGE(OFFSET($H$3,0,0,'Données projet'!$E$9+1,1))</f>
        <v>157.98488572680344</v>
      </c>
      <c r="T33" s="62">
        <f t="shared" si="34"/>
        <v>269.20989374735825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10.428991117117084</v>
      </c>
      <c r="AA33" s="23">
        <f>EXP(-LN(2)/25)*AA32+(1-EXP(-LN(2)/25))/(LN(2)/25)*Calculateur!V33*Calculateur!X33*VLOOKUP('Données projet'!$B$9,Paramètres!$A$1:$I$89,3,0)*0.475*44/12</f>
        <v>3.343077559939756</v>
      </c>
      <c r="AB33" s="23">
        <f>EXP(-LN(2)/2)*AB32+(1-EXP(-LN(2)/2))/(LN(2)/2)*V33*Y33*VLOOKUP('Données projet'!$B$9,Paramètres!$A$1:$I$89,3,0)*0.475*44/12</f>
        <v>3.032298343890016</v>
      </c>
      <c r="AC33" s="24">
        <f t="shared" si="3"/>
        <v>16.804367020946856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195</v>
      </c>
      <c r="AG33" s="13">
        <f>VLOOKUP(A33,'Données projet'!$A$61:$I$81,9,0)</f>
        <v>6.5</v>
      </c>
      <c r="AH33" s="13">
        <f t="array" ref="AH33">INDEX(AG:AG,MIN(IF(ISNUMBER(AG33:AG229),ROW(AG33:AG229),"")))</f>
        <v>6.5</v>
      </c>
      <c r="AI33" s="14">
        <f>IF('Données projet'!$A$62&gt;35,AI32+AH33-AQ32,IF(A33&lt;'Données projet'!$A$62,$AF$205^A33,IF(A33='Données projet'!$A$62,'Données projet'!$B$62,AI32+AH33-AQ32)))</f>
        <v>195</v>
      </c>
      <c r="AJ33" s="14">
        <f>AI33*VLOOKUP('Données projet'!$B$10,Paramètres!$A$1:$I$89,3,0)*VLOOKUP('Données projet'!$B$10,Paramètres!$A$1:$I$89,5,0)</f>
        <v>91.26</v>
      </c>
      <c r="AK33" s="14">
        <f t="shared" si="35"/>
        <v>24.868860330902777</v>
      </c>
      <c r="AL33" s="22">
        <f t="shared" si="4"/>
        <v>202.25776507632233</v>
      </c>
      <c r="AM33" s="62">
        <f t="shared" si="5"/>
        <v>495.59109840965561</v>
      </c>
      <c r="AN33" s="62">
        <f ca="1">AVERAGE(OFFSET($AM$3,0,0,'Données projet'!$E$10+1,1))-AVERAGE(OFFSET($H$3,0,0,'Données projet'!$E$10+1,1))</f>
        <v>215.04236469150038</v>
      </c>
      <c r="AO33" s="62">
        <f t="shared" si="36"/>
        <v>160.72275701448416</v>
      </c>
      <c r="AP33" s="16">
        <f>IF(ISNA(VLOOKUP(A33,'Données projet'!$A$61:$I$81,3,0)),0,VLOOKUP(A33,'Données projet'!$A$61:$I$81,3,0))</f>
        <v>1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2">
        <f t="shared" si="32"/>
        <v>6.0815239823749314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70">
        <f t="shared" si="1"/>
        <v>336.21233760263635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12.625</v>
      </c>
      <c r="N34" s="14">
        <f>IF('Données projet'!$A$36&gt;35,N33+M34-V33,IF(A34&lt;'Données projet'!$A$36,$K$205^A34,IF(A34='Données projet'!$A$36,'Données projet'!$B$36,N33+M34-V33)))</f>
        <v>249.62500000000006</v>
      </c>
      <c r="O34" s="14">
        <f>N34*VLOOKUP('Données projet'!$B$9,Paramètres!$A$1:$I$89,3,0)*VLOOKUP('Données projet'!$B$9,Paramètres!$A$1:$I$89,5,0)</f>
        <v>149.27575000000004</v>
      </c>
      <c r="P34" s="14">
        <f t="shared" si="33"/>
        <v>38.413950875340568</v>
      </c>
      <c r="Q34" s="22">
        <f t="shared" si="2"/>
        <v>326.89289569121826</v>
      </c>
      <c r="R34" s="62">
        <f t="shared" si="0"/>
        <v>620.22622902455157</v>
      </c>
      <c r="S34" s="62">
        <f ca="1">AVERAGE(OFFSET($R$3,0,0,'Données projet'!$E$9+1,1))-AVERAGE(OFFSET($H$3,0,0,'Données projet'!$E$9+1,1))</f>
        <v>157.98488572680344</v>
      </c>
      <c r="T34" s="62">
        <f t="shared" si="34"/>
        <v>269.20989374735825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10.224484962366898</v>
      </c>
      <c r="AA34" s="23">
        <f>EXP(-LN(2)/25)*AA33+(1-EXP(-LN(2)/25))/(LN(2)/25)*Calculateur!V34*Calculateur!X34*VLOOKUP('Données projet'!$B$9,Paramètres!$A$1:$I$89,3,0)*0.475*44/12</f>
        <v>3.2516609282583953</v>
      </c>
      <c r="AB34" s="23">
        <f>EXP(-LN(2)/2)*AB33+(1-EXP(-LN(2)/2))/(LN(2)/2)*V34*Y34*VLOOKUP('Données projet'!$B$9,Paramètres!$A$1:$I$89,3,0)*0.475*44/12</f>
        <v>2.1441587215453679</v>
      </c>
      <c r="AC34" s="24">
        <f t="shared" si="3"/>
        <v>15.620304612170662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17</v>
      </c>
      <c r="AI34" s="14">
        <f>IF('Données projet'!$A$62&gt;35,AI33+AH34-AQ33,IF(A34&lt;'Données projet'!$A$62,$AF$205^A34,IF(A34='Données projet'!$A$62,'Données projet'!$B$62,AI33+AH34-AQ33)))</f>
        <v>212</v>
      </c>
      <c r="AJ34" s="14">
        <f>AI34*VLOOKUP('Données projet'!$B$10,Paramètres!$A$1:$I$89,3,0)*VLOOKUP('Données projet'!$B$10,Paramètres!$A$1:$I$89,5,0)</f>
        <v>99.215999999999994</v>
      </c>
      <c r="AK34" s="14">
        <f t="shared" si="35"/>
        <v>26.775134885576414</v>
      </c>
      <c r="AL34" s="22">
        <f t="shared" si="4"/>
        <v>219.43455992571219</v>
      </c>
      <c r="AM34" s="62">
        <f t="shared" si="5"/>
        <v>512.76789325904554</v>
      </c>
      <c r="AN34" s="62">
        <f ca="1">AVERAGE(OFFSET($AM$3,0,0,'Données projet'!$E$10+1,1))-AVERAGE(OFFSET($H$3,0,0,'Données projet'!$E$10+1,1))</f>
        <v>215.04236469150038</v>
      </c>
      <c r="AO34" s="62">
        <f t="shared" si="36"/>
        <v>160.72275701448416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2">
        <f t="shared" si="32"/>
        <v>6.2545454373771854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70">
        <f t="shared" si="1"/>
        <v>337.55519997009856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12.625</v>
      </c>
      <c r="N35" s="14">
        <f>IF('Données projet'!$A$36&gt;35,N34+M35-V34,IF(A35&lt;'Données projet'!$A$36,$K$205^A35,IF(A35='Données projet'!$A$36,'Données projet'!$B$36,N34+M35-V34)))</f>
        <v>262.25000000000006</v>
      </c>
      <c r="O35" s="14">
        <f>N35*VLOOKUP('Données projet'!$B$9,Paramètres!$A$1:$I$89,3,0)*VLOOKUP('Données projet'!$B$9,Paramètres!$A$1:$I$89,5,0)</f>
        <v>156.82550000000006</v>
      </c>
      <c r="P35" s="14">
        <f t="shared" si="33"/>
        <v>40.12566509846944</v>
      </c>
      <c r="Q35" s="22">
        <f t="shared" ref="Q35:Q66" si="53">(O35+P35)*0.475*44/12</f>
        <v>343.02327921316777</v>
      </c>
      <c r="R35" s="62">
        <f t="shared" si="0"/>
        <v>636.35661254650108</v>
      </c>
      <c r="S35" s="62">
        <f ca="1">AVERAGE(OFFSET($R$3,0,0,'Données projet'!$E$9+1,1))-AVERAGE(OFFSET($H$3,0,0,'Données projet'!$E$9+1,1))</f>
        <v>157.98488572680344</v>
      </c>
      <c r="T35" s="62">
        <f t="shared" si="34"/>
        <v>269.20989374735825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10.023989048574924</v>
      </c>
      <c r="AA35" s="23">
        <f>EXP(-LN(2)/25)*AA34+(1-EXP(-LN(2)/25))/(LN(2)/25)*Calculateur!V35*Calculateur!X35*VLOOKUP('Données projet'!$B$9,Paramètres!$A$1:$I$89,3,0)*0.475*44/12</f>
        <v>3.1627440891777532</v>
      </c>
      <c r="AB35" s="23">
        <f>EXP(-LN(2)/2)*AB34+(1-EXP(-LN(2)/2))/(LN(2)/2)*V35*Y35*VLOOKUP('Données projet'!$B$9,Paramètres!$A$1:$I$89,3,0)*0.475*44/12</f>
        <v>1.516149171945008</v>
      </c>
      <c r="AC35" s="24">
        <f t="shared" si="3"/>
        <v>14.702882309697685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17</v>
      </c>
      <c r="AI35" s="14">
        <f>IF('Données projet'!$A$62&gt;35,AI34+AH35-AQ34,IF(A35&lt;'Données projet'!$A$62,$AF$205^A35,IF(A35='Données projet'!$A$62,'Données projet'!$B$62,AI34+AH35-AQ34)))</f>
        <v>229</v>
      </c>
      <c r="AJ35" s="14">
        <f>AI35*VLOOKUP('Données projet'!$B$10,Paramètres!$A$1:$I$89,3,0)*VLOOKUP('Données projet'!$B$10,Paramètres!$A$1:$I$89,5,0)</f>
        <v>107.172</v>
      </c>
      <c r="AK35" s="14">
        <f t="shared" si="35"/>
        <v>28.663679082578788</v>
      </c>
      <c r="AL35" s="22">
        <f t="shared" si="4"/>
        <v>236.58047440215805</v>
      </c>
      <c r="AM35" s="62">
        <f t="shared" si="5"/>
        <v>529.91380773549133</v>
      </c>
      <c r="AN35" s="62">
        <f ca="1">AVERAGE(OFFSET($AM$3,0,0,'Données projet'!$E$10+1,1))-AVERAGE(OFFSET($H$3,0,0,'Données projet'!$E$10+1,1))</f>
        <v>215.04236469150038</v>
      </c>
      <c r="AO35" s="62">
        <f t="shared" si="36"/>
        <v>160.72275701448416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2">
        <f t="shared" si="32"/>
        <v>6.4269385620606752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70">
        <f t="shared" si="1"/>
        <v>338.89696799558897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12.625</v>
      </c>
      <c r="N36" s="14">
        <f>IF('Données projet'!$A$36&gt;35,N35+M36-V35,IF(A36&lt;'Données projet'!$A$36,$K$205^A36,IF(A36='Données projet'!$A$36,'Données projet'!$B$36,N35+M36-V35)))</f>
        <v>274.87500000000006</v>
      </c>
      <c r="O36" s="14">
        <f>N36*VLOOKUP('Données projet'!$B$9,Paramètres!$A$1:$I$89,3,0)*VLOOKUP('Données projet'!$B$9,Paramètres!$A$1:$I$89,5,0)</f>
        <v>164.37525000000005</v>
      </c>
      <c r="P36" s="14">
        <f t="shared" si="33"/>
        <v>41.827810443115574</v>
      </c>
      <c r="Q36" s="22">
        <f t="shared" si="53"/>
        <v>359.13699693842636</v>
      </c>
      <c r="R36" s="62">
        <f t="shared" si="0"/>
        <v>652.47033027175962</v>
      </c>
      <c r="S36" s="62">
        <f ca="1">AVERAGE(OFFSET($R$3,0,0,'Données projet'!$E$9+1,1))-AVERAGE(OFFSET($H$3,0,0,'Données projet'!$E$9+1,1))</f>
        <v>157.98488572680344</v>
      </c>
      <c r="T36" s="62">
        <f t="shared" si="34"/>
        <v>269.20989374735825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9.8274247373619783</v>
      </c>
      <c r="AA36" s="23">
        <f>EXP(-LN(2)/25)*AA35+(1-EXP(-LN(2)/25))/(LN(2)/25)*Calculateur!V36*Calculateur!X36*VLOOKUP('Données projet'!$B$9,Paramètres!$A$1:$I$89,3,0)*0.475*44/12</f>
        <v>3.0762586857377046</v>
      </c>
      <c r="AB36" s="23">
        <f>EXP(-LN(2)/2)*AB35+(1-EXP(-LN(2)/2))/(LN(2)/2)*V36*Y36*VLOOKUP('Données projet'!$B$9,Paramètres!$A$1:$I$89,3,0)*0.475*44/12</f>
        <v>1.072079360772684</v>
      </c>
      <c r="AC36" s="24">
        <f t="shared" si="3"/>
        <v>13.975762783872366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17</v>
      </c>
      <c r="AI36" s="14">
        <f>IF('Données projet'!$A$62&gt;35,AI35+AH36-AQ35,IF(A36&lt;'Données projet'!$A$62,$AF$205^A36,IF(A36='Données projet'!$A$62,'Données projet'!$B$62,AI35+AH36-AQ35)))</f>
        <v>246</v>
      </c>
      <c r="AJ36" s="14">
        <f>AI36*VLOOKUP('Données projet'!$B$10,Paramètres!$A$1:$I$89,3,0)*VLOOKUP('Données projet'!$B$10,Paramètres!$A$1:$I$89,5,0)</f>
        <v>115.128</v>
      </c>
      <c r="AK36" s="14">
        <f t="shared" si="35"/>
        <v>30.53595882135</v>
      </c>
      <c r="AL36" s="22">
        <f t="shared" si="4"/>
        <v>253.69806161385125</v>
      </c>
      <c r="AM36" s="62">
        <f t="shared" si="5"/>
        <v>547.03139494718459</v>
      </c>
      <c r="AN36" s="62">
        <f ca="1">AVERAGE(OFFSET($AM$3,0,0,'Données projet'!$E$10+1,1))-AVERAGE(OFFSET($H$3,0,0,'Données projet'!$E$10+1,1))</f>
        <v>215.04236469150038</v>
      </c>
      <c r="AO36" s="62">
        <f t="shared" si="36"/>
        <v>160.72275701448416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2">
        <f t="shared" si="32"/>
        <v>6.5987245821741247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70">
        <f t="shared" si="1"/>
        <v>340.2376786472866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12.625</v>
      </c>
      <c r="N37" s="14">
        <f>IF('Données projet'!$A$36&gt;35,N36+M37-V36,IF(A37&lt;'Données projet'!$A$36,$K$205^A37,IF(A37='Données projet'!$A$36,'Données projet'!$B$36,N36+M37-V36)))</f>
        <v>287.50000000000006</v>
      </c>
      <c r="O37" s="14">
        <f>N37*VLOOKUP('Données projet'!$B$9,Paramètres!$A$1:$I$89,3,0)*VLOOKUP('Données projet'!$B$9,Paramètres!$A$1:$I$89,5,0)</f>
        <v>171.92500000000004</v>
      </c>
      <c r="P37" s="14">
        <f t="shared" si="33"/>
        <v>43.520876607827979</v>
      </c>
      <c r="Q37" s="22">
        <f t="shared" si="53"/>
        <v>375.23490175863373</v>
      </c>
      <c r="R37" s="62">
        <f t="shared" si="0"/>
        <v>668.56823509196704</v>
      </c>
      <c r="S37" s="62">
        <f ca="1">AVERAGE(OFFSET($R$3,0,0,'Données projet'!$E$9+1,1))-AVERAGE(OFFSET($H$3,0,0,'Données projet'!$E$9+1,1))</f>
        <v>157.98488572680344</v>
      </c>
      <c r="T37" s="62">
        <f t="shared" si="34"/>
        <v>269.20989374735825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9.6347149323995271</v>
      </c>
      <c r="AA37" s="23">
        <f>EXP(-LN(2)/25)*AA36+(1-EXP(-LN(2)/25))/(LN(2)/25)*Calculateur!V37*Calculateur!X37*VLOOKUP('Données projet'!$B$9,Paramètres!$A$1:$I$89,3,0)*0.475*44/12</f>
        <v>2.9921382302027935</v>
      </c>
      <c r="AB37" s="23">
        <f>EXP(-LN(2)/2)*AB36+(1-EXP(-LN(2)/2))/(LN(2)/2)*V37*Y37*VLOOKUP('Données projet'!$B$9,Paramètres!$A$1:$I$89,3,0)*0.475*44/12</f>
        <v>0.75807458597250399</v>
      </c>
      <c r="AC37" s="24">
        <f t="shared" si="3"/>
        <v>13.384927748574825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17</v>
      </c>
      <c r="AI37" s="14">
        <f>IF('Données projet'!$A$62&gt;35,AI36+AH37-AQ36,IF(A37&lt;'Données projet'!$A$62,$AF$205^A37,IF(A37='Données projet'!$A$62,'Données projet'!$B$62,AI36+AH37-AQ36)))</f>
        <v>263</v>
      </c>
      <c r="AJ37" s="14">
        <f>AI37*VLOOKUP('Données projet'!$B$10,Paramètres!$A$1:$I$89,3,0)*VLOOKUP('Données projet'!$B$10,Paramètres!$A$1:$I$89,5,0)</f>
        <v>123.08399999999999</v>
      </c>
      <c r="AK37" s="14">
        <f t="shared" si="35"/>
        <v>32.393225926509828</v>
      </c>
      <c r="AL37" s="22">
        <f t="shared" si="4"/>
        <v>270.78950182200458</v>
      </c>
      <c r="AM37" s="62">
        <f t="shared" si="5"/>
        <v>564.12283515533795</v>
      </c>
      <c r="AN37" s="62">
        <f ca="1">AVERAGE(OFFSET($AM$3,0,0,'Données projet'!$E$10+1,1))-AVERAGE(OFFSET($H$3,0,0,'Données projet'!$E$10+1,1))</f>
        <v>215.04236469150038</v>
      </c>
      <c r="AO37" s="62">
        <f t="shared" si="36"/>
        <v>160.72275701448416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2">
        <f t="shared" si="32"/>
        <v>6.7699234039087761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70">
        <f t="shared" si="1"/>
        <v>341.57736659514109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12.625</v>
      </c>
      <c r="N38" s="14">
        <f>IF('Données projet'!$A$36&gt;35,N37+M38-V37,IF(A38&lt;'Données projet'!$A$36,$K$205^A38,IF(A38='Données projet'!$A$36,'Données projet'!$B$36,N37+M38-V37)))</f>
        <v>300.12500000000006</v>
      </c>
      <c r="O38" s="14">
        <f>N38*VLOOKUP('Données projet'!$B$9,Paramètres!$A$1:$I$89,3,0)*VLOOKUP('Données projet'!$B$9,Paramètres!$A$1:$I$89,5,0)</f>
        <v>179.47475000000006</v>
      </c>
      <c r="P38" s="14">
        <f t="shared" si="33"/>
        <v>45.205307850969106</v>
      </c>
      <c r="Q38" s="22">
        <f t="shared" si="53"/>
        <v>391.31776742377127</v>
      </c>
      <c r="R38" s="62">
        <f t="shared" si="0"/>
        <v>684.65110075710459</v>
      </c>
      <c r="S38" s="62">
        <f ca="1">AVERAGE(OFFSET($R$3,0,0,'Données projet'!$E$9+1,1))-AVERAGE(OFFSET($H$3,0,0,'Données projet'!$E$9+1,1))</f>
        <v>157.98488572680344</v>
      </c>
      <c r="T38" s="62">
        <f t="shared" si="34"/>
        <v>269.20989374735825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9.4457840491710154</v>
      </c>
      <c r="AA38" s="23">
        <f>EXP(-LN(2)/25)*AA37+(1-EXP(-LN(2)/25))/(LN(2)/25)*Calculateur!V38*Calculateur!X38*VLOOKUP('Données projet'!$B$9,Paramètres!$A$1:$I$89,3,0)*0.475*44/12</f>
        <v>2.9103180529481874</v>
      </c>
      <c r="AB38" s="23">
        <f>EXP(-LN(2)/2)*AB37+(1-EXP(-LN(2)/2))/(LN(2)/2)*V38*Y38*VLOOKUP('Données projet'!$B$9,Paramètres!$A$1:$I$89,3,0)*0.475*44/12</f>
        <v>0.53603968038634198</v>
      </c>
      <c r="AC38" s="24">
        <f t="shared" si="3"/>
        <v>12.892141782505544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280</v>
      </c>
      <c r="AG38" s="13">
        <f>VLOOKUP(A38,'Données projet'!$A$61:$I$81,9,0)</f>
        <v>17</v>
      </c>
      <c r="AH38" s="13">
        <f t="array" ref="AH38">INDEX(AG:AG,MIN(IF(ISNUMBER(AG38:AG234),ROW(AG38:AG234),"")))</f>
        <v>17</v>
      </c>
      <c r="AI38" s="14">
        <f>IF('Données projet'!$A$62&gt;35,AI37+AH38-AQ37,IF(A38&lt;'Données projet'!$A$62,$AF$205^A38,IF(A38='Données projet'!$A$62,'Données projet'!$B$62,AI37+AH38-AQ37)))</f>
        <v>280</v>
      </c>
      <c r="AJ38" s="14">
        <f>AI38*VLOOKUP('Données projet'!$B$10,Paramètres!$A$1:$I$89,3,0)*VLOOKUP('Données projet'!$B$10,Paramètres!$A$1:$I$89,5,0)</f>
        <v>131.04</v>
      </c>
      <c r="AK38" s="14">
        <f t="shared" si="35"/>
        <v>34.236561238949918</v>
      </c>
      <c r="AL38" s="22">
        <f t="shared" si="4"/>
        <v>287.85667749117107</v>
      </c>
      <c r="AM38" s="62">
        <f t="shared" si="5"/>
        <v>581.19001082450438</v>
      </c>
      <c r="AN38" s="62">
        <f ca="1">AVERAGE(OFFSET($AM$3,0,0,'Données projet'!$E$10+1,1))-AVERAGE(OFFSET($H$3,0,0,'Données projet'!$E$10+1,1))</f>
        <v>215.04236469150038</v>
      </c>
      <c r="AO38" s="62">
        <f t="shared" si="36"/>
        <v>160.72275701448416</v>
      </c>
      <c r="AP38" s="16">
        <f>IF(ISNA(VLOOKUP(A38,'Données projet'!$A$61:$I$81,3,0)),0,VLOOKUP(A38,'Données projet'!$A$61:$I$81,3,0))</f>
        <v>2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2">
        <f t="shared" si="32"/>
        <v>6.9405537312613585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70">
        <f t="shared" si="1"/>
        <v>342.91606441528018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12.625</v>
      </c>
      <c r="N39" s="14">
        <f>IF('Données projet'!$A$36&gt;35,N38+M39-V38,IF(A39&lt;'Données projet'!$A$36,$K$205^A39,IF(A39='Données projet'!$A$36,'Données projet'!$B$36,N38+M39-V38)))</f>
        <v>312.75000000000006</v>
      </c>
      <c r="O39" s="14">
        <f>N39*VLOOKUP('Données projet'!$B$9,Paramètres!$A$1:$I$89,3,0)*VLOOKUP('Données projet'!$B$9,Paramètres!$A$1:$I$89,5,0)</f>
        <v>187.02450000000005</v>
      </c>
      <c r="P39" s="14">
        <f t="shared" si="33"/>
        <v>46.881508940362963</v>
      </c>
      <c r="Q39" s="22">
        <f t="shared" si="53"/>
        <v>407.38629890446555</v>
      </c>
      <c r="R39" s="62">
        <f t="shared" si="0"/>
        <v>700.71963223779881</v>
      </c>
      <c r="S39" s="62">
        <f ca="1">AVERAGE(OFFSET($R$3,0,0,'Données projet'!$E$9+1,1))-AVERAGE(OFFSET($H$3,0,0,'Données projet'!$E$9+1,1))</f>
        <v>157.98488572680344</v>
      </c>
      <c r="T39" s="62">
        <f t="shared" si="34"/>
        <v>269.20989374735825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9.2605579853261553</v>
      </c>
      <c r="AA39" s="23">
        <f>EXP(-LN(2)/25)*AA38+(1-EXP(-LN(2)/25))/(LN(2)/25)*Calculateur!V39*Calculateur!X39*VLOOKUP('Données projet'!$B$9,Paramètres!$A$1:$I$89,3,0)*0.475*44/12</f>
        <v>2.8307352527433443</v>
      </c>
      <c r="AB39" s="23">
        <f>EXP(-LN(2)/2)*AB38+(1-EXP(-LN(2)/2))/(LN(2)/2)*V39*Y39*VLOOKUP('Données projet'!$B$9,Paramètres!$A$1:$I$89,3,0)*0.475*44/12</f>
        <v>0.37903729298625199</v>
      </c>
      <c r="AC39" s="24">
        <f t="shared" si="3"/>
        <v>12.470330531055753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19.571428571428573</v>
      </c>
      <c r="AI39" s="14">
        <f>IF('Données projet'!$A$62&gt;35,AI38+AH39-AQ38,IF(A39&lt;'Données projet'!$A$62,$AF$205^A39,IF(A39='Données projet'!$A$62,'Données projet'!$B$62,AI38+AH39-AQ38)))</f>
        <v>299.57142857142856</v>
      </c>
      <c r="AJ39" s="14">
        <f>AI39*VLOOKUP('Données projet'!$B$10,Paramètres!$A$1:$I$89,3,0)*VLOOKUP('Données projet'!$B$10,Paramètres!$A$1:$I$89,5,0)</f>
        <v>140.19942857142857</v>
      </c>
      <c r="AK39" s="14">
        <f t="shared" si="35"/>
        <v>36.342687994625102</v>
      </c>
      <c r="AL39" s="22">
        <f t="shared" si="4"/>
        <v>307.47751968587681</v>
      </c>
      <c r="AM39" s="62">
        <f t="shared" si="5"/>
        <v>600.81085301921007</v>
      </c>
      <c r="AN39" s="62">
        <f ca="1">AVERAGE(OFFSET($AM$3,0,0,'Données projet'!$E$10+1,1))-AVERAGE(OFFSET($H$3,0,0,'Données projet'!$E$10+1,1))</f>
        <v>215.04236469150038</v>
      </c>
      <c r="AO39" s="62">
        <f t="shared" si="36"/>
        <v>160.72275701448416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2">
        <f t="shared" si="32"/>
        <v>7.1106331699901926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70">
        <f t="shared" si="1"/>
        <v>344.25380277106626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12.625</v>
      </c>
      <c r="N40" s="14">
        <f>IF('Données projet'!$A$36&gt;35,N39+M40-V39,IF(A40&lt;'Données projet'!$A$36,$K$205^A40,IF(A40='Données projet'!$A$36,'Données projet'!$B$36,N39+M40-V39)))</f>
        <v>325.37500000000006</v>
      </c>
      <c r="O40" s="14">
        <f>N40*VLOOKUP('Données projet'!$B$9,Paramètres!$A$1:$I$89,3,0)*VLOOKUP('Données projet'!$B$9,Paramètres!$A$1:$I$89,5,0)</f>
        <v>194.57425000000006</v>
      </c>
      <c r="P40" s="14">
        <f t="shared" si="33"/>
        <v>48.54985011520143</v>
      </c>
      <c r="Q40" s="22">
        <f t="shared" si="53"/>
        <v>423.44114103397595</v>
      </c>
      <c r="R40" s="62">
        <f t="shared" si="0"/>
        <v>716.77447436730927</v>
      </c>
      <c r="S40" s="62">
        <f ca="1">AVERAGE(OFFSET($R$3,0,0,'Données projet'!$E$9+1,1))-AVERAGE(OFFSET($H$3,0,0,'Données projet'!$E$9+1,1))</f>
        <v>157.98488572680344</v>
      </c>
      <c r="T40" s="62">
        <f t="shared" si="34"/>
        <v>269.20989374735825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9.0789640916165482</v>
      </c>
      <c r="AA40" s="23">
        <f>EXP(-LN(2)/25)*AA39+(1-EXP(-LN(2)/25))/(LN(2)/25)*Calculateur!V40*Calculateur!X40*VLOOKUP('Données projet'!$B$9,Paramètres!$A$1:$I$89,3,0)*0.475*44/12</f>
        <v>2.7533286483951804</v>
      </c>
      <c r="AB40" s="23">
        <f>EXP(-LN(2)/2)*AB39+(1-EXP(-LN(2)/2))/(LN(2)/2)*V40*Y40*VLOOKUP('Données projet'!$B$9,Paramètres!$A$1:$I$89,3,0)*0.475*44/12</f>
        <v>0.26801984019317099</v>
      </c>
      <c r="AC40" s="24">
        <f t="shared" si="3"/>
        <v>12.1003125802049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19.571428571428573</v>
      </c>
      <c r="AI40" s="14">
        <f>IF('Données projet'!$A$62&gt;35,AI39+AH40-AQ39,IF(A40&lt;'Données projet'!$A$62,$AF$205^A40,IF(A40='Données projet'!$A$62,'Données projet'!$B$62,AI39+AH40-AQ39)))</f>
        <v>319.14285714285711</v>
      </c>
      <c r="AJ40" s="14">
        <f>AI40*VLOOKUP('Données projet'!$B$10,Paramètres!$A$1:$I$89,3,0)*VLOOKUP('Données projet'!$B$10,Paramètres!$A$1:$I$89,5,0)</f>
        <v>149.35885714285715</v>
      </c>
      <c r="AK40" s="14">
        <f t="shared" si="35"/>
        <v>38.432847302798578</v>
      </c>
      <c r="AL40" s="22">
        <f t="shared" si="4"/>
        <v>327.07055190951706</v>
      </c>
      <c r="AM40" s="62">
        <f t="shared" si="5"/>
        <v>620.40388524285038</v>
      </c>
      <c r="AN40" s="62">
        <f ca="1">AVERAGE(OFFSET($AM$3,0,0,'Données projet'!$E$10+1,1))-AVERAGE(OFFSET($H$3,0,0,'Données projet'!$E$10+1,1))</f>
        <v>215.04236469150038</v>
      </c>
      <c r="AO40" s="62">
        <f t="shared" si="36"/>
        <v>160.72275701448416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2">
        <f t="shared" si="32"/>
        <v>7.2801783200166916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70">
        <f t="shared" si="1"/>
        <v>345.59061057402903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>
        <f>VLOOKUP(A41,'Données projet'!$A$35:$I$55,2,0)</f>
        <v>338</v>
      </c>
      <c r="L41" s="13">
        <f>VLOOKUP(A41,'Données projet'!$A$35:$I$55,9,0)</f>
        <v>12.625</v>
      </c>
      <c r="M41" s="13">
        <f t="array" ref="M41">INDEX(L:L,MIN(IF(ISNUMBER(L41:L237),ROW(L41:L237),"")))</f>
        <v>12.625</v>
      </c>
      <c r="N41" s="14">
        <f>IF('Données projet'!$A$36&gt;35,N40+M41-V40,IF(A41&lt;'Données projet'!$A$36,$K$205^A41,IF(A41='Données projet'!$A$36,'Données projet'!$B$36,N40+M41-V40)))</f>
        <v>338.00000000000006</v>
      </c>
      <c r="O41" s="14">
        <f>N41*VLOOKUP('Données projet'!$B$9,Paramètres!$A$1:$I$89,3,0)*VLOOKUP('Données projet'!$B$9,Paramètres!$A$1:$I$89,5,0)</f>
        <v>202.12400000000008</v>
      </c>
      <c r="P41" s="14">
        <f t="shared" si="33"/>
        <v>50.210671256169846</v>
      </c>
      <c r="Q41" s="22">
        <f t="shared" si="53"/>
        <v>439.48288577116256</v>
      </c>
      <c r="R41" s="62">
        <f t="shared" si="0"/>
        <v>732.81621910449587</v>
      </c>
      <c r="S41" s="62">
        <f ca="1">AVERAGE(OFFSET($R$3,0,0,'Données projet'!$E$9+1,1))-AVERAGE(OFFSET($H$3,0,0,'Données projet'!$E$9+1,1))</f>
        <v>157.98488572680344</v>
      </c>
      <c r="T41" s="62">
        <f t="shared" si="34"/>
        <v>269.20989374735825</v>
      </c>
      <c r="U41" s="16">
        <f>IF(ISNA(VLOOKUP(A41,'Données projet'!$A$35:$I$55,3,0)),0,VLOOKUP(A41,'Données projet'!$A$35:$I$55,3,0))</f>
        <v>5</v>
      </c>
      <c r="V41" s="16">
        <f>IF(ISNA(VLOOKUP(A41,'Données projet'!$A$35:$I$55,4,0)),0,VLOOKUP(A41,'Données projet'!$A$35:$I$55,4,0))</f>
        <v>338</v>
      </c>
      <c r="W41" s="17">
        <f>IF(ISNA(VLOOKUP(A41,'Données projet'!$A$35:$I$55,5,0)),0%,VLOOKUP(A41,'Données projet'!$A$35:$I$55,5,0)*VLOOKUP('Données projet'!$B$9,Paramètres!$A$1:$I$89,7,0))</f>
        <v>0.315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0.3</v>
      </c>
      <c r="Z41" s="23">
        <f>EXP(-LN(2)/35)*Z40+(1-EXP(-LN(2)/35))/(LN(2)/35)*V41*W41*VLOOKUP('Données projet'!$B$9,Paramètres!$A$1:$I$89,3,0)*0.475*44/12</f>
        <v>93.362043050648666</v>
      </c>
      <c r="AA41" s="23">
        <f>EXP(-LN(2)/25)*AA40+(1-EXP(-LN(2)/25))/(LN(2)/25)*Calculateur!V41*Calculateur!X41*VLOOKUP('Données projet'!$B$9,Paramètres!$A$1:$I$89,3,0)*0.475*44/12</f>
        <v>2.6780387317135532</v>
      </c>
      <c r="AB41" s="23">
        <f>EXP(-LN(2)/2)*AB40+(1-EXP(-LN(2)/2))/(LN(2)/2)*V41*Y41*VLOOKUP('Données projet'!$B$9,Paramètres!$A$1:$I$89,3,0)*0.475*44/12</f>
        <v>68.844914918064944</v>
      </c>
      <c r="AC41" s="24">
        <f t="shared" si="3"/>
        <v>164.88499670042717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19.571428571428573</v>
      </c>
      <c r="AI41" s="14">
        <f>IF('Données projet'!$A$62&gt;35,AI40+AH41-AQ40,IF(A41&lt;'Données projet'!$A$62,$AF$205^A41,IF(A41='Données projet'!$A$62,'Données projet'!$B$62,AI40+AH41-AQ40)))</f>
        <v>338.71428571428567</v>
      </c>
      <c r="AJ41" s="14">
        <f>AI41*VLOOKUP('Données projet'!$B$10,Paramètres!$A$1:$I$89,3,0)*VLOOKUP('Données projet'!$B$10,Paramètres!$A$1:$I$89,5,0)</f>
        <v>158.5182857142857</v>
      </c>
      <c r="AK41" s="14">
        <f t="shared" si="35"/>
        <v>40.508129862224799</v>
      </c>
      <c r="AL41" s="22">
        <f t="shared" si="4"/>
        <v>346.63767379575575</v>
      </c>
      <c r="AM41" s="62">
        <f t="shared" si="5"/>
        <v>639.971007129089</v>
      </c>
      <c r="AN41" s="62">
        <f ca="1">AVERAGE(OFFSET($AM$3,0,0,'Données projet'!$E$10+1,1))-AVERAGE(OFFSET($H$3,0,0,'Données projet'!$E$10+1,1))</f>
        <v>215.04236469150038</v>
      </c>
      <c r="AO41" s="62">
        <f t="shared" si="36"/>
        <v>160.72275701448416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2">
        <f t="shared" si="32"/>
        <v>7.4492048578268033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70">
        <f t="shared" si="1"/>
        <v>346.92651512738166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5.6843418860808015E-14</v>
      </c>
      <c r="O42" s="14">
        <f>N42*VLOOKUP('Données projet'!$B$9,Paramètres!$A$1:$I$89,3,0)*VLOOKUP('Données projet'!$B$9,Paramètres!$A$1:$I$89,5,0)</f>
        <v>3.3992364478763198E-14</v>
      </c>
      <c r="P42" s="14">
        <f t="shared" si="33"/>
        <v>5.790027782444094E-13</v>
      </c>
      <c r="Q42" s="22">
        <f t="shared" si="53"/>
        <v>1.0676332069095257E-12</v>
      </c>
      <c r="R42" s="62">
        <f t="shared" si="0"/>
        <v>293.33333333333439</v>
      </c>
      <c r="S42" s="62">
        <f ca="1">AVERAGE(OFFSET($R$3,0,0,'Données projet'!$E$9+1,1))-AVERAGE(OFFSET($H$3,0,0,'Données projet'!$E$9+1,1))</f>
        <v>157.98488572680344</v>
      </c>
      <c r="T42" s="62">
        <f t="shared" si="34"/>
        <v>269.20989374735825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91.531270331648827</v>
      </c>
      <c r="AA42" s="23">
        <f>EXP(-LN(2)/25)*AA41+(1-EXP(-LN(2)/25))/(LN(2)/25)*Calculateur!V42*Calculateur!X42*VLOOKUP('Données projet'!$B$9,Paramètres!$A$1:$I$89,3,0)*0.475*44/12</f>
        <v>2.6048076217629101</v>
      </c>
      <c r="AB42" s="23">
        <f>EXP(-LN(2)/2)*AB41+(1-EXP(-LN(2)/2))/(LN(2)/2)*V42*Y42*VLOOKUP('Données projet'!$B$9,Paramètres!$A$1:$I$89,3,0)*0.475*44/12</f>
        <v>48.680706188774636</v>
      </c>
      <c r="AC42" s="24">
        <f t="shared" si="3"/>
        <v>142.81678414218638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19.571428571428573</v>
      </c>
      <c r="AI42" s="14">
        <f>IF('Données projet'!$A$62&gt;35,AI41+AH42-AQ41,IF(A42&lt;'Données projet'!$A$62,$AF$205^A42,IF(A42='Données projet'!$A$62,'Données projet'!$B$62,AI41+AH42-AQ41)))</f>
        <v>358.28571428571422</v>
      </c>
      <c r="AJ42" s="14">
        <f>AI42*VLOOKUP('Données projet'!$B$10,Paramètres!$A$1:$I$89,3,0)*VLOOKUP('Données projet'!$B$10,Paramètres!$A$1:$I$89,5,0)</f>
        <v>167.67771428571425</v>
      </c>
      <c r="AK42" s="14">
        <f t="shared" si="35"/>
        <v>42.569493207492975</v>
      </c>
      <c r="AL42" s="22">
        <f t="shared" si="4"/>
        <v>366.18055305066923</v>
      </c>
      <c r="AM42" s="62">
        <f t="shared" si="5"/>
        <v>659.51388638400249</v>
      </c>
      <c r="AN42" s="62">
        <f ca="1">AVERAGE(OFFSET($AM$3,0,0,'Données projet'!$E$10+1,1))-AVERAGE(OFFSET($H$3,0,0,'Données projet'!$E$10+1,1))</f>
        <v>215.04236469150038</v>
      </c>
      <c r="AO42" s="62">
        <f t="shared" si="36"/>
        <v>160.72275701448416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2">
        <f t="shared" si="32"/>
        <v>7.6177276101832261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70">
        <f t="shared" si="1"/>
        <v>348.2615422544024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5.6843418860808015E-14</v>
      </c>
      <c r="O43" s="14">
        <f>N43*VLOOKUP('Données projet'!$B$9,Paramètres!$A$1:$I$89,3,0)*VLOOKUP('Données projet'!$B$9,Paramètres!$A$1:$I$89,5,0)</f>
        <v>3.3992364478763198E-14</v>
      </c>
      <c r="P43" s="14">
        <f t="shared" si="33"/>
        <v>5.790027782444094E-13</v>
      </c>
      <c r="Q43" s="22">
        <f t="shared" si="53"/>
        <v>1.0676332069095257E-12</v>
      </c>
      <c r="R43" s="62">
        <f t="shared" si="0"/>
        <v>293.33333333333439</v>
      </c>
      <c r="S43" s="62">
        <f ca="1">AVERAGE(OFFSET($R$3,0,0,'Données projet'!$E$9+1,1))-AVERAGE(OFFSET($H$3,0,0,'Données projet'!$E$9+1,1))</f>
        <v>157.98488572680344</v>
      </c>
      <c r="T43" s="62">
        <f t="shared" si="34"/>
        <v>269.20989374735825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89.736397949007483</v>
      </c>
      <c r="AA43" s="23">
        <f>EXP(-LN(2)/25)*AA42+(1-EXP(-LN(2)/25))/(LN(2)/25)*Calculateur!V43*Calculateur!X43*VLOOKUP('Données projet'!$B$9,Paramètres!$A$1:$I$89,3,0)*0.475*44/12</f>
        <v>2.533579020364924</v>
      </c>
      <c r="AB43" s="23">
        <f>EXP(-LN(2)/2)*AB42+(1-EXP(-LN(2)/2))/(LN(2)/2)*V43*Y43*VLOOKUP('Données projet'!$B$9,Paramètres!$A$1:$I$89,3,0)*0.475*44/12</f>
        <v>34.422457459032479</v>
      </c>
      <c r="AC43" s="24">
        <f t="shared" si="3"/>
        <v>126.69243442840488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19.571428571428573</v>
      </c>
      <c r="AI43" s="14">
        <f>IF('Données projet'!$A$62&gt;35,AI42+AH43-AQ42,IF(A43&lt;'Données projet'!$A$62,$AF$205^A43,IF(A43='Données projet'!$A$62,'Données projet'!$B$62,AI42+AH43-AQ42)))</f>
        <v>377.85714285714278</v>
      </c>
      <c r="AJ43" s="14">
        <f>AI43*VLOOKUP('Données projet'!$B$10,Paramètres!$A$1:$I$89,3,0)*VLOOKUP('Données projet'!$B$10,Paramètres!$A$1:$I$89,5,0)</f>
        <v>176.83714285714279</v>
      </c>
      <c r="AK43" s="14">
        <f t="shared" si="35"/>
        <v>44.617784353930041</v>
      </c>
      <c r="AL43" s="22">
        <f t="shared" si="4"/>
        <v>385.70066489261848</v>
      </c>
      <c r="AM43" s="62">
        <f t="shared" si="5"/>
        <v>679.03399822595179</v>
      </c>
      <c r="AN43" s="62">
        <f ca="1">AVERAGE(OFFSET($AM$3,0,0,'Données projet'!$E$10+1,1))-AVERAGE(OFFSET($H$3,0,0,'Données projet'!$E$10+1,1))</f>
        <v>215.04236469150038</v>
      </c>
      <c r="AO43" s="62">
        <f t="shared" si="36"/>
        <v>160.72275701448416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2">
        <f t="shared" si="32"/>
        <v>7.7857606202588796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70">
        <f t="shared" si="1"/>
        <v>349.59571641361754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5.6843418860808015E-14</v>
      </c>
      <c r="O44" s="14">
        <f>N44*VLOOKUP('Données projet'!$B$9,Paramètres!$A$1:$I$89,3,0)*VLOOKUP('Données projet'!$B$9,Paramètres!$A$1:$I$89,5,0)</f>
        <v>3.3992364478763198E-14</v>
      </c>
      <c r="P44" s="14">
        <f t="shared" si="33"/>
        <v>5.790027782444094E-13</v>
      </c>
      <c r="Q44" s="22">
        <f t="shared" si="53"/>
        <v>1.0676332069095257E-12</v>
      </c>
      <c r="R44" s="62">
        <f t="shared" si="0"/>
        <v>293.33333333333439</v>
      </c>
      <c r="S44" s="62">
        <f ca="1">AVERAGE(OFFSET($R$3,0,0,'Données projet'!$E$9+1,1))-AVERAGE(OFFSET($H$3,0,0,'Données projet'!$E$9+1,1))</f>
        <v>157.98488572680344</v>
      </c>
      <c r="T44" s="62">
        <f t="shared" si="34"/>
        <v>269.20989374735825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87.976721919025678</v>
      </c>
      <c r="AA44" s="23">
        <f>EXP(-LN(2)/25)*AA43+(1-EXP(-LN(2)/25))/(LN(2)/25)*Calculateur!V44*Calculateur!X44*VLOOKUP('Données projet'!$B$9,Paramètres!$A$1:$I$89,3,0)*0.475*44/12</f>
        <v>2.4642981688179151</v>
      </c>
      <c r="AB44" s="23">
        <f>EXP(-LN(2)/2)*AB43+(1-EXP(-LN(2)/2))/(LN(2)/2)*V44*Y44*VLOOKUP('Données projet'!$B$9,Paramètres!$A$1:$I$89,3,0)*0.475*44/12</f>
        <v>24.340353094387321</v>
      </c>
      <c r="AC44" s="24">
        <f t="shared" si="3"/>
        <v>114.78137318223092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19.571428571428573</v>
      </c>
      <c r="AI44" s="14">
        <f>IF('Données projet'!$A$62&gt;35,AI43+AH44-AQ43,IF(A44&lt;'Données projet'!$A$62,$AF$205^A44,IF(A44='Données projet'!$A$62,'Données projet'!$B$62,AI43+AH44-AQ43)))</f>
        <v>397.42857142857133</v>
      </c>
      <c r="AJ44" s="14">
        <f>AI44*VLOOKUP('Données projet'!$B$10,Paramètres!$A$1:$I$89,3,0)*VLOOKUP('Données projet'!$B$10,Paramètres!$A$1:$I$89,5,0)</f>
        <v>185.9965714285714</v>
      </c>
      <c r="AK44" s="14">
        <f t="shared" si="35"/>
        <v>46.653757617185917</v>
      </c>
      <c r="AL44" s="22">
        <f t="shared" si="4"/>
        <v>405.19932308802726</v>
      </c>
      <c r="AM44" s="62">
        <f t="shared" si="5"/>
        <v>698.53265642136057</v>
      </c>
      <c r="AN44" s="62">
        <f ca="1">AVERAGE(OFFSET($AM$3,0,0,'Données projet'!$E$10+1,1))-AVERAGE(OFFSET($H$3,0,0,'Données projet'!$E$10+1,1))</f>
        <v>215.04236469150038</v>
      </c>
      <c r="AO44" s="62">
        <f t="shared" si="36"/>
        <v>160.72275701448416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2">
        <f t="shared" si="32"/>
        <v>7.9533172071366991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70">
        <f t="shared" si="1"/>
        <v>350.92906080242972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5.6843418860808015E-14</v>
      </c>
      <c r="O45" s="14">
        <f>N45*VLOOKUP('Données projet'!$B$9,Paramètres!$A$1:$I$89,3,0)*VLOOKUP('Données projet'!$B$9,Paramètres!$A$1:$I$89,5,0)</f>
        <v>3.3992364478763198E-14</v>
      </c>
      <c r="P45" s="14">
        <f t="shared" si="33"/>
        <v>5.790027782444094E-13</v>
      </c>
      <c r="Q45" s="22">
        <f t="shared" si="53"/>
        <v>1.0676332069095257E-12</v>
      </c>
      <c r="R45" s="62">
        <f t="shared" si="0"/>
        <v>293.33333333333439</v>
      </c>
      <c r="S45" s="62">
        <f ca="1">AVERAGE(OFFSET($R$3,0,0,'Données projet'!$E$9+1,1))-AVERAGE(OFFSET($H$3,0,0,'Données projet'!$E$9+1,1))</f>
        <v>157.98488572680344</v>
      </c>
      <c r="T45" s="62">
        <f t="shared" si="34"/>
        <v>269.20989374735825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86.251552062695424</v>
      </c>
      <c r="AA45" s="23">
        <f>EXP(-LN(2)/25)*AA44+(1-EXP(-LN(2)/25))/(LN(2)/25)*Calculateur!V45*Calculateur!X45*VLOOKUP('Données projet'!$B$9,Paramètres!$A$1:$I$89,3,0)*0.475*44/12</f>
        <v>2.3969118057997809</v>
      </c>
      <c r="AB45" s="23">
        <f>EXP(-LN(2)/2)*AB44+(1-EXP(-LN(2)/2))/(LN(2)/2)*V45*Y45*VLOOKUP('Données projet'!$B$9,Paramètres!$A$1:$I$89,3,0)*0.475*44/12</f>
        <v>17.211228729516243</v>
      </c>
      <c r="AC45" s="24">
        <f t="shared" si="3"/>
        <v>105.85969259801143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>
        <f>VLOOKUP(A45,'Données projet'!$A$61:$I$81,2,0)</f>
        <v>417</v>
      </c>
      <c r="AG45" s="13">
        <f>VLOOKUP(A45,'Données projet'!$A$61:$I$81,9,0)</f>
        <v>19.571428571428573</v>
      </c>
      <c r="AH45" s="13">
        <f t="array" ref="AH45">INDEX(AG:AG,MIN(IF(ISNUMBER(AG45:AG241),ROW(AG45:AG241),"")))</f>
        <v>19.571428571428573</v>
      </c>
      <c r="AI45" s="14">
        <f>IF('Données projet'!$A$62&gt;35,AI44+AH45-AQ44,IF(A45&lt;'Données projet'!$A$62,$AF$205^A45,IF(A45='Données projet'!$A$62,'Données projet'!$B$62,AI44+AH45-AQ44)))</f>
        <v>416.99999999999989</v>
      </c>
      <c r="AJ45" s="14">
        <f>AI45*VLOOKUP('Données projet'!$B$10,Paramètres!$A$1:$I$89,3,0)*VLOOKUP('Données projet'!$B$10,Paramètres!$A$1:$I$89,5,0)</f>
        <v>195.15599999999995</v>
      </c>
      <c r="AK45" s="14">
        <f t="shared" si="35"/>
        <v>48.678088823054175</v>
      </c>
      <c r="AL45" s="22">
        <f t="shared" si="4"/>
        <v>424.67770470015256</v>
      </c>
      <c r="AM45" s="62">
        <f t="shared" si="5"/>
        <v>718.01103803348587</v>
      </c>
      <c r="AN45" s="62">
        <f ca="1">AVERAGE(OFFSET($AM$3,0,0,'Données projet'!$E$10+1,1))-AVERAGE(OFFSET($H$3,0,0,'Données projet'!$E$10+1,1))</f>
        <v>215.04236469150038</v>
      </c>
      <c r="AO45" s="62">
        <f t="shared" si="36"/>
        <v>160.72275701448416</v>
      </c>
      <c r="AP45" s="16">
        <f>IF(ISNA(VLOOKUP(A45,'Données projet'!$A$61:$I$81,3,0)),0,VLOOKUP(A45,'Données projet'!$A$61:$I$81,3,0))</f>
        <v>3</v>
      </c>
      <c r="AQ45" s="16">
        <f>IF(ISNA(VLOOKUP(A45,'Données projet'!$A$61:$I$81,4,0)),0,VLOOKUP(A45,'Données projet'!$A$61:$I$81,4,0))</f>
        <v>182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2">
        <f t="shared" si="32"/>
        <v>8.1204100194831259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70">
        <f t="shared" si="1"/>
        <v>352.26159745059977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5.6843418860808015E-14</v>
      </c>
      <c r="O46" s="14">
        <f>N46*VLOOKUP('Données projet'!$B$9,Paramètres!$A$1:$I$89,3,0)*VLOOKUP('Données projet'!$B$9,Paramètres!$A$1:$I$89,5,0)</f>
        <v>3.3992364478763198E-14</v>
      </c>
      <c r="P46" s="14">
        <f t="shared" si="33"/>
        <v>5.790027782444094E-13</v>
      </c>
      <c r="Q46" s="22">
        <f t="shared" si="53"/>
        <v>1.0676332069095257E-12</v>
      </c>
      <c r="R46" s="62">
        <f t="shared" si="0"/>
        <v>293.33333333333439</v>
      </c>
      <c r="S46" s="62">
        <f ca="1">AVERAGE(OFFSET($R$3,0,0,'Données projet'!$E$9+1,1))-AVERAGE(OFFSET($H$3,0,0,'Données projet'!$E$9+1,1))</f>
        <v>157.98488572680344</v>
      </c>
      <c r="T46" s="62">
        <f t="shared" si="34"/>
        <v>269.20989374735825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84.560211734998092</v>
      </c>
      <c r="AA46" s="23">
        <f>EXP(-LN(2)/25)*AA45+(1-EXP(-LN(2)/25))/(LN(2)/25)*Calculateur!V46*Calculateur!X46*VLOOKUP('Données projet'!$B$9,Paramètres!$A$1:$I$89,3,0)*0.475*44/12</f>
        <v>2.3313681264220723</v>
      </c>
      <c r="AB46" s="23">
        <f>EXP(-LN(2)/2)*AB45+(1-EXP(-LN(2)/2))/(LN(2)/2)*V46*Y46*VLOOKUP('Données projet'!$B$9,Paramètres!$A$1:$I$89,3,0)*0.475*44/12</f>
        <v>12.170176547193662</v>
      </c>
      <c r="AC46" s="24">
        <f t="shared" si="3"/>
        <v>99.061756408613832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>
        <f>VLOOKUP(A46,'Données projet'!$A$61:$I$81,2,0)</f>
        <v>256</v>
      </c>
      <c r="AG46" s="13">
        <f>VLOOKUP(A46,'Données projet'!$A$61:$I$81,9,0)</f>
        <v>21</v>
      </c>
      <c r="AH46" s="13">
        <f t="array" ref="AH46">INDEX(AG:AG,MIN(IF(ISNUMBER(AG46:AG242),ROW(AG46:AG242),"")))</f>
        <v>21</v>
      </c>
      <c r="AI46" s="14">
        <f>IF('Données projet'!$A$62&gt;35,AI45+AH46-AQ45,IF(A46&lt;'Données projet'!$A$62,$AF$205^A46,IF(A46='Données projet'!$A$62,'Données projet'!$B$62,AI45+AH46-AQ45)))</f>
        <v>255.99999999999989</v>
      </c>
      <c r="AJ46" s="14">
        <f>AI46*VLOOKUP('Données projet'!$B$10,Paramètres!$A$1:$I$89,3,0)*VLOOKUP('Données projet'!$B$10,Paramètres!$A$1:$I$89,5,0)</f>
        <v>119.80799999999995</v>
      </c>
      <c r="AK46" s="14">
        <f t="shared" si="35"/>
        <v>31.630214274643535</v>
      </c>
      <c r="AL46" s="22">
        <f t="shared" si="4"/>
        <v>263.75488986167073</v>
      </c>
      <c r="AM46" s="62">
        <f t="shared" si="5"/>
        <v>557.08822319500405</v>
      </c>
      <c r="AN46" s="62">
        <f ca="1">AVERAGE(OFFSET($AM$3,0,0,'Données projet'!$E$10+1,1))-AVERAGE(OFFSET($H$3,0,0,'Données projet'!$E$10+1,1))</f>
        <v>215.04236469150038</v>
      </c>
      <c r="AO46" s="62">
        <f t="shared" si="36"/>
        <v>160.72275701448416</v>
      </c>
      <c r="AP46" s="16">
        <f>IF(ISNA(VLOOKUP(A46,'Données projet'!$A$61:$I$81,3,0)),0,VLOOKUP(A46,'Données projet'!$A$61:$I$81,3,0))</f>
        <v>4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2">
        <f t="shared" si="32"/>
        <v>8.2870510840880431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70">
        <f t="shared" si="1"/>
        <v>353.59334730478662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5.6843418860808015E-14</v>
      </c>
      <c r="O47" s="14">
        <f>N47*VLOOKUP('Données projet'!$B$9,Paramètres!$A$1:$I$89,3,0)*VLOOKUP('Données projet'!$B$9,Paramètres!$A$1:$I$89,5,0)</f>
        <v>3.3992364478763198E-14</v>
      </c>
      <c r="P47" s="14">
        <f t="shared" si="33"/>
        <v>5.790027782444094E-13</v>
      </c>
      <c r="Q47" s="22">
        <f t="shared" si="53"/>
        <v>1.0676332069095257E-12</v>
      </c>
      <c r="R47" s="62">
        <f t="shared" si="0"/>
        <v>293.33333333333439</v>
      </c>
      <c r="S47" s="62">
        <f ca="1">AVERAGE(OFFSET($R$3,0,0,'Données projet'!$E$9+1,1))-AVERAGE(OFFSET($H$3,0,0,'Données projet'!$E$9+1,1))</f>
        <v>157.98488572680344</v>
      </c>
      <c r="T47" s="62">
        <f t="shared" si="34"/>
        <v>269.20989374735825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82.902037559511172</v>
      </c>
      <c r="AA47" s="23">
        <f>EXP(-LN(2)/25)*AA46+(1-EXP(-LN(2)/25))/(LN(2)/25)*Calculateur!V47*Calculateur!X47*VLOOKUP('Données projet'!$B$9,Paramètres!$A$1:$I$89,3,0)*0.475*44/12</f>
        <v>2.2676167424037392</v>
      </c>
      <c r="AB47" s="23">
        <f>EXP(-LN(2)/2)*AB46+(1-EXP(-LN(2)/2))/(LN(2)/2)*V47*Y47*VLOOKUP('Données projet'!$B$9,Paramètres!$A$1:$I$89,3,0)*0.475*44/12</f>
        <v>8.6056143647581216</v>
      </c>
      <c r="AC47" s="24">
        <f t="shared" si="3"/>
        <v>93.775268666673043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17.5</v>
      </c>
      <c r="AI47" s="14">
        <f>IF('Données projet'!$A$62&gt;35,AI46+AH47-AQ46,IF(A47&lt;'Données projet'!$A$62,$AF$205^A47,IF(A47='Données projet'!$A$62,'Données projet'!$B$62,AI46+AH47-AQ46)))</f>
        <v>273.49999999999989</v>
      </c>
      <c r="AJ47" s="14">
        <f>AI47*VLOOKUP('Données projet'!$B$10,Paramètres!$A$1:$I$89,3,0)*VLOOKUP('Données projet'!$B$10,Paramètres!$A$1:$I$89,5,0)</f>
        <v>127.99799999999995</v>
      </c>
      <c r="AK47" s="14">
        <f t="shared" si="35"/>
        <v>33.533338894635314</v>
      </c>
      <c r="AL47" s="22">
        <f t="shared" si="4"/>
        <v>281.33374857482306</v>
      </c>
      <c r="AM47" s="62">
        <f t="shared" si="5"/>
        <v>574.66708190815643</v>
      </c>
      <c r="AN47" s="62">
        <f ca="1">AVERAGE(OFFSET($AM$3,0,0,'Données projet'!$E$10+1,1))-AVERAGE(OFFSET($H$3,0,0,'Données projet'!$E$10+1,1))</f>
        <v>215.04236469150038</v>
      </c>
      <c r="AO47" s="62">
        <f t="shared" si="36"/>
        <v>160.72275701448416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2">
        <f t="shared" si="32"/>
        <v>8.4532518498676339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70">
        <f t="shared" si="1"/>
        <v>354.92433030518612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5.6843418860808015E-14</v>
      </c>
      <c r="O48" s="14">
        <f>N48*VLOOKUP('Données projet'!$B$9,Paramètres!$A$1:$I$89,3,0)*VLOOKUP('Données projet'!$B$9,Paramètres!$A$1:$I$89,5,0)</f>
        <v>3.3992364478763198E-14</v>
      </c>
      <c r="P48" s="14">
        <f t="shared" si="33"/>
        <v>5.790027782444094E-13</v>
      </c>
      <c r="Q48" s="22">
        <f t="shared" si="53"/>
        <v>1.0676332069095257E-12</v>
      </c>
      <c r="R48" s="62">
        <f t="shared" si="0"/>
        <v>293.33333333333439</v>
      </c>
      <c r="S48" s="62">
        <f ca="1">AVERAGE(OFFSET($R$3,0,0,'Données projet'!$E$9+1,1))-AVERAGE(OFFSET($H$3,0,0,'Données projet'!$E$9+1,1))</f>
        <v>157.98488572680344</v>
      </c>
      <c r="T48" s="62">
        <f t="shared" si="34"/>
        <v>269.20989374735825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81.276379168219165</v>
      </c>
      <c r="AA48" s="23">
        <f>EXP(-LN(2)/25)*AA47+(1-EXP(-LN(2)/25))/(LN(2)/25)*Calculateur!V48*Calculateur!X48*VLOOKUP('Données projet'!$B$9,Paramètres!$A$1:$I$89,3,0)*0.475*44/12</f>
        <v>2.2056086433339273</v>
      </c>
      <c r="AB48" s="23">
        <f>EXP(-LN(2)/2)*AB47+(1-EXP(-LN(2)/2))/(LN(2)/2)*V48*Y48*VLOOKUP('Données projet'!$B$9,Paramètres!$A$1:$I$89,3,0)*0.475*44/12</f>
        <v>6.0850882735968312</v>
      </c>
      <c r="AC48" s="24">
        <f t="shared" si="3"/>
        <v>89.567076085149921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17.5</v>
      </c>
      <c r="AI48" s="14">
        <f>IF('Données projet'!$A$62&gt;35,AI47+AH48-AQ47,IF(A48&lt;'Données projet'!$A$62,$AF$205^A48,IF(A48='Données projet'!$A$62,'Données projet'!$B$62,AI47+AH48-AQ47)))</f>
        <v>290.99999999999989</v>
      </c>
      <c r="AJ48" s="14">
        <f>AI48*VLOOKUP('Données projet'!$B$10,Paramètres!$A$1:$I$89,3,0)*VLOOKUP('Données projet'!$B$10,Paramètres!$A$1:$I$89,5,0)</f>
        <v>136.18799999999993</v>
      </c>
      <c r="AK48" s="14">
        <f t="shared" si="35"/>
        <v>35.422331714503152</v>
      </c>
      <c r="AL48" s="22">
        <f t="shared" si="4"/>
        <v>298.88799440275955</v>
      </c>
      <c r="AM48" s="62">
        <f t="shared" si="5"/>
        <v>592.22132773609292</v>
      </c>
      <c r="AN48" s="62">
        <f ca="1">AVERAGE(OFFSET($AM$3,0,0,'Données projet'!$E$10+1,1))-AVERAGE(OFFSET($H$3,0,0,'Données projet'!$E$10+1,1))</f>
        <v>215.04236469150038</v>
      </c>
      <c r="AO48" s="62">
        <f t="shared" si="36"/>
        <v>160.72275701448416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2">
        <f t="shared" si="32"/>
        <v>8.6190232278455454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70">
        <f t="shared" si="1"/>
        <v>356.25456545516431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5.6843418860808015E-14</v>
      </c>
      <c r="O49" s="14">
        <f>N49*VLOOKUP('Données projet'!$B$9,Paramètres!$A$1:$I$89,3,0)*VLOOKUP('Données projet'!$B$9,Paramètres!$A$1:$I$89,5,0)</f>
        <v>3.3992364478763198E-14</v>
      </c>
      <c r="P49" s="14">
        <f t="shared" si="33"/>
        <v>5.790027782444094E-13</v>
      </c>
      <c r="Q49" s="22">
        <f t="shared" si="53"/>
        <v>1.0676332069095257E-12</v>
      </c>
      <c r="R49" s="62">
        <f t="shared" si="0"/>
        <v>293.33333333333439</v>
      </c>
      <c r="S49" s="62">
        <f ca="1">AVERAGE(OFFSET($R$3,0,0,'Données projet'!$E$9+1,1))-AVERAGE(OFFSET($H$3,0,0,'Données projet'!$E$9+1,1))</f>
        <v>157.98488572680344</v>
      </c>
      <c r="T49" s="62">
        <f t="shared" si="34"/>
        <v>269.20989374735825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79.68259894642668</v>
      </c>
      <c r="AA49" s="23">
        <f>EXP(-LN(2)/25)*AA48+(1-EXP(-LN(2)/25))/(LN(2)/25)*Calculateur!V49*Calculateur!X49*VLOOKUP('Données projet'!$B$9,Paramètres!$A$1:$I$89,3,0)*0.475*44/12</f>
        <v>2.1452961589940434</v>
      </c>
      <c r="AB49" s="23">
        <f>EXP(-LN(2)/2)*AB48+(1-EXP(-LN(2)/2))/(LN(2)/2)*V49*Y49*VLOOKUP('Données projet'!$B$9,Paramètres!$A$1:$I$89,3,0)*0.475*44/12</f>
        <v>4.3028071823790608</v>
      </c>
      <c r="AC49" s="24">
        <f t="shared" si="3"/>
        <v>86.130702287799778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17.5</v>
      </c>
      <c r="AI49" s="14">
        <f>IF('Données projet'!$A$62&gt;35,AI48+AH49-AQ48,IF(A49&lt;'Données projet'!$A$62,$AF$205^A49,IF(A49='Données projet'!$A$62,'Données projet'!$B$62,AI48+AH49-AQ48)))</f>
        <v>308.49999999999989</v>
      </c>
      <c r="AJ49" s="14">
        <f>AI49*VLOOKUP('Données projet'!$B$10,Paramètres!$A$1:$I$89,3,0)*VLOOKUP('Données projet'!$B$10,Paramètres!$A$1:$I$89,5,0)</f>
        <v>144.37799999999996</v>
      </c>
      <c r="AK49" s="14">
        <f t="shared" si="35"/>
        <v>37.298139369272413</v>
      </c>
      <c r="AL49" s="22">
        <f t="shared" si="4"/>
        <v>316.41927606814937</v>
      </c>
      <c r="AM49" s="62">
        <f t="shared" si="5"/>
        <v>609.75260940148269</v>
      </c>
      <c r="AN49" s="62">
        <f ca="1">AVERAGE(OFFSET($AM$3,0,0,'Données projet'!$E$10+1,1))-AVERAGE(OFFSET($H$3,0,0,'Données projet'!$E$10+1,1))</f>
        <v>215.04236469150038</v>
      </c>
      <c r="AO49" s="62">
        <f t="shared" si="36"/>
        <v>160.72275701448416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2">
        <f t="shared" si="32"/>
        <v>8.7843756275593741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70">
        <f t="shared" si="1"/>
        <v>357.58407088466589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5.6843418860808015E-14</v>
      </c>
      <c r="O50" s="14">
        <f>N50*VLOOKUP('Données projet'!$B$9,Paramètres!$A$1:$I$89,3,0)*VLOOKUP('Données projet'!$B$9,Paramètres!$A$1:$I$89,5,0)</f>
        <v>3.3992364478763198E-14</v>
      </c>
      <c r="P50" s="14">
        <f t="shared" si="33"/>
        <v>5.790027782444094E-13</v>
      </c>
      <c r="Q50" s="22">
        <f t="shared" si="53"/>
        <v>1.0676332069095257E-12</v>
      </c>
      <c r="R50" s="62">
        <f t="shared" si="0"/>
        <v>293.33333333333439</v>
      </c>
      <c r="S50" s="62">
        <f ca="1">AVERAGE(OFFSET($R$3,0,0,'Données projet'!$E$9+1,1))-AVERAGE(OFFSET($H$3,0,0,'Données projet'!$E$9+1,1))</f>
        <v>157.98488572680344</v>
      </c>
      <c r="T50" s="62">
        <f t="shared" si="34"/>
        <v>269.20989374735825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78.120071782673605</v>
      </c>
      <c r="AA50" s="23">
        <f>EXP(-LN(2)/25)*AA49+(1-EXP(-LN(2)/25))/(LN(2)/25)*Calculateur!V50*Calculateur!X50*VLOOKUP('Données projet'!$B$9,Paramètres!$A$1:$I$89,3,0)*0.475*44/12</f>
        <v>2.0866329227101295</v>
      </c>
      <c r="AB50" s="23">
        <f>EXP(-LN(2)/2)*AB49+(1-EXP(-LN(2)/2))/(LN(2)/2)*V50*Y50*VLOOKUP('Données projet'!$B$9,Paramètres!$A$1:$I$89,3,0)*0.475*44/12</f>
        <v>3.0425441367984156</v>
      </c>
      <c r="AC50" s="24">
        <f t="shared" si="3"/>
        <v>83.249248842182141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17.5</v>
      </c>
      <c r="AI50" s="14">
        <f>IF('Données projet'!$A$62&gt;35,AI49+AH50-AQ49,IF(A50&lt;'Données projet'!$A$62,$AF$205^A50,IF(A50='Données projet'!$A$62,'Données projet'!$B$62,AI49+AH50-AQ49)))</f>
        <v>325.99999999999989</v>
      </c>
      <c r="AJ50" s="14">
        <f>AI50*VLOOKUP('Données projet'!$B$10,Paramètres!$A$1:$I$89,3,0)*VLOOKUP('Données projet'!$B$10,Paramètres!$A$1:$I$89,5,0)</f>
        <v>152.56799999999996</v>
      </c>
      <c r="AK50" s="14">
        <f t="shared" si="35"/>
        <v>39.161595030150863</v>
      </c>
      <c r="AL50" s="22">
        <f t="shared" si="4"/>
        <v>333.92904467751265</v>
      </c>
      <c r="AM50" s="62">
        <f t="shared" si="5"/>
        <v>627.26237801084596</v>
      </c>
      <c r="AN50" s="62">
        <f ca="1">AVERAGE(OFFSET($AM$3,0,0,'Données projet'!$E$10+1,1))-AVERAGE(OFFSET($H$3,0,0,'Données projet'!$E$10+1,1))</f>
        <v>215.04236469150038</v>
      </c>
      <c r="AO50" s="62">
        <f t="shared" si="36"/>
        <v>160.72275701448416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2">
        <f t="shared" si="32"/>
        <v>8.9493189902812986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70">
        <f t="shared" si="1"/>
        <v>358.91286390807323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5.6843418860808015E-14</v>
      </c>
      <c r="O51" s="14">
        <f>N51*VLOOKUP('Données projet'!$B$9,Paramètres!$A$1:$I$89,3,0)*VLOOKUP('Données projet'!$B$9,Paramètres!$A$1:$I$89,5,0)</f>
        <v>3.3992364478763198E-14</v>
      </c>
      <c r="P51" s="14">
        <f t="shared" si="33"/>
        <v>5.790027782444094E-13</v>
      </c>
      <c r="Q51" s="22">
        <f t="shared" si="53"/>
        <v>1.0676332069095257E-12</v>
      </c>
      <c r="R51" s="62">
        <f t="shared" si="0"/>
        <v>293.33333333333439</v>
      </c>
      <c r="S51" s="62">
        <f ca="1">AVERAGE(OFFSET($R$3,0,0,'Données projet'!$E$9+1,1))-AVERAGE(OFFSET($H$3,0,0,'Données projet'!$E$9+1,1))</f>
        <v>157.98488572680344</v>
      </c>
      <c r="T51" s="62">
        <f t="shared" si="34"/>
        <v>269.20989374735825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76.588184823554258</v>
      </c>
      <c r="AA51" s="23">
        <f>EXP(-LN(2)/25)*AA50+(1-EXP(-LN(2)/25))/(LN(2)/25)*Calculateur!V51*Calculateur!X51*VLOOKUP('Données projet'!$B$9,Paramètres!$A$1:$I$89,3,0)*0.475*44/12</f>
        <v>2.0295738357073647</v>
      </c>
      <c r="AB51" s="23">
        <f>EXP(-LN(2)/2)*AB50+(1-EXP(-LN(2)/2))/(LN(2)/2)*V51*Y51*VLOOKUP('Données projet'!$B$9,Paramètres!$A$1:$I$89,3,0)*0.475*44/12</f>
        <v>2.1514035911895304</v>
      </c>
      <c r="AC51" s="24">
        <f t="shared" si="3"/>
        <v>80.76916225045116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17.5</v>
      </c>
      <c r="AI51" s="14">
        <f>IF('Données projet'!$A$62&gt;35,AI50+AH51-AQ50,IF(A51&lt;'Données projet'!$A$62,$AF$205^A51,IF(A51='Données projet'!$A$62,'Données projet'!$B$62,AI50+AH51-AQ50)))</f>
        <v>343.49999999999989</v>
      </c>
      <c r="AJ51" s="14">
        <f>AI51*VLOOKUP('Données projet'!$B$10,Paramètres!$A$1:$I$89,3,0)*VLOOKUP('Données projet'!$B$10,Paramètres!$A$1:$I$89,5,0)</f>
        <v>160.75799999999995</v>
      </c>
      <c r="AK51" s="14">
        <f t="shared" si="35"/>
        <v>41.013437365421375</v>
      </c>
      <c r="AL51" s="22">
        <f t="shared" si="4"/>
        <v>351.41858674477544</v>
      </c>
      <c r="AM51" s="62">
        <f t="shared" si="5"/>
        <v>644.7519200781087</v>
      </c>
      <c r="AN51" s="62">
        <f ca="1">AVERAGE(OFFSET($AM$3,0,0,'Données projet'!$E$10+1,1))-AVERAGE(OFFSET($H$3,0,0,'Données projet'!$E$10+1,1))</f>
        <v>215.04236469150038</v>
      </c>
      <c r="AO51" s="62">
        <f t="shared" si="36"/>
        <v>160.72275701448416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2">
        <f t="shared" si="32"/>
        <v>9.1138628193922067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70">
        <f t="shared" si="1"/>
        <v>360.24096107710801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5.6843418860808015E-14</v>
      </c>
      <c r="O52" s="14">
        <f>N52*VLOOKUP('Données projet'!$B$9,Paramètres!$A$1:$I$89,3,0)*VLOOKUP('Données projet'!$B$9,Paramètres!$A$1:$I$89,5,0)</f>
        <v>3.3992364478763198E-14</v>
      </c>
      <c r="P52" s="14">
        <f t="shared" si="33"/>
        <v>5.790027782444094E-13</v>
      </c>
      <c r="Q52" s="22">
        <f t="shared" si="53"/>
        <v>1.0676332069095257E-12</v>
      </c>
      <c r="R52" s="62">
        <f t="shared" si="0"/>
        <v>293.33333333333439</v>
      </c>
      <c r="S52" s="62">
        <f ca="1">AVERAGE(OFFSET($R$3,0,0,'Données projet'!$E$9+1,1))-AVERAGE(OFFSET($H$3,0,0,'Données projet'!$E$9+1,1))</f>
        <v>157.98488572680344</v>
      </c>
      <c r="T52" s="62">
        <f t="shared" si="34"/>
        <v>269.20989374735825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75.086337233344466</v>
      </c>
      <c r="AA52" s="23">
        <f>EXP(-LN(2)/25)*AA51+(1-EXP(-LN(2)/25))/(LN(2)/25)*Calculateur!V52*Calculateur!X52*VLOOKUP('Données projet'!$B$9,Paramètres!$A$1:$I$89,3,0)*0.475*44/12</f>
        <v>1.9740750324392975</v>
      </c>
      <c r="AB52" s="23">
        <f>EXP(-LN(2)/2)*AB51+(1-EXP(-LN(2)/2))/(LN(2)/2)*V52*Y52*VLOOKUP('Données projet'!$B$9,Paramètres!$A$1:$I$89,3,0)*0.475*44/12</f>
        <v>1.5212720683992078</v>
      </c>
      <c r="AC52" s="24">
        <f t="shared" si="3"/>
        <v>78.581684334182981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>
        <f>VLOOKUP(A52,'Données projet'!$A$61:$I$81,2,0)</f>
        <v>361</v>
      </c>
      <c r="AG52" s="13">
        <f>VLOOKUP(A52,'Données projet'!$A$61:$I$81,9,0)</f>
        <v>17.5</v>
      </c>
      <c r="AH52" s="13">
        <f t="array" ref="AH52">INDEX(AG:AG,MIN(IF(ISNUMBER(AG52:AG248),ROW(AG52:AG248),"")))</f>
        <v>17.5</v>
      </c>
      <c r="AI52" s="14">
        <f>IF('Données projet'!$A$62&gt;35,AI51+AH52-AQ51,IF(A52&lt;'Données projet'!$A$62,$AF$205^A52,IF(A52='Données projet'!$A$62,'Données projet'!$B$62,AI51+AH52-AQ51)))</f>
        <v>360.99999999999989</v>
      </c>
      <c r="AJ52" s="14">
        <f>AI52*VLOOKUP('Données projet'!$B$10,Paramètres!$A$1:$I$89,3,0)*VLOOKUP('Données projet'!$B$10,Paramètres!$A$1:$I$89,5,0)</f>
        <v>168.94799999999995</v>
      </c>
      <c r="AK52" s="14">
        <f t="shared" si="35"/>
        <v>42.854325527446242</v>
      </c>
      <c r="AL52" s="22">
        <f t="shared" si="4"/>
        <v>368.88905029363542</v>
      </c>
      <c r="AM52" s="62">
        <f t="shared" si="5"/>
        <v>662.22238362696874</v>
      </c>
      <c r="AN52" s="62">
        <f ca="1">AVERAGE(OFFSET($AM$3,0,0,'Données projet'!$E$10+1,1))-AVERAGE(OFFSET($H$3,0,0,'Données projet'!$E$10+1,1))</f>
        <v>215.04236469150038</v>
      </c>
      <c r="AO52" s="62">
        <f t="shared" si="36"/>
        <v>160.72275701448416</v>
      </c>
      <c r="AP52" s="16">
        <f>IF(ISNA(VLOOKUP(A52,'Données projet'!$A$61:$I$81,3,0)),0,VLOOKUP(A52,'Données projet'!$A$61:$I$81,3,0))</f>
        <v>5</v>
      </c>
      <c r="AQ52" s="16">
        <f>IF(ISNA(VLOOKUP(A52,'Données projet'!$A$61:$I$81,4,0)),0,VLOOKUP(A52,'Données projet'!$A$61:$I$81,4,0))</f>
        <v>100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2">
        <f t="shared" si="32"/>
        <v>9.2780162082062319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70">
        <f t="shared" si="1"/>
        <v>361.56837822929248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5.6843418860808015E-14</v>
      </c>
      <c r="O53" s="14">
        <f>N53*VLOOKUP('Données projet'!$B$9,Paramètres!$A$1:$I$89,3,0)*VLOOKUP('Données projet'!$B$9,Paramètres!$A$1:$I$89,5,0)</f>
        <v>3.3992364478763198E-14</v>
      </c>
      <c r="P53" s="14">
        <f t="shared" si="33"/>
        <v>5.790027782444094E-13</v>
      </c>
      <c r="Q53" s="22">
        <f t="shared" si="53"/>
        <v>1.0676332069095257E-12</v>
      </c>
      <c r="R53" s="62">
        <f t="shared" si="0"/>
        <v>293.33333333333439</v>
      </c>
      <c r="S53" s="62">
        <f ca="1">AVERAGE(OFFSET($R$3,0,0,'Données projet'!$E$9+1,1))-AVERAGE(OFFSET($H$3,0,0,'Données projet'!$E$9+1,1))</f>
        <v>157.98488572680344</v>
      </c>
      <c r="T53" s="62">
        <f t="shared" si="34"/>
        <v>269.20989374735825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73.613939958342101</v>
      </c>
      <c r="AA53" s="23">
        <f>EXP(-LN(2)/25)*AA52+(1-EXP(-LN(2)/25))/(LN(2)/25)*Calculateur!V53*Calculateur!X53*VLOOKUP('Données projet'!$B$9,Paramètres!$A$1:$I$89,3,0)*0.475*44/12</f>
        <v>1.9200938468651507</v>
      </c>
      <c r="AB53" s="23">
        <f>EXP(-LN(2)/2)*AB52+(1-EXP(-LN(2)/2))/(LN(2)/2)*V53*Y53*VLOOKUP('Données projet'!$B$9,Paramètres!$A$1:$I$89,3,0)*0.475*44/12</f>
        <v>1.0757017955947652</v>
      </c>
      <c r="AC53" s="24">
        <f t="shared" si="3"/>
        <v>76.609735600802026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278</v>
      </c>
      <c r="AG53" s="13">
        <f>VLOOKUP(A53,'Données projet'!$A$61:$I$81,9,0)</f>
        <v>17</v>
      </c>
      <c r="AH53" s="13">
        <f t="array" ref="AH53">INDEX(AG:AG,MIN(IF(ISNUMBER(AG53:AG249),ROW(AG53:AG249),"")))</f>
        <v>17</v>
      </c>
      <c r="AI53" s="14">
        <f>IF('Données projet'!$A$62&gt;35,AI52+AH53-AQ52,IF(A53&lt;'Données projet'!$A$62,$AF$205^A53,IF(A53='Données projet'!$A$62,'Données projet'!$B$62,AI52+AH53-AQ52)))</f>
        <v>277.99999999999989</v>
      </c>
      <c r="AJ53" s="14">
        <f>AI53*VLOOKUP('Données projet'!$B$10,Paramètres!$A$1:$I$89,3,0)*VLOOKUP('Données projet'!$B$10,Paramètres!$A$1:$I$89,5,0)</f>
        <v>130.10399999999996</v>
      </c>
      <c r="AK53" s="14">
        <f t="shared" si="35"/>
        <v>34.020389560268086</v>
      </c>
      <c r="AL53" s="22">
        <f t="shared" si="4"/>
        <v>285.84997848413349</v>
      </c>
      <c r="AM53" s="62">
        <f t="shared" si="5"/>
        <v>579.1833118174668</v>
      </c>
      <c r="AN53" s="62">
        <f ca="1">AVERAGE(OFFSET($AM$3,0,0,'Données projet'!$E$10+1,1))-AVERAGE(OFFSET($H$3,0,0,'Données projet'!$E$10+1,1))</f>
        <v>215.04236469150038</v>
      </c>
      <c r="AO53" s="62">
        <f t="shared" si="36"/>
        <v>160.72275701448416</v>
      </c>
      <c r="AP53" s="16">
        <f>IF(ISNA(VLOOKUP(A53,'Données projet'!$A$61:$I$81,3,0)),0,VLOOKUP(A53,'Données projet'!$A$61:$I$81,3,0))</f>
        <v>6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2">
        <f t="shared" si="32"/>
        <v>9.4417878655064946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70">
        <f t="shared" si="1"/>
        <v>362.89513053242376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5.6843418860808015E-14</v>
      </c>
      <c r="O54" s="14">
        <f>N54*VLOOKUP('Données projet'!$B$9,Paramètres!$A$1:$I$89,3,0)*VLOOKUP('Données projet'!$B$9,Paramètres!$A$1:$I$89,5,0)</f>
        <v>3.3992364478763198E-14</v>
      </c>
      <c r="P54" s="14">
        <f t="shared" si="33"/>
        <v>5.790027782444094E-13</v>
      </c>
      <c r="Q54" s="22">
        <f t="shared" si="53"/>
        <v>1.0676332069095257E-12</v>
      </c>
      <c r="R54" s="62">
        <f t="shared" si="0"/>
        <v>293.33333333333439</v>
      </c>
      <c r="S54" s="62">
        <f ca="1">AVERAGE(OFFSET($R$3,0,0,'Données projet'!$E$9+1,1))-AVERAGE(OFFSET($H$3,0,0,'Données projet'!$E$9+1,1))</f>
        <v>157.98488572680344</v>
      </c>
      <c r="T54" s="62">
        <f t="shared" si="34"/>
        <v>269.20989374735825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72.170415495828877</v>
      </c>
      <c r="AA54" s="23">
        <f>EXP(-LN(2)/25)*AA53+(1-EXP(-LN(2)/25))/(LN(2)/25)*Calculateur!V54*Calculateur!X54*VLOOKUP('Données projet'!$B$9,Paramètres!$A$1:$I$89,3,0)*0.475*44/12</f>
        <v>1.8675887796492763</v>
      </c>
      <c r="AB54" s="23">
        <f>EXP(-LN(2)/2)*AB53+(1-EXP(-LN(2)/2))/(LN(2)/2)*V54*Y54*VLOOKUP('Données projet'!$B$9,Paramètres!$A$1:$I$89,3,0)*0.475*44/12</f>
        <v>0.76063603419960391</v>
      </c>
      <c r="AC54" s="24">
        <f t="shared" si="3"/>
        <v>74.798640309677765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17</v>
      </c>
      <c r="AI54" s="14">
        <f>IF('Données projet'!$A$62&gt;35,AI53+AH54-AQ53,IF(A54&lt;'Données projet'!$A$62,$AF$205^A54,IF(A54='Données projet'!$A$62,'Données projet'!$B$62,AI53+AH54-AQ53)))</f>
        <v>294.99999999999989</v>
      </c>
      <c r="AJ54" s="14">
        <f>AI54*VLOOKUP('Données projet'!$B$10,Paramètres!$A$1:$I$89,3,0)*VLOOKUP('Données projet'!$B$10,Paramètres!$A$1:$I$89,5,0)</f>
        <v>138.05999999999995</v>
      </c>
      <c r="AK54" s="14">
        <f t="shared" si="35"/>
        <v>35.85221845159689</v>
      </c>
      <c r="AL54" s="22">
        <f t="shared" si="4"/>
        <v>302.89711380319778</v>
      </c>
      <c r="AM54" s="62">
        <f t="shared" si="5"/>
        <v>596.2304471365311</v>
      </c>
      <c r="AN54" s="62">
        <f ca="1">AVERAGE(OFFSET($AM$3,0,0,'Données projet'!$E$10+1,1))-AVERAGE(OFFSET($H$3,0,0,'Données projet'!$E$10+1,1))</f>
        <v>215.04236469150038</v>
      </c>
      <c r="AO54" s="62">
        <f t="shared" si="36"/>
        <v>160.72275701448416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2">
        <f t="shared" si="32"/>
        <v>9.6051861390214377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70">
        <f t="shared" si="1"/>
        <v>364.22123252546226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5.6843418860808015E-14</v>
      </c>
      <c r="O55" s="14">
        <f>N55*VLOOKUP('Données projet'!$B$9,Paramètres!$A$1:$I$89,3,0)*VLOOKUP('Données projet'!$B$9,Paramètres!$A$1:$I$89,5,0)</f>
        <v>3.3992364478763198E-14</v>
      </c>
      <c r="P55" s="14">
        <f t="shared" si="33"/>
        <v>5.790027782444094E-13</v>
      </c>
      <c r="Q55" s="22">
        <f t="shared" si="53"/>
        <v>1.0676332069095257E-12</v>
      </c>
      <c r="R55" s="62">
        <f t="shared" si="0"/>
        <v>293.33333333333439</v>
      </c>
      <c r="S55" s="62">
        <f ca="1">AVERAGE(OFFSET($R$3,0,0,'Données projet'!$E$9+1,1))-AVERAGE(OFFSET($H$3,0,0,'Données projet'!$E$9+1,1))</f>
        <v>157.98488572680344</v>
      </c>
      <c r="T55" s="62">
        <f t="shared" si="34"/>
        <v>269.20989374735825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70.755197667562555</v>
      </c>
      <c r="AA55" s="23">
        <f>EXP(-LN(2)/25)*AA54+(1-EXP(-LN(2)/25))/(LN(2)/25)*Calculateur!V55*Calculateur!X55*VLOOKUP('Données projet'!$B$9,Paramètres!$A$1:$I$89,3,0)*0.475*44/12</f>
        <v>1.8165194662575412</v>
      </c>
      <c r="AB55" s="23">
        <f>EXP(-LN(2)/2)*AB54+(1-EXP(-LN(2)/2))/(LN(2)/2)*V55*Y55*VLOOKUP('Données projet'!$B$9,Paramètres!$A$1:$I$89,3,0)*0.475*44/12</f>
        <v>0.5378508977973826</v>
      </c>
      <c r="AC55" s="24">
        <f t="shared" si="3"/>
        <v>73.109568031617485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17</v>
      </c>
      <c r="AI55" s="14">
        <f>IF('Données projet'!$A$62&gt;35,AI54+AH55-AQ54,IF(A55&lt;'Données projet'!$A$62,$AF$205^A55,IF(A55='Données projet'!$A$62,'Données projet'!$B$62,AI54+AH55-AQ54)))</f>
        <v>311.99999999999989</v>
      </c>
      <c r="AJ55" s="14">
        <f>AI55*VLOOKUP('Données projet'!$B$10,Paramètres!$A$1:$I$89,3,0)*VLOOKUP('Données projet'!$B$10,Paramètres!$A$1:$I$89,5,0)</f>
        <v>146.01599999999993</v>
      </c>
      <c r="AK55" s="14">
        <f t="shared" si="35"/>
        <v>37.671793767891103</v>
      </c>
      <c r="AL55" s="22">
        <f t="shared" si="4"/>
        <v>319.92290747907685</v>
      </c>
      <c r="AM55" s="62">
        <f t="shared" si="5"/>
        <v>613.25624081241017</v>
      </c>
      <c r="AN55" s="62">
        <f ca="1">AVERAGE(OFFSET($AM$3,0,0,'Données projet'!$E$10+1,1))-AVERAGE(OFFSET($H$3,0,0,'Données projet'!$E$10+1,1))</f>
        <v>215.04236469150038</v>
      </c>
      <c r="AO55" s="62">
        <f t="shared" si="36"/>
        <v>160.72275701448416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2">
        <f t="shared" si="32"/>
        <v>9.768219037044215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70">
        <f t="shared" si="1"/>
        <v>365.54669815618524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5.6843418860808015E-14</v>
      </c>
      <c r="O56" s="14">
        <f>N56*VLOOKUP('Données projet'!$B$9,Paramètres!$A$1:$I$89,3,0)*VLOOKUP('Données projet'!$B$9,Paramètres!$A$1:$I$89,5,0)</f>
        <v>3.3992364478763198E-14</v>
      </c>
      <c r="P56" s="14">
        <f t="shared" si="33"/>
        <v>5.790027782444094E-13</v>
      </c>
      <c r="Q56" s="22">
        <f t="shared" si="53"/>
        <v>1.0676332069095257E-12</v>
      </c>
      <c r="R56" s="62">
        <f t="shared" si="0"/>
        <v>293.33333333333439</v>
      </c>
      <c r="S56" s="62">
        <f ca="1">AVERAGE(OFFSET($R$3,0,0,'Données projet'!$E$9+1,1))-AVERAGE(OFFSET($H$3,0,0,'Données projet'!$E$9+1,1))</f>
        <v>157.98488572680344</v>
      </c>
      <c r="T56" s="62">
        <f t="shared" si="34"/>
        <v>269.20989374735825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69.367731397710884</v>
      </c>
      <c r="AA56" s="23">
        <f>EXP(-LN(2)/25)*AA55+(1-EXP(-LN(2)/25))/(LN(2)/25)*Calculateur!V56*Calculateur!X56*VLOOKUP('Données projet'!$B$9,Paramètres!$A$1:$I$89,3,0)*0.475*44/12</f>
        <v>1.7668466459261218</v>
      </c>
      <c r="AB56" s="23">
        <f>EXP(-LN(2)/2)*AB55+(1-EXP(-LN(2)/2))/(LN(2)/2)*V56*Y56*VLOOKUP('Données projet'!$B$9,Paramètres!$A$1:$I$89,3,0)*0.475*44/12</f>
        <v>0.38031801709980195</v>
      </c>
      <c r="AC56" s="24">
        <f t="shared" si="3"/>
        <v>71.514896060736802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17</v>
      </c>
      <c r="AI56" s="14">
        <f>IF('Données projet'!$A$62&gt;35,AI55+AH56-AQ55,IF(A56&lt;'Données projet'!$A$62,$AF$205^A56,IF(A56='Données projet'!$A$62,'Données projet'!$B$62,AI55+AH56-AQ55)))</f>
        <v>328.99999999999989</v>
      </c>
      <c r="AJ56" s="14">
        <f>AI56*VLOOKUP('Données projet'!$B$10,Paramètres!$A$1:$I$89,3,0)*VLOOKUP('Données projet'!$B$10,Paramètres!$A$1:$I$89,5,0)</f>
        <v>153.97199999999995</v>
      </c>
      <c r="AK56" s="14">
        <f t="shared" si="35"/>
        <v>39.479859284656378</v>
      </c>
      <c r="AL56" s="22">
        <f t="shared" si="4"/>
        <v>336.92865492077641</v>
      </c>
      <c r="AM56" s="62">
        <f t="shared" si="5"/>
        <v>630.26198825410972</v>
      </c>
      <c r="AN56" s="62">
        <f ca="1">AVERAGE(OFFSET($AM$3,0,0,'Données projet'!$E$10+1,1))-AVERAGE(OFFSET($H$3,0,0,'Données projet'!$E$10+1,1))</f>
        <v>215.04236469150038</v>
      </c>
      <c r="AO56" s="62">
        <f t="shared" si="36"/>
        <v>160.72275701448416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2">
        <f t="shared" si="32"/>
        <v>9.9308942483743348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70">
        <f t="shared" si="1"/>
        <v>366.87154081591859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5.6843418860808015E-14</v>
      </c>
      <c r="O57" s="14">
        <f>N57*VLOOKUP('Données projet'!$B$9,Paramètres!$A$1:$I$89,3,0)*VLOOKUP('Données projet'!$B$9,Paramètres!$A$1:$I$89,5,0)</f>
        <v>3.3992364478763198E-14</v>
      </c>
      <c r="P57" s="14">
        <f t="shared" si="33"/>
        <v>5.790027782444094E-13</v>
      </c>
      <c r="Q57" s="22">
        <f t="shared" si="53"/>
        <v>1.0676332069095257E-12</v>
      </c>
      <c r="R57" s="62">
        <f t="shared" si="0"/>
        <v>293.33333333333439</v>
      </c>
      <c r="S57" s="62">
        <f ca="1">AVERAGE(OFFSET($R$3,0,0,'Données projet'!$E$9+1,1))-AVERAGE(OFFSET($H$3,0,0,'Données projet'!$E$9+1,1))</f>
        <v>157.98488572680344</v>
      </c>
      <c r="T57" s="62">
        <f t="shared" si="34"/>
        <v>269.20989374735825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68.007472495140149</v>
      </c>
      <c r="AA57" s="23">
        <f>EXP(-LN(2)/25)*AA56+(1-EXP(-LN(2)/25))/(LN(2)/25)*Calculateur!V57*Calculateur!X57*VLOOKUP('Données projet'!$B$9,Paramètres!$A$1:$I$89,3,0)*0.475*44/12</f>
        <v>1.7185321314788451</v>
      </c>
      <c r="AB57" s="23">
        <f>EXP(-LN(2)/2)*AB56+(1-EXP(-LN(2)/2))/(LN(2)/2)*V57*Y57*VLOOKUP('Données projet'!$B$9,Paramètres!$A$1:$I$89,3,0)*0.475*44/12</f>
        <v>0.2689254488986913</v>
      </c>
      <c r="AC57" s="24">
        <f t="shared" si="3"/>
        <v>69.994930075517672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17</v>
      </c>
      <c r="AI57" s="14">
        <f>IF('Données projet'!$A$62&gt;35,AI56+AH57-AQ56,IF(A57&lt;'Données projet'!$A$62,$AF$205^A57,IF(A57='Données projet'!$A$62,'Données projet'!$B$62,AI56+AH57-AQ56)))</f>
        <v>345.99999999999989</v>
      </c>
      <c r="AJ57" s="14">
        <f>AI57*VLOOKUP('Données projet'!$B$10,Paramètres!$A$1:$I$89,3,0)*VLOOKUP('Données projet'!$B$10,Paramètres!$A$1:$I$89,5,0)</f>
        <v>161.92799999999994</v>
      </c>
      <c r="AK57" s="14">
        <f t="shared" si="35"/>
        <v>41.277077571585316</v>
      </c>
      <c r="AL57" s="22">
        <f t="shared" si="4"/>
        <v>353.91551010384433</v>
      </c>
      <c r="AM57" s="62">
        <f t="shared" si="5"/>
        <v>647.24884343717758</v>
      </c>
      <c r="AN57" s="62">
        <f ca="1">AVERAGE(OFFSET($AM$3,0,0,'Données projet'!$E$10+1,1))-AVERAGE(OFFSET($H$3,0,0,'Données projet'!$E$10+1,1))</f>
        <v>215.04236469150038</v>
      </c>
      <c r="AO57" s="62">
        <f t="shared" si="36"/>
        <v>160.72275701448416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2">
        <f t="shared" si="32"/>
        <v>10.093219160740317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70">
        <f t="shared" si="1"/>
        <v>368.19577337162264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5.6843418860808015E-14</v>
      </c>
      <c r="O58" s="14">
        <f>N58*VLOOKUP('Données projet'!$B$9,Paramètres!$A$1:$I$89,3,0)*VLOOKUP('Données projet'!$B$9,Paramètres!$A$1:$I$89,5,0)</f>
        <v>3.3992364478763198E-14</v>
      </c>
      <c r="P58" s="14">
        <f t="shared" si="33"/>
        <v>5.790027782444094E-13</v>
      </c>
      <c r="Q58" s="22">
        <f t="shared" si="53"/>
        <v>1.0676332069095257E-12</v>
      </c>
      <c r="R58" s="62">
        <f t="shared" si="0"/>
        <v>293.33333333333439</v>
      </c>
      <c r="S58" s="62">
        <f ca="1">AVERAGE(OFFSET($R$3,0,0,'Données projet'!$E$9+1,1))-AVERAGE(OFFSET($H$3,0,0,'Données projet'!$E$9+1,1))</f>
        <v>157.98488572680344</v>
      </c>
      <c r="T58" s="62">
        <f t="shared" si="34"/>
        <v>269.20989374735825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66.673887439972816</v>
      </c>
      <c r="AA58" s="23">
        <f>EXP(-LN(2)/25)*AA57+(1-EXP(-LN(2)/25))/(LN(2)/25)*Calculateur!V58*Calculateur!X58*VLOOKUP('Données projet'!$B$9,Paramètres!$A$1:$I$89,3,0)*0.475*44/12</f>
        <v>1.6715387799698791</v>
      </c>
      <c r="AB58" s="23">
        <f>EXP(-LN(2)/2)*AB57+(1-EXP(-LN(2)/2))/(LN(2)/2)*V58*Y58*VLOOKUP('Données projet'!$B$9,Paramètres!$A$1:$I$89,3,0)*0.475*44/12</f>
        <v>0.19015900854990098</v>
      </c>
      <c r="AC58" s="24">
        <f t="shared" si="3"/>
        <v>68.535585228492593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17</v>
      </c>
      <c r="AI58" s="14">
        <f>IF('Données projet'!$A$62&gt;35,AI57+AH58-AQ57,IF(A58&lt;'Données projet'!$A$62,$AF$205^A58,IF(A58='Données projet'!$A$62,'Données projet'!$B$62,AI57+AH58-AQ57)))</f>
        <v>362.99999999999989</v>
      </c>
      <c r="AJ58" s="14">
        <f>AI58*VLOOKUP('Données projet'!$B$10,Paramètres!$A$1:$I$89,3,0)*VLOOKUP('Données projet'!$B$10,Paramètres!$A$1:$I$89,5,0)</f>
        <v>169.88399999999993</v>
      </c>
      <c r="AK58" s="14">
        <f t="shared" si="35"/>
        <v>43.064042412117296</v>
      </c>
      <c r="AL58" s="22">
        <f t="shared" si="4"/>
        <v>370.8845072011041</v>
      </c>
      <c r="AM58" s="62">
        <f t="shared" si="5"/>
        <v>664.21784053443741</v>
      </c>
      <c r="AN58" s="62">
        <f ca="1">AVERAGE(OFFSET($AM$3,0,0,'Données projet'!$E$10+1,1))-AVERAGE(OFFSET($H$3,0,0,'Données projet'!$E$10+1,1))</f>
        <v>215.04236469150038</v>
      </c>
      <c r="AO58" s="62">
        <f t="shared" si="36"/>
        <v>160.72275701448416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2">
        <f t="shared" si="32"/>
        <v>10.255200877844658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70">
        <f t="shared" si="1"/>
        <v>369.51940819557939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5.6843418860808015E-14</v>
      </c>
      <c r="O59" s="14">
        <f>N59*VLOOKUP('Données projet'!$B$9,Paramètres!$A$1:$I$89,3,0)*VLOOKUP('Données projet'!$B$9,Paramètres!$A$1:$I$89,5,0)</f>
        <v>3.3992364478763198E-14</v>
      </c>
      <c r="P59" s="14">
        <f t="shared" si="33"/>
        <v>5.790027782444094E-13</v>
      </c>
      <c r="Q59" s="22">
        <f t="shared" si="53"/>
        <v>1.0676332069095257E-12</v>
      </c>
      <c r="R59" s="62">
        <f t="shared" si="0"/>
        <v>293.33333333333439</v>
      </c>
      <c r="S59" s="62">
        <f ca="1">AVERAGE(OFFSET($R$3,0,0,'Données projet'!$E$9+1,1))-AVERAGE(OFFSET($H$3,0,0,'Données projet'!$E$9+1,1))</f>
        <v>157.98488572680344</v>
      </c>
      <c r="T59" s="62">
        <f t="shared" si="34"/>
        <v>269.20989374735825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65.366453174330744</v>
      </c>
      <c r="AA59" s="23">
        <f>EXP(-LN(2)/25)*AA58+(1-EXP(-LN(2)/25))/(LN(2)/25)*Calculateur!V59*Calculateur!X59*VLOOKUP('Données projet'!$B$9,Paramètres!$A$1:$I$89,3,0)*0.475*44/12</f>
        <v>1.6258304641291987</v>
      </c>
      <c r="AB59" s="23">
        <f>EXP(-LN(2)/2)*AB58+(1-EXP(-LN(2)/2))/(LN(2)/2)*V59*Y59*VLOOKUP('Données projet'!$B$9,Paramètres!$A$1:$I$89,3,0)*0.475*44/12</f>
        <v>0.13446272444934565</v>
      </c>
      <c r="AC59" s="24">
        <f t="shared" si="3"/>
        <v>67.126746362909287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>
        <f>VLOOKUP(A59,'Données projet'!$A$61:$I$81,2,0)</f>
        <v>380</v>
      </c>
      <c r="AG59" s="13">
        <f>VLOOKUP(A59,'Données projet'!$A$61:$I$81,9,0)</f>
        <v>17</v>
      </c>
      <c r="AH59" s="13">
        <f t="array" ref="AH59">INDEX(AG:AG,MIN(IF(ISNUMBER(AG59:AG255),ROW(AG59:AG255),"")))</f>
        <v>17</v>
      </c>
      <c r="AI59" s="14">
        <f>IF('Données projet'!$A$62&gt;35,AI58+AH59-AQ58,IF(A59&lt;'Données projet'!$A$62,$AF$205^A59,IF(A59='Données projet'!$A$62,'Données projet'!$B$62,AI58+AH59-AQ58)))</f>
        <v>379.99999999999989</v>
      </c>
      <c r="AJ59" s="14">
        <f>AI59*VLOOKUP('Données projet'!$B$10,Paramètres!$A$1:$I$89,3,0)*VLOOKUP('Données projet'!$B$10,Paramètres!$A$1:$I$89,5,0)</f>
        <v>177.83999999999995</v>
      </c>
      <c r="AK59" s="14">
        <f t="shared" si="35"/>
        <v>44.841288830609102</v>
      </c>
      <c r="AL59" s="22">
        <f t="shared" si="4"/>
        <v>387.83657804664409</v>
      </c>
      <c r="AM59" s="62">
        <f t="shared" si="5"/>
        <v>681.16991137997741</v>
      </c>
      <c r="AN59" s="62">
        <f ca="1">AVERAGE(OFFSET($AM$3,0,0,'Données projet'!$E$10+1,1))-AVERAGE(OFFSET($H$3,0,0,'Données projet'!$E$10+1,1))</f>
        <v>215.04236469150038</v>
      </c>
      <c r="AO59" s="62">
        <f t="shared" si="36"/>
        <v>160.72275701448416</v>
      </c>
      <c r="AP59" s="16">
        <f>IF(ISNA(VLOOKUP(A59,'Données projet'!$A$61:$I$81,3,0)),0,VLOOKUP(A59,'Données projet'!$A$61:$I$81,3,0))</f>
        <v>7</v>
      </c>
      <c r="AQ59" s="16">
        <f>IF(ISNA(VLOOKUP(A59,'Données projet'!$A$61:$I$81,4,0)),0,VLOOKUP(A59,'Données projet'!$A$61:$I$81,4,0))</f>
        <v>79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2">
        <f t="shared" si="32"/>
        <v>10.41684623515679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70">
        <f t="shared" si="1"/>
        <v>370.842457192898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5.6843418860808015E-14</v>
      </c>
      <c r="O60" s="14">
        <f>N60*VLOOKUP('Données projet'!$B$9,Paramètres!$A$1:$I$89,3,0)*VLOOKUP('Données projet'!$B$9,Paramètres!$A$1:$I$89,5,0)</f>
        <v>3.3992364478763198E-14</v>
      </c>
      <c r="P60" s="14">
        <f t="shared" si="33"/>
        <v>5.790027782444094E-13</v>
      </c>
      <c r="Q60" s="22">
        <f t="shared" si="53"/>
        <v>1.0676332069095257E-12</v>
      </c>
      <c r="R60" s="62">
        <f t="shared" si="0"/>
        <v>293.33333333333439</v>
      </c>
      <c r="S60" s="62">
        <f ca="1">AVERAGE(OFFSET($R$3,0,0,'Données projet'!$E$9+1,1))-AVERAGE(OFFSET($H$3,0,0,'Données projet'!$E$9+1,1))</f>
        <v>157.98488572680344</v>
      </c>
      <c r="T60" s="62">
        <f t="shared" si="34"/>
        <v>269.20989374735825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64.084656897181759</v>
      </c>
      <c r="AA60" s="23">
        <f>EXP(-LN(2)/25)*AA59+(1-EXP(-LN(2)/25))/(LN(2)/25)*Calculateur!V60*Calculateur!X60*VLOOKUP('Données projet'!$B$9,Paramètres!$A$1:$I$89,3,0)*0.475*44/12</f>
        <v>1.5813720445888775</v>
      </c>
      <c r="AB60" s="23">
        <f>EXP(-LN(2)/2)*AB59+(1-EXP(-LN(2)/2))/(LN(2)/2)*V60*Y60*VLOOKUP('Données projet'!$B$9,Paramètres!$A$1:$I$89,3,0)*0.475*44/12</f>
        <v>9.5079504274950488E-2</v>
      </c>
      <c r="AC60" s="24">
        <f t="shared" si="3"/>
        <v>65.761108446045583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>
        <f>VLOOKUP(A60,'Données projet'!$A$61:$I$81,2,0)</f>
        <v>316</v>
      </c>
      <c r="AG60" s="13">
        <f>VLOOKUP(A60,'Données projet'!$A$61:$I$81,9,0)</f>
        <v>15</v>
      </c>
      <c r="AH60" s="13">
        <f t="array" ref="AH60">INDEX(AG:AG,MIN(IF(ISNUMBER(AG60:AG256),ROW(AG60:AG256),"")))</f>
        <v>15</v>
      </c>
      <c r="AI60" s="14">
        <f>IF('Données projet'!$A$62&gt;35,AI59+AH60-AQ59,IF(A60&lt;'Données projet'!$A$62,$AF$205^A60,IF(A60='Données projet'!$A$62,'Données projet'!$B$62,AI59+AH60-AQ59)))</f>
        <v>315.99999999999989</v>
      </c>
      <c r="AJ60" s="14">
        <f>AI60*VLOOKUP('Données projet'!$B$10,Paramètres!$A$1:$I$89,3,0)*VLOOKUP('Données projet'!$B$10,Paramètres!$A$1:$I$89,5,0)</f>
        <v>147.88799999999995</v>
      </c>
      <c r="AK60" s="14">
        <f t="shared" si="35"/>
        <v>38.098230660204834</v>
      </c>
      <c r="AL60" s="22">
        <f t="shared" si="4"/>
        <v>323.92601839985667</v>
      </c>
      <c r="AM60" s="62">
        <f t="shared" si="5"/>
        <v>617.25935173318999</v>
      </c>
      <c r="AN60" s="62">
        <f ca="1">AVERAGE(OFFSET($AM$3,0,0,'Données projet'!$E$10+1,1))-AVERAGE(OFFSET($H$3,0,0,'Données projet'!$E$10+1,1))</f>
        <v>215.04236469150038</v>
      </c>
      <c r="AO60" s="62">
        <f t="shared" si="36"/>
        <v>160.72275701448416</v>
      </c>
      <c r="AP60" s="16">
        <f>IF(ISNA(VLOOKUP(A60,'Données projet'!$A$61:$I$81,3,0)),0,VLOOKUP(A60,'Données projet'!$A$61:$I$81,3,0))</f>
        <v>8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2">
        <f t="shared" si="32"/>
        <v>10.578161814566396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70">
        <f t="shared" si="1"/>
        <v>372.16493182703641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5.6843418860808015E-14</v>
      </c>
      <c r="O61" s="14">
        <f>N61*VLOOKUP('Données projet'!$B$9,Paramètres!$A$1:$I$89,3,0)*VLOOKUP('Données projet'!$B$9,Paramètres!$A$1:$I$89,5,0)</f>
        <v>3.3992364478763198E-14</v>
      </c>
      <c r="P61" s="14">
        <f t="shared" si="33"/>
        <v>5.790027782444094E-13</v>
      </c>
      <c r="Q61" s="22">
        <f t="shared" si="53"/>
        <v>1.0676332069095257E-12</v>
      </c>
      <c r="R61" s="62">
        <f t="shared" si="0"/>
        <v>293.33333333333439</v>
      </c>
      <c r="S61" s="62">
        <f ca="1">AVERAGE(OFFSET($R$3,0,0,'Données projet'!$E$9+1,1))-AVERAGE(OFFSET($H$3,0,0,'Données projet'!$E$9+1,1))</f>
        <v>157.98488572680344</v>
      </c>
      <c r="T61" s="62">
        <f t="shared" si="34"/>
        <v>269.20989374735825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62.827995863209132</v>
      </c>
      <c r="AA61" s="23">
        <f>EXP(-LN(2)/25)*AA60+(1-EXP(-LN(2)/25))/(LN(2)/25)*Calculateur!V61*Calculateur!X61*VLOOKUP('Données projet'!$B$9,Paramètres!$A$1:$I$89,3,0)*0.475*44/12</f>
        <v>1.5381293428688532</v>
      </c>
      <c r="AB61" s="23">
        <f>EXP(-LN(2)/2)*AB60+(1-EXP(-LN(2)/2))/(LN(2)/2)*V61*Y61*VLOOKUP('Données projet'!$B$9,Paramètres!$A$1:$I$89,3,0)*0.475*44/12</f>
        <v>6.7231362224672825E-2</v>
      </c>
      <c r="AC61" s="24">
        <f t="shared" si="3"/>
        <v>64.433356568302656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16.666666666666668</v>
      </c>
      <c r="AI61" s="14">
        <f>IF('Données projet'!$A$62&gt;35,AI60+AH61-AQ60,IF(A61&lt;'Données projet'!$A$62,$AF$205^A61,IF(A61='Données projet'!$A$62,'Données projet'!$B$62,AI60+AH61-AQ60)))</f>
        <v>332.66666666666657</v>
      </c>
      <c r="AJ61" s="14">
        <f>AI61*VLOOKUP('Données projet'!$B$10,Paramètres!$A$1:$I$89,3,0)*VLOOKUP('Données projet'!$B$10,Paramètres!$A$1:$I$89,5,0)</f>
        <v>155.68799999999996</v>
      </c>
      <c r="AK61" s="14">
        <f t="shared" si="35"/>
        <v>39.868390761764985</v>
      </c>
      <c r="AL61" s="22">
        <f t="shared" si="4"/>
        <v>340.5940472434072</v>
      </c>
      <c r="AM61" s="62">
        <f t="shared" si="5"/>
        <v>633.92738057674046</v>
      </c>
      <c r="AN61" s="62">
        <f ca="1">AVERAGE(OFFSET($AM$3,0,0,'Données projet'!$E$10+1,1))-AVERAGE(OFFSET($H$3,0,0,'Données projet'!$E$10+1,1))</f>
        <v>215.04236469150038</v>
      </c>
      <c r="AO61" s="62">
        <f t="shared" si="36"/>
        <v>160.72275701448416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2">
        <f t="shared" si="32"/>
        <v>10.739153957997569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70">
        <f t="shared" si="1"/>
        <v>373.48684314351237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5.6843418860808015E-14</v>
      </c>
      <c r="O62" s="14">
        <f>N62*VLOOKUP('Données projet'!$B$9,Paramètres!$A$1:$I$89,3,0)*VLOOKUP('Données projet'!$B$9,Paramètres!$A$1:$I$89,5,0)</f>
        <v>3.3992364478763198E-14</v>
      </c>
      <c r="P62" s="14">
        <f t="shared" si="33"/>
        <v>5.790027782444094E-13</v>
      </c>
      <c r="Q62" s="22">
        <f t="shared" si="53"/>
        <v>1.0676332069095257E-12</v>
      </c>
      <c r="R62" s="62">
        <f t="shared" si="0"/>
        <v>293.33333333333439</v>
      </c>
      <c r="S62" s="62">
        <f ca="1">AVERAGE(OFFSET($R$3,0,0,'Données projet'!$E$9+1,1))-AVERAGE(OFFSET($H$3,0,0,'Données projet'!$E$9+1,1))</f>
        <v>157.98488572680344</v>
      </c>
      <c r="T62" s="62">
        <f t="shared" si="34"/>
        <v>269.20989374735825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61.595977185625166</v>
      </c>
      <c r="AA62" s="23">
        <f>EXP(-LN(2)/25)*AA61+(1-EXP(-LN(2)/25))/(LN(2)/25)*Calculateur!V62*Calculateur!X62*VLOOKUP('Données projet'!$B$9,Paramètres!$A$1:$I$89,3,0)*0.475*44/12</f>
        <v>1.4960691151013976</v>
      </c>
      <c r="AB62" s="23">
        <f>EXP(-LN(2)/2)*AB61+(1-EXP(-LN(2)/2))/(LN(2)/2)*V62*Y62*VLOOKUP('Données projet'!$B$9,Paramètres!$A$1:$I$89,3,0)*0.475*44/12</f>
        <v>4.7539752137475244E-2</v>
      </c>
      <c r="AC62" s="24">
        <f t="shared" si="3"/>
        <v>63.13958605286404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16.666666666666668</v>
      </c>
      <c r="AI62" s="14">
        <f>IF('Données projet'!$A$62&gt;35,AI61+AH62-AQ61,IF(A62&lt;'Données projet'!$A$62,$AF$205^A62,IF(A62='Données projet'!$A$62,'Données projet'!$B$62,AI61+AH62-AQ61)))</f>
        <v>349.33333333333326</v>
      </c>
      <c r="AJ62" s="14">
        <f>AI62*VLOOKUP('Données projet'!$B$10,Paramètres!$A$1:$I$89,3,0)*VLOOKUP('Données projet'!$B$10,Paramètres!$A$1:$I$89,5,0)</f>
        <v>163.48799999999994</v>
      </c>
      <c r="AK62" s="14">
        <f t="shared" si="35"/>
        <v>41.628253379180116</v>
      </c>
      <c r="AL62" s="22">
        <f t="shared" si="4"/>
        <v>357.24414130207191</v>
      </c>
      <c r="AM62" s="62">
        <f t="shared" si="5"/>
        <v>650.57747463540522</v>
      </c>
      <c r="AN62" s="62">
        <f ca="1">AVERAGE(OFFSET($AM$3,0,0,'Données projet'!$E$10+1,1))-AVERAGE(OFFSET($H$3,0,0,'Données projet'!$E$10+1,1))</f>
        <v>215.04236469150038</v>
      </c>
      <c r="AO62" s="62">
        <f t="shared" si="36"/>
        <v>160.72275701448416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2">
        <f t="shared" si="32"/>
        <v>10.89982878007377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70">
        <f t="shared" si="1"/>
        <v>374.80820179196172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5.6843418860808015E-14</v>
      </c>
      <c r="O63" s="14">
        <f>N63*VLOOKUP('Données projet'!$B$9,Paramètres!$A$1:$I$89,3,0)*VLOOKUP('Données projet'!$B$9,Paramètres!$A$1:$I$89,5,0)</f>
        <v>3.3992364478763198E-14</v>
      </c>
      <c r="P63" s="14">
        <f t="shared" si="33"/>
        <v>5.790027782444094E-13</v>
      </c>
      <c r="Q63" s="22">
        <f t="shared" si="53"/>
        <v>1.0676332069095257E-12</v>
      </c>
      <c r="R63" s="62">
        <f t="shared" si="0"/>
        <v>293.33333333333439</v>
      </c>
      <c r="S63" s="62">
        <f ca="1">AVERAGE(OFFSET($R$3,0,0,'Données projet'!$E$9+1,1))-AVERAGE(OFFSET($H$3,0,0,'Données projet'!$E$9+1,1))</f>
        <v>157.98488572680344</v>
      </c>
      <c r="T63" s="62">
        <f t="shared" si="34"/>
        <v>269.20989374735825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60.388117642851427</v>
      </c>
      <c r="AA63" s="23">
        <f>EXP(-LN(2)/25)*AA62+(1-EXP(-LN(2)/25))/(LN(2)/25)*Calculateur!V63*Calculateur!X63*VLOOKUP('Données projet'!$B$9,Paramètres!$A$1:$I$89,3,0)*0.475*44/12</f>
        <v>1.4551590264740943</v>
      </c>
      <c r="AB63" s="23">
        <f>EXP(-LN(2)/2)*AB62+(1-EXP(-LN(2)/2))/(LN(2)/2)*V63*Y63*VLOOKUP('Données projet'!$B$9,Paramètres!$A$1:$I$89,3,0)*0.475*44/12</f>
        <v>3.3615681112336412E-2</v>
      </c>
      <c r="AC63" s="24">
        <f t="shared" si="3"/>
        <v>61.876892350437856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16.666666666666668</v>
      </c>
      <c r="AI63" s="14">
        <f>IF('Données projet'!$A$62&gt;35,AI62+AH63-AQ62,IF(A63&lt;'Données projet'!$A$62,$AF$205^A63,IF(A63='Données projet'!$A$62,'Données projet'!$B$62,AI62+AH63-AQ62)))</f>
        <v>365.99999999999994</v>
      </c>
      <c r="AJ63" s="14">
        <f>AI63*VLOOKUP('Données projet'!$B$10,Paramètres!$A$1:$I$89,3,0)*VLOOKUP('Données projet'!$B$10,Paramètres!$A$1:$I$89,5,0)</f>
        <v>171.28799999999995</v>
      </c>
      <c r="AK63" s="14">
        <f t="shared" si="35"/>
        <v>43.378365895721338</v>
      </c>
      <c r="AL63" s="22">
        <f t="shared" si="4"/>
        <v>373.87725393504792</v>
      </c>
      <c r="AM63" s="62">
        <f t="shared" si="5"/>
        <v>667.21058726838123</v>
      </c>
      <c r="AN63" s="62">
        <f ca="1">AVERAGE(OFFSET($AM$3,0,0,'Données projet'!$E$10+1,1))-AVERAGE(OFFSET($H$3,0,0,'Données projet'!$E$10+1,1))</f>
        <v>215.04236469150038</v>
      </c>
      <c r="AO63" s="62">
        <f t="shared" si="36"/>
        <v>160.72275701448416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2">
        <f t="shared" si="32"/>
        <v>11.060192179914555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70">
        <f t="shared" si="1"/>
        <v>376.12901804668445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5.6843418860808015E-14</v>
      </c>
      <c r="O64" s="14">
        <f>N64*VLOOKUP('Données projet'!$B$9,Paramètres!$A$1:$I$89,3,0)*VLOOKUP('Données projet'!$B$9,Paramètres!$A$1:$I$89,5,0)</f>
        <v>3.3992364478763198E-14</v>
      </c>
      <c r="P64" s="14">
        <f t="shared" si="33"/>
        <v>5.790027782444094E-13</v>
      </c>
      <c r="Q64" s="22">
        <f t="shared" si="53"/>
        <v>1.0676332069095257E-12</v>
      </c>
      <c r="R64" s="62">
        <f t="shared" si="0"/>
        <v>293.33333333333439</v>
      </c>
      <c r="S64" s="62">
        <f ca="1">AVERAGE(OFFSET($R$3,0,0,'Données projet'!$E$9+1,1))-AVERAGE(OFFSET($H$3,0,0,'Données projet'!$E$9+1,1))</f>
        <v>157.98488572680344</v>
      </c>
      <c r="T64" s="62">
        <f t="shared" si="34"/>
        <v>269.20989374735825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59.203943488989907</v>
      </c>
      <c r="AA64" s="23">
        <f>EXP(-LN(2)/25)*AA63+(1-EXP(-LN(2)/25))/(LN(2)/25)*Calculateur!V64*Calculateur!X64*VLOOKUP('Données projet'!$B$9,Paramètres!$A$1:$I$89,3,0)*0.475*44/12</f>
        <v>1.4153676263716728</v>
      </c>
      <c r="AB64" s="23">
        <f>EXP(-LN(2)/2)*AB63+(1-EXP(-LN(2)/2))/(LN(2)/2)*V64*Y64*VLOOKUP('Données projet'!$B$9,Paramètres!$A$1:$I$89,3,0)*0.475*44/12</f>
        <v>2.3769876068737622E-2</v>
      </c>
      <c r="AC64" s="24">
        <f t="shared" si="3"/>
        <v>60.643080991430324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16.666666666666668</v>
      </c>
      <c r="AI64" s="14">
        <f>IF('Données projet'!$A$62&gt;35,AI63+AH64-AQ63,IF(A64&lt;'Données projet'!$A$62,$AF$205^A64,IF(A64='Données projet'!$A$62,'Données projet'!$B$62,AI63+AH64-AQ63)))</f>
        <v>382.66666666666663</v>
      </c>
      <c r="AJ64" s="14">
        <f>AI64*VLOOKUP('Données projet'!$B$10,Paramètres!$A$1:$I$89,3,0)*VLOOKUP('Données projet'!$B$10,Paramètres!$A$1:$I$89,5,0)</f>
        <v>179.08799999999999</v>
      </c>
      <c r="AK64" s="14">
        <f t="shared" si="35"/>
        <v>45.119223023956835</v>
      </c>
      <c r="AL64" s="22">
        <f t="shared" si="4"/>
        <v>390.49424676672476</v>
      </c>
      <c r="AM64" s="62">
        <f t="shared" si="5"/>
        <v>683.82758010005807</v>
      </c>
      <c r="AN64" s="62">
        <f ca="1">AVERAGE(OFFSET($AM$3,0,0,'Données projet'!$E$10+1,1))-AVERAGE(OFFSET($H$3,0,0,'Données projet'!$E$10+1,1))</f>
        <v>215.04236469150038</v>
      </c>
      <c r="AO64" s="62">
        <f t="shared" si="36"/>
        <v>160.72275701448416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2">
        <f t="shared" si="32"/>
        <v>11.220249852136822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70">
        <f t="shared" si="1"/>
        <v>377.44930182580492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5.6843418860808015E-14</v>
      </c>
      <c r="O65" s="14">
        <f>N65*VLOOKUP('Données projet'!$B$9,Paramètres!$A$1:$I$89,3,0)*VLOOKUP('Données projet'!$B$9,Paramètres!$A$1:$I$89,5,0)</f>
        <v>3.3992364478763198E-14</v>
      </c>
      <c r="P65" s="14">
        <f t="shared" si="33"/>
        <v>5.790027782444094E-13</v>
      </c>
      <c r="Q65" s="22">
        <f t="shared" si="53"/>
        <v>1.0676332069095257E-12</v>
      </c>
      <c r="R65" s="62">
        <f t="shared" si="0"/>
        <v>293.33333333333439</v>
      </c>
      <c r="S65" s="62">
        <f ca="1">AVERAGE(OFFSET($R$3,0,0,'Données projet'!$E$9+1,1))-AVERAGE(OFFSET($H$3,0,0,'Données projet'!$E$9+1,1))</f>
        <v>157.98488572680344</v>
      </c>
      <c r="T65" s="62">
        <f t="shared" si="34"/>
        <v>269.20989374735825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58.042990268010691</v>
      </c>
      <c r="AA65" s="23">
        <f>EXP(-LN(2)/25)*AA64+(1-EXP(-LN(2)/25))/(LN(2)/25)*Calculateur!V65*Calculateur!X65*VLOOKUP('Données projet'!$B$9,Paramètres!$A$1:$I$89,3,0)*0.475*44/12</f>
        <v>1.3766643241975909</v>
      </c>
      <c r="AB65" s="23">
        <f>EXP(-LN(2)/2)*AB64+(1-EXP(-LN(2)/2))/(LN(2)/2)*V65*Y65*VLOOKUP('Données projet'!$B$9,Paramètres!$A$1:$I$89,3,0)*0.475*44/12</f>
        <v>1.6807840556168206E-2</v>
      </c>
      <c r="AC65" s="24">
        <f t="shared" si="3"/>
        <v>59.436462432764451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16.666666666666668</v>
      </c>
      <c r="AI65" s="14">
        <f>IF('Données projet'!$A$62&gt;35,AI64+AH65-AQ64,IF(A65&lt;'Données projet'!$A$62,$AF$205^A65,IF(A65='Données projet'!$A$62,'Données projet'!$B$62,AI64+AH65-AQ64)))</f>
        <v>399.33333333333331</v>
      </c>
      <c r="AJ65" s="14">
        <f>AI65*VLOOKUP('Données projet'!$B$10,Paramètres!$A$1:$I$89,3,0)*VLOOKUP('Données projet'!$B$10,Paramètres!$A$1:$I$89,5,0)</f>
        <v>186.88800000000001</v>
      </c>
      <c r="AK65" s="14">
        <f t="shared" si="35"/>
        <v>46.851273946133198</v>
      </c>
      <c r="AL65" s="22">
        <f t="shared" si="4"/>
        <v>407.09590212284866</v>
      </c>
      <c r="AM65" s="62">
        <f t="shared" si="5"/>
        <v>700.42923545618191</v>
      </c>
      <c r="AN65" s="62">
        <f ca="1">AVERAGE(OFFSET($AM$3,0,0,'Données projet'!$E$10+1,1))-AVERAGE(OFFSET($H$3,0,0,'Données projet'!$E$10+1,1))</f>
        <v>215.04236469150038</v>
      </c>
      <c r="AO65" s="62">
        <f t="shared" si="36"/>
        <v>160.72275701448416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2">
        <f t="shared" si="32"/>
        <v>11.380007297126165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70">
        <f t="shared" si="1"/>
        <v>378.76906270916135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5.6843418860808015E-14</v>
      </c>
      <c r="O66" s="14">
        <f>N66*VLOOKUP('Données projet'!$B$9,Paramètres!$A$1:$I$89,3,0)*VLOOKUP('Données projet'!$B$9,Paramètres!$A$1:$I$89,5,0)</f>
        <v>3.3992364478763198E-14</v>
      </c>
      <c r="P66" s="14">
        <f t="shared" si="33"/>
        <v>5.790027782444094E-13</v>
      </c>
      <c r="Q66" s="22">
        <f t="shared" si="53"/>
        <v>1.0676332069095257E-12</v>
      </c>
      <c r="R66" s="62">
        <f t="shared" si="0"/>
        <v>293.33333333333439</v>
      </c>
      <c r="S66" s="62">
        <f ca="1">AVERAGE(OFFSET($R$3,0,0,'Données projet'!$E$9+1,1))-AVERAGE(OFFSET($H$3,0,0,'Données projet'!$E$9+1,1))</f>
        <v>157.98488572680344</v>
      </c>
      <c r="T66" s="62">
        <f t="shared" si="34"/>
        <v>269.20989374735825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56.904802631583337</v>
      </c>
      <c r="AA66" s="23">
        <f>EXP(-LN(2)/25)*AA65+(1-EXP(-LN(2)/25))/(LN(2)/25)*Calculateur!V66*Calculateur!X66*VLOOKUP('Données projet'!$B$9,Paramètres!$A$1:$I$89,3,0)*0.475*44/12</f>
        <v>1.3390193658567773</v>
      </c>
      <c r="AB66" s="23">
        <f>EXP(-LN(2)/2)*AB65+(1-EXP(-LN(2)/2))/(LN(2)/2)*V66*Y66*VLOOKUP('Données projet'!$B$9,Paramètres!$A$1:$I$89,3,0)*0.475*44/12</f>
        <v>1.1884938034368811E-2</v>
      </c>
      <c r="AC66" s="24">
        <f t="shared" si="3"/>
        <v>58.255706935474485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>
        <f>VLOOKUP(A66,'Données projet'!$A$61:$I$81,2,0)</f>
        <v>416</v>
      </c>
      <c r="AG66" s="13">
        <f>VLOOKUP(A66,'Données projet'!$A$61:$I$81,9,0)</f>
        <v>16.666666666666668</v>
      </c>
      <c r="AH66" s="13">
        <f t="array" ref="AH66">INDEX(AG:AG,MIN(IF(ISNUMBER(AG66:AG262),ROW(AG66:AG262),"")))</f>
        <v>16.666666666666668</v>
      </c>
      <c r="AI66" s="14">
        <f>IF('Données projet'!$A$62&gt;35,AI65+AH66-AQ65,IF(A66&lt;'Données projet'!$A$62,$AF$205^A66,IF(A66='Données projet'!$A$62,'Données projet'!$B$62,AI65+AH66-AQ65)))</f>
        <v>416</v>
      </c>
      <c r="AJ66" s="14">
        <f>AI66*VLOOKUP('Données projet'!$B$10,Paramètres!$A$1:$I$89,3,0)*VLOOKUP('Données projet'!$B$10,Paramètres!$A$1:$I$89,5,0)</f>
        <v>194.68799999999999</v>
      </c>
      <c r="AK66" s="14">
        <f t="shared" si="35"/>
        <v>48.574928228914978</v>
      </c>
      <c r="AL66" s="22">
        <f t="shared" si="4"/>
        <v>423.68293333202695</v>
      </c>
      <c r="AM66" s="62">
        <f t="shared" si="5"/>
        <v>717.01626666536026</v>
      </c>
      <c r="AN66" s="62">
        <f ca="1">AVERAGE(OFFSET($AM$3,0,0,'Données projet'!$E$10+1,1))-AVERAGE(OFFSET($H$3,0,0,'Données projet'!$E$10+1,1))</f>
        <v>215.04236469150038</v>
      </c>
      <c r="AO66" s="62">
        <f t="shared" si="36"/>
        <v>160.72275701448416</v>
      </c>
      <c r="AP66" s="16">
        <f>IF(ISNA(VLOOKUP(A66,'Données projet'!$A$61:$I$81,3,0)),0,VLOOKUP(A66,'Données projet'!$A$61:$I$81,3,0))</f>
        <v>9</v>
      </c>
      <c r="AQ66" s="16">
        <f>IF(ISNA(VLOOKUP(A66,'Données projet'!$A$61:$I$81,4,0)),0,VLOOKUP(A66,'Données projet'!$A$61:$I$81,4,0))</f>
        <v>79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2">
        <f t="shared" si="32"/>
        <v>11.539469830637575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70">
        <f t="shared" si="1"/>
        <v>380.08830995502706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5.6843418860808015E-14</v>
      </c>
      <c r="O67" s="14">
        <f>N67*VLOOKUP('Données projet'!$B$9,Paramètres!$A$1:$I$89,3,0)*VLOOKUP('Données projet'!$B$9,Paramètres!$A$1:$I$89,5,0)</f>
        <v>3.3992364478763198E-14</v>
      </c>
      <c r="P67" s="14">
        <f t="shared" si="33"/>
        <v>5.790027782444094E-13</v>
      </c>
      <c r="Q67" s="22">
        <f t="shared" ref="Q67:Q98" si="54">(O67+P67)*0.475*44/12</f>
        <v>1.0676332069095257E-12</v>
      </c>
      <c r="R67" s="62">
        <f t="shared" ref="R67:R130" si="55">Q67+(I67+J67)*44/12</f>
        <v>293.33333333333439</v>
      </c>
      <c r="S67" s="62">
        <f ca="1">AVERAGE(OFFSET($R$3,0,0,'Données projet'!$E$9+1,1))-AVERAGE(OFFSET($H$3,0,0,'Données projet'!$E$9+1,1))</f>
        <v>157.98488572680344</v>
      </c>
      <c r="T67" s="62">
        <f t="shared" si="34"/>
        <v>269.20989374735825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55.788934160480416</v>
      </c>
      <c r="AA67" s="23">
        <f>EXP(-LN(2)/25)*AA66+(1-EXP(-LN(2)/25))/(LN(2)/25)*Calculateur!V67*Calculateur!X67*VLOOKUP('Données projet'!$B$9,Paramètres!$A$1:$I$89,3,0)*0.475*44/12</f>
        <v>1.3024038108814555</v>
      </c>
      <c r="AB67" s="23">
        <f>EXP(-LN(2)/2)*AB66+(1-EXP(-LN(2)/2))/(LN(2)/2)*V67*Y67*VLOOKUP('Données projet'!$B$9,Paramètres!$A$1:$I$89,3,0)*0.475*44/12</f>
        <v>8.4039202780841031E-3</v>
      </c>
      <c r="AC67" s="24">
        <f t="shared" si="3"/>
        <v>57.099741891639958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>
        <f>VLOOKUP(A67,'Données projet'!$A$61:$I$81,2,0)</f>
        <v>353</v>
      </c>
      <c r="AG67" s="13">
        <f>VLOOKUP(A67,'Données projet'!$A$61:$I$81,9,0)</f>
        <v>16</v>
      </c>
      <c r="AH67" s="13">
        <f t="array" ref="AH67">INDEX(AG:AG,MIN(IF(ISNUMBER(AG67:AG263),ROW(AG67:AG263),"")))</f>
        <v>16</v>
      </c>
      <c r="AI67" s="14">
        <f>IF('Données projet'!$A$62&gt;35,AI66+AH67-AQ66,IF(A67&lt;'Données projet'!$A$62,$AF$205^A67,IF(A67='Données projet'!$A$62,'Données projet'!$B$62,AI66+AH67-AQ66)))</f>
        <v>353</v>
      </c>
      <c r="AJ67" s="14">
        <f>AI67*VLOOKUP('Données projet'!$B$10,Paramètres!$A$1:$I$89,3,0)*VLOOKUP('Données projet'!$B$10,Paramètres!$A$1:$I$89,5,0)</f>
        <v>165.20400000000001</v>
      </c>
      <c r="AK67" s="14">
        <f t="shared" si="35"/>
        <v>42.01409666579589</v>
      </c>
      <c r="AL67" s="22">
        <f t="shared" si="4"/>
        <v>360.90485169292782</v>
      </c>
      <c r="AM67" s="62">
        <f t="shared" si="5"/>
        <v>654.23818502626114</v>
      </c>
      <c r="AN67" s="62">
        <f ca="1">AVERAGE(OFFSET($AM$3,0,0,'Données projet'!$E$10+1,1))-AVERAGE(OFFSET($H$3,0,0,'Données projet'!$E$10+1,1))</f>
        <v>215.04236469150038</v>
      </c>
      <c r="AO67" s="62">
        <f t="shared" si="36"/>
        <v>160.72275701448416</v>
      </c>
      <c r="AP67" s="16">
        <f>IF(ISNA(VLOOKUP(A67,'Données projet'!$A$61:$I$81,3,0)),0,VLOOKUP(A67,'Données projet'!$A$61:$I$81,3,0))</f>
        <v>10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2">
        <f t="shared" si="32"/>
        <v>11.698642592779086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70">
        <f t="shared" ref="H68:H131" si="56">(B68+E68+F68)*44/12+(C68+D68)*0.475*44/12</f>
        <v>381.40705251575685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5.6843418860808015E-14</v>
      </c>
      <c r="O68" s="14">
        <f>N68*VLOOKUP('Données projet'!$B$9,Paramètres!$A$1:$I$89,3,0)*VLOOKUP('Données projet'!$B$9,Paramètres!$A$1:$I$89,5,0)</f>
        <v>3.3992364478763198E-14</v>
      </c>
      <c r="P68" s="14">
        <f t="shared" si="33"/>
        <v>5.790027782444094E-13</v>
      </c>
      <c r="Q68" s="22">
        <f t="shared" si="54"/>
        <v>1.0676332069095257E-12</v>
      </c>
      <c r="R68" s="62">
        <f t="shared" si="55"/>
        <v>293.33333333333439</v>
      </c>
      <c r="S68" s="62">
        <f ca="1">AVERAGE(OFFSET($R$3,0,0,'Données projet'!$E$9+1,1))-AVERAGE(OFFSET($H$3,0,0,'Données projet'!$E$9+1,1))</f>
        <v>157.98488572680344</v>
      </c>
      <c r="T68" s="62">
        <f t="shared" si="34"/>
        <v>269.20989374735825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54.694947189483258</v>
      </c>
      <c r="AA68" s="23">
        <f>EXP(-LN(2)/25)*AA67+(1-EXP(-LN(2)/25))/(LN(2)/25)*Calculateur!V68*Calculateur!X68*VLOOKUP('Données projet'!$B$9,Paramètres!$A$1:$I$89,3,0)*0.475*44/12</f>
        <v>1.2667895101824624</v>
      </c>
      <c r="AB68" s="23">
        <f>EXP(-LN(2)/2)*AB67+(1-EXP(-LN(2)/2))/(LN(2)/2)*V68*Y68*VLOOKUP('Données projet'!$B$9,Paramètres!$A$1:$I$89,3,0)*0.475*44/12</f>
        <v>5.9424690171844055E-3</v>
      </c>
      <c r="AC68" s="24">
        <f t="shared" ref="AC68:AC131" si="57">SUM(Z68:AB68)</f>
        <v>55.967679168682906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16.142857142857142</v>
      </c>
      <c r="AI68" s="14">
        <f>IF('Données projet'!$A$62&gt;35,AI67+AH68-AQ67,IF(A68&lt;'Données projet'!$A$62,$AF$205^A68,IF(A68='Données projet'!$A$62,'Données projet'!$B$62,AI67+AH68-AQ67)))</f>
        <v>369.14285714285717</v>
      </c>
      <c r="AJ68" s="14">
        <f>AI68*VLOOKUP('Données projet'!$B$10,Paramètres!$A$1:$I$89,3,0)*VLOOKUP('Données projet'!$B$10,Paramètres!$A$1:$I$89,5,0)</f>
        <v>172.75885714285715</v>
      </c>
      <c r="AK68" s="14">
        <f t="shared" si="35"/>
        <v>43.707335703690283</v>
      </c>
      <c r="AL68" s="22">
        <f t="shared" ref="AL68:AL131" si="58">(AJ68+AK68)*0.475*44/12</f>
        <v>377.01195254107012</v>
      </c>
      <c r="AM68" s="62">
        <f t="shared" ref="AM68:AM131" si="59">AL68+(AD68+AE68)*44/12</f>
        <v>670.34528587440343</v>
      </c>
      <c r="AN68" s="62">
        <f ca="1">AVERAGE(OFFSET($AM$3,0,0,'Données projet'!$E$10+1,1))-AVERAGE(OFFSET($H$3,0,0,'Données projet'!$E$10+1,1))</f>
        <v>215.04236469150038</v>
      </c>
      <c r="AO68" s="62">
        <f t="shared" si="36"/>
        <v>160.72275701448416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2">
        <f t="shared" ref="D69:D132" si="86">IFERROR(EXP(-1.0587+0.8836*LN(C69)+0.284),0)</f>
        <v>11.857530556426889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70">
        <f t="shared" si="56"/>
        <v>382.7252990524434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5.6843418860808015E-14</v>
      </c>
      <c r="O69" s="14">
        <f>N69*VLOOKUP('Données projet'!$B$9,Paramètres!$A$1:$I$89,3,0)*VLOOKUP('Données projet'!$B$9,Paramètres!$A$1:$I$89,5,0)</f>
        <v>3.3992364478763198E-14</v>
      </c>
      <c r="P69" s="14">
        <f t="shared" ref="P69:P132" si="87">EXP(-1.0587+0.8836*LN(O69)+0.284)</f>
        <v>5.790027782444094E-13</v>
      </c>
      <c r="Q69" s="22">
        <f t="shared" si="54"/>
        <v>1.0676332069095257E-12</v>
      </c>
      <c r="R69" s="62">
        <f t="shared" si="55"/>
        <v>293.33333333333439</v>
      </c>
      <c r="S69" s="62">
        <f ca="1">AVERAGE(OFFSET($R$3,0,0,'Données projet'!$E$9+1,1))-AVERAGE(OFFSET($H$3,0,0,'Données projet'!$E$9+1,1))</f>
        <v>157.98488572680344</v>
      </c>
      <c r="T69" s="62">
        <f t="shared" ref="T69:T132" si="88">$T$3</f>
        <v>269.20989374735825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53.62241263572119</v>
      </c>
      <c r="AA69" s="23">
        <f>EXP(-LN(2)/25)*AA68+(1-EXP(-LN(2)/25))/(LN(2)/25)*Calculateur!V69*Calculateur!X69*VLOOKUP('Données projet'!$B$9,Paramètres!$A$1:$I$89,3,0)*0.475*44/12</f>
        <v>1.232149084408958</v>
      </c>
      <c r="AB69" s="23">
        <f>EXP(-LN(2)/2)*AB68+(1-EXP(-LN(2)/2))/(LN(2)/2)*V69*Y69*VLOOKUP('Données projet'!$B$9,Paramètres!$A$1:$I$89,3,0)*0.475*44/12</f>
        <v>4.2019601390420516E-3</v>
      </c>
      <c r="AC69" s="24">
        <f t="shared" si="57"/>
        <v>54.858763680269192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16.142857142857142</v>
      </c>
      <c r="AI69" s="14">
        <f>IF('Données projet'!$A$62&gt;35,AI68+AH69-AQ68,IF(A69&lt;'Données projet'!$A$62,$AF$205^A69,IF(A69='Données projet'!$A$62,'Données projet'!$B$62,AI68+AH69-AQ68)))</f>
        <v>385.28571428571433</v>
      </c>
      <c r="AJ69" s="14">
        <f>AI69*VLOOKUP('Données projet'!$B$10,Paramètres!$A$1:$I$89,3,0)*VLOOKUP('Données projet'!$B$10,Paramètres!$A$1:$I$89,5,0)</f>
        <v>180.3137142857143</v>
      </c>
      <c r="AK69" s="14">
        <f t="shared" ref="AK69:AK132" si="89">EXP(-1.0587+0.8836*LN(AJ69)+0.284)</f>
        <v>45.391974740208404</v>
      </c>
      <c r="AL69" s="22">
        <f t="shared" si="58"/>
        <v>393.10407505348206</v>
      </c>
      <c r="AM69" s="62">
        <f t="shared" si="59"/>
        <v>686.43740838681538</v>
      </c>
      <c r="AN69" s="62">
        <f ca="1">AVERAGE(OFFSET($AM$3,0,0,'Données projet'!$E$10+1,1))-AVERAGE(OFFSET($H$3,0,0,'Données projet'!$E$10+1,1))</f>
        <v>215.04236469150038</v>
      </c>
      <c r="AO69" s="62">
        <f t="shared" ref="AO69:AO132" si="90">$AO$3</f>
        <v>160.72275701448416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2">
        <f t="shared" si="86"/>
        <v>12.016138535115942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70">
        <f t="shared" si="56"/>
        <v>384.04305794866019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5.6843418860808015E-14</v>
      </c>
      <c r="O70" s="14">
        <f>N70*VLOOKUP('Données projet'!$B$9,Paramètres!$A$1:$I$89,3,0)*VLOOKUP('Données projet'!$B$9,Paramètres!$A$1:$I$89,5,0)</f>
        <v>3.3992364478763198E-14</v>
      </c>
      <c r="P70" s="14">
        <f t="shared" si="87"/>
        <v>5.790027782444094E-13</v>
      </c>
      <c r="Q70" s="22">
        <f t="shared" si="54"/>
        <v>1.0676332069095257E-12</v>
      </c>
      <c r="R70" s="62">
        <f t="shared" si="55"/>
        <v>293.33333333333439</v>
      </c>
      <c r="S70" s="62">
        <f ca="1">AVERAGE(OFFSET($R$3,0,0,'Données projet'!$E$9+1,1))-AVERAGE(OFFSET($H$3,0,0,'Données projet'!$E$9+1,1))</f>
        <v>157.98488572680344</v>
      </c>
      <c r="T70" s="62">
        <f t="shared" si="88"/>
        <v>269.20989374735825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52.570909830376912</v>
      </c>
      <c r="AA70" s="23">
        <f>EXP(-LN(2)/25)*AA69+(1-EXP(-LN(2)/25))/(LN(2)/25)*Calculateur!V70*Calculateur!X70*VLOOKUP('Données projet'!$B$9,Paramètres!$A$1:$I$89,3,0)*0.475*44/12</f>
        <v>1.1984559028998909</v>
      </c>
      <c r="AB70" s="23">
        <f>EXP(-LN(2)/2)*AB69+(1-EXP(-LN(2)/2))/(LN(2)/2)*V70*Y70*VLOOKUP('Données projet'!$B$9,Paramètres!$A$1:$I$89,3,0)*0.475*44/12</f>
        <v>2.9712345085922028E-3</v>
      </c>
      <c r="AC70" s="24">
        <f t="shared" si="57"/>
        <v>53.772336967785392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16.142857142857142</v>
      </c>
      <c r="AI70" s="14">
        <f>IF('Données projet'!$A$62&gt;35,AI69+AH70-AQ69,IF(A70&lt;'Données projet'!$A$62,$AF$205^A70,IF(A70='Données projet'!$A$62,'Données projet'!$B$62,AI69+AH70-AQ69)))</f>
        <v>401.4285714285715</v>
      </c>
      <c r="AJ70" s="14">
        <f>AI70*VLOOKUP('Données projet'!$B$10,Paramètres!$A$1:$I$89,3,0)*VLOOKUP('Données projet'!$B$10,Paramètres!$A$1:$I$89,5,0)</f>
        <v>187.86857142857147</v>
      </c>
      <c r="AK70" s="14">
        <f t="shared" si="89"/>
        <v>47.068415303981318</v>
      </c>
      <c r="AL70" s="22">
        <f t="shared" si="58"/>
        <v>409.18191855919605</v>
      </c>
      <c r="AM70" s="62">
        <f t="shared" si="59"/>
        <v>702.51525189252936</v>
      </c>
      <c r="AN70" s="62">
        <f ca="1">AVERAGE(OFFSET($AM$3,0,0,'Données projet'!$E$10+1,1))-AVERAGE(OFFSET($H$3,0,0,'Données projet'!$E$10+1,1))</f>
        <v>215.04236469150038</v>
      </c>
      <c r="AO70" s="62">
        <f t="shared" si="90"/>
        <v>160.72275701448416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2">
        <f t="shared" si="86"/>
        <v>12.174471190446138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70">
        <f t="shared" si="56"/>
        <v>385.36033732336028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5.6843418860808015E-14</v>
      </c>
      <c r="O71" s="14">
        <f>N71*VLOOKUP('Données projet'!$B$9,Paramètres!$A$1:$I$89,3,0)*VLOOKUP('Données projet'!$B$9,Paramètres!$A$1:$I$89,5,0)</f>
        <v>3.3992364478763198E-14</v>
      </c>
      <c r="P71" s="14">
        <f t="shared" si="87"/>
        <v>5.790027782444094E-13</v>
      </c>
      <c r="Q71" s="22">
        <f t="shared" si="54"/>
        <v>1.0676332069095257E-12</v>
      </c>
      <c r="R71" s="62">
        <f t="shared" si="55"/>
        <v>293.33333333333439</v>
      </c>
      <c r="S71" s="62">
        <f ca="1">AVERAGE(OFFSET($R$3,0,0,'Données projet'!$E$9+1,1))-AVERAGE(OFFSET($H$3,0,0,'Données projet'!$E$9+1,1))</f>
        <v>157.98488572680344</v>
      </c>
      <c r="T71" s="62">
        <f t="shared" si="88"/>
        <v>269.20989374735825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51.540026353692056</v>
      </c>
      <c r="AA71" s="23">
        <f>EXP(-LN(2)/25)*AA70+(1-EXP(-LN(2)/25))/(LN(2)/25)*Calculateur!V71*Calculateur!X71*VLOOKUP('Données projet'!$B$9,Paramètres!$A$1:$I$89,3,0)*0.475*44/12</f>
        <v>1.1656840632110366</v>
      </c>
      <c r="AB71" s="23">
        <f>EXP(-LN(2)/2)*AB70+(1-EXP(-LN(2)/2))/(LN(2)/2)*V71*Y71*VLOOKUP('Données projet'!$B$9,Paramètres!$A$1:$I$89,3,0)*0.475*44/12</f>
        <v>2.1009800695210258E-3</v>
      </c>
      <c r="AC71" s="24">
        <f t="shared" si="57"/>
        <v>52.707811396972616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16.142857142857142</v>
      </c>
      <c r="AI71" s="14">
        <f>IF('Données projet'!$A$62&gt;35,AI70+AH71-AQ70,IF(A71&lt;'Données projet'!$A$62,$AF$205^A71,IF(A71='Données projet'!$A$62,'Données projet'!$B$62,AI70+AH71-AQ70)))</f>
        <v>417.57142857142867</v>
      </c>
      <c r="AJ71" s="14">
        <f>AI71*VLOOKUP('Données projet'!$B$10,Paramètres!$A$1:$I$89,3,0)*VLOOKUP('Données projet'!$B$10,Paramètres!$A$1:$I$89,5,0)</f>
        <v>195.42342857142864</v>
      </c>
      <c r="AK71" s="14">
        <f t="shared" si="89"/>
        <v>48.737024802067147</v>
      </c>
      <c r="AL71" s="22">
        <f t="shared" si="58"/>
        <v>425.24612295883844</v>
      </c>
      <c r="AM71" s="62">
        <f t="shared" si="59"/>
        <v>718.5794562921717</v>
      </c>
      <c r="AN71" s="62">
        <f ca="1">AVERAGE(OFFSET($AM$3,0,0,'Données projet'!$E$10+1,1))-AVERAGE(OFFSET($H$3,0,0,'Données projet'!$E$10+1,1))</f>
        <v>215.04236469150038</v>
      </c>
      <c r="AO71" s="62">
        <f t="shared" si="90"/>
        <v>160.72275701448416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2">
        <f t="shared" si="86"/>
        <v>12.332533039040444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70">
        <f t="shared" si="56"/>
        <v>386.67714504299533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5.6843418860808015E-14</v>
      </c>
      <c r="O72" s="14">
        <f>N72*VLOOKUP('Données projet'!$B$9,Paramètres!$A$1:$I$89,3,0)*VLOOKUP('Données projet'!$B$9,Paramètres!$A$1:$I$89,5,0)</f>
        <v>3.3992364478763198E-14</v>
      </c>
      <c r="P72" s="14">
        <f t="shared" si="87"/>
        <v>5.790027782444094E-13</v>
      </c>
      <c r="Q72" s="22">
        <f t="shared" si="54"/>
        <v>1.0676332069095257E-12</v>
      </c>
      <c r="R72" s="62">
        <f t="shared" si="55"/>
        <v>293.33333333333439</v>
      </c>
      <c r="S72" s="62">
        <f ca="1">AVERAGE(OFFSET($R$3,0,0,'Données projet'!$E$9+1,1))-AVERAGE(OFFSET($H$3,0,0,'Données projet'!$E$9+1,1))</f>
        <v>157.98488572680344</v>
      </c>
      <c r="T72" s="62">
        <f t="shared" si="88"/>
        <v>269.20989374735825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50.529357873208156</v>
      </c>
      <c r="AA72" s="23">
        <f>EXP(-LN(2)/25)*AA71+(1-EXP(-LN(2)/25))/(LN(2)/25)*Calculateur!V72*Calculateur!X72*VLOOKUP('Données projet'!$B$9,Paramètres!$A$1:$I$89,3,0)*0.475*44/12</f>
        <v>1.1338083712018701</v>
      </c>
      <c r="AB72" s="23">
        <f>EXP(-LN(2)/2)*AB71+(1-EXP(-LN(2)/2))/(LN(2)/2)*V72*Y72*VLOOKUP('Données projet'!$B$9,Paramètres!$A$1:$I$89,3,0)*0.475*44/12</f>
        <v>1.4856172542961014E-3</v>
      </c>
      <c r="AC72" s="24">
        <f t="shared" si="57"/>
        <v>51.664651861664325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16.142857142857142</v>
      </c>
      <c r="AI72" s="14">
        <f>IF('Données projet'!$A$62&gt;35,AI71+AH72-AQ71,IF(A72&lt;'Données projet'!$A$62,$AF$205^A72,IF(A72='Données projet'!$A$62,'Données projet'!$B$62,AI71+AH72-AQ71)))</f>
        <v>433.71428571428584</v>
      </c>
      <c r="AJ72" s="14">
        <f>AI72*VLOOKUP('Données projet'!$B$10,Paramètres!$A$1:$I$89,3,0)*VLOOKUP('Données projet'!$B$10,Paramètres!$A$1:$I$89,5,0)</f>
        <v>202.97828571428576</v>
      </c>
      <c r="AK72" s="14">
        <f t="shared" si="89"/>
        <v>50.398140625785402</v>
      </c>
      <c r="AL72" s="22">
        <f t="shared" si="58"/>
        <v>441.29727587562394</v>
      </c>
      <c r="AM72" s="62">
        <f t="shared" si="59"/>
        <v>734.63060920895725</v>
      </c>
      <c r="AN72" s="62">
        <f ca="1">AVERAGE(OFFSET($AM$3,0,0,'Données projet'!$E$10+1,1))-AVERAGE(OFFSET($H$3,0,0,'Données projet'!$E$10+1,1))</f>
        <v>215.04236469150038</v>
      </c>
      <c r="AO72" s="62">
        <f t="shared" si="90"/>
        <v>160.72275701448416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2">
        <f t="shared" si="86"/>
        <v>12.490328459088207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70">
        <f t="shared" si="56"/>
        <v>387.99348873291189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5.6843418860808015E-14</v>
      </c>
      <c r="O73" s="14">
        <f>N73*VLOOKUP('Données projet'!$B$9,Paramètres!$A$1:$I$89,3,0)*VLOOKUP('Données projet'!$B$9,Paramètres!$A$1:$I$89,5,0)</f>
        <v>3.3992364478763198E-14</v>
      </c>
      <c r="P73" s="14">
        <f t="shared" si="87"/>
        <v>5.790027782444094E-13</v>
      </c>
      <c r="Q73" s="22">
        <f t="shared" si="54"/>
        <v>1.0676332069095257E-12</v>
      </c>
      <c r="R73" s="62">
        <f t="shared" si="55"/>
        <v>293.33333333333439</v>
      </c>
      <c r="S73" s="62">
        <f ca="1">AVERAGE(OFFSET($R$3,0,0,'Données projet'!$E$9+1,1))-AVERAGE(OFFSET($H$3,0,0,'Données projet'!$E$9+1,1))</f>
        <v>157.98488572680344</v>
      </c>
      <c r="T73" s="62">
        <f t="shared" si="88"/>
        <v>269.20989374735825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49.538507985179635</v>
      </c>
      <c r="AA73" s="23">
        <f>EXP(-LN(2)/25)*AA72+(1-EXP(-LN(2)/25))/(LN(2)/25)*Calculateur!V73*Calculateur!X73*VLOOKUP('Données projet'!$B$9,Paramètres!$A$1:$I$89,3,0)*0.475*44/12</f>
        <v>1.1028043216669641</v>
      </c>
      <c r="AB73" s="23">
        <f>EXP(-LN(2)/2)*AB72+(1-EXP(-LN(2)/2))/(LN(2)/2)*V73*Y73*VLOOKUP('Données projet'!$B$9,Paramètres!$A$1:$I$89,3,0)*0.475*44/12</f>
        <v>1.0504900347605129E-3</v>
      </c>
      <c r="AC73" s="24">
        <f t="shared" si="57"/>
        <v>50.642362796881358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16.142857142857142</v>
      </c>
      <c r="AI73" s="14">
        <f>IF('Données projet'!$A$62&gt;35,AI72+AH73-AQ72,IF(A73&lt;'Données projet'!$A$62,$AF$205^A73,IF(A73='Données projet'!$A$62,'Données projet'!$B$62,AI72+AH73-AQ72)))</f>
        <v>449.857142857143</v>
      </c>
      <c r="AJ73" s="14">
        <f>AI73*VLOOKUP('Données projet'!$B$10,Paramètres!$A$1:$I$89,3,0)*VLOOKUP('Données projet'!$B$10,Paramètres!$A$1:$I$89,5,0)</f>
        <v>210.53314285714293</v>
      </c>
      <c r="AK73" s="14">
        <f t="shared" si="89"/>
        <v>52.052073628089957</v>
      </c>
      <c r="AL73" s="22">
        <f t="shared" si="58"/>
        <v>457.33591871178055</v>
      </c>
      <c r="AM73" s="62">
        <f t="shared" si="59"/>
        <v>750.66925204511381</v>
      </c>
      <c r="AN73" s="62">
        <f ca="1">AVERAGE(OFFSET($AM$3,0,0,'Données projet'!$E$10+1,1))-AVERAGE(OFFSET($H$3,0,0,'Données projet'!$E$10+1,1))</f>
        <v>215.04236469150038</v>
      </c>
      <c r="AO73" s="62">
        <f t="shared" si="90"/>
        <v>160.72275701448416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2">
        <f t="shared" si="86"/>
        <v>12.64786169650392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70">
        <f t="shared" si="56"/>
        <v>389.30937578807755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5.6843418860808015E-14</v>
      </c>
      <c r="O74" s="14">
        <f>N74*VLOOKUP('Données projet'!$B$9,Paramètres!$A$1:$I$89,3,0)*VLOOKUP('Données projet'!$B$9,Paramètres!$A$1:$I$89,5,0)</f>
        <v>3.3992364478763198E-14</v>
      </c>
      <c r="P74" s="14">
        <f t="shared" si="87"/>
        <v>5.790027782444094E-13</v>
      </c>
      <c r="Q74" s="22">
        <f t="shared" si="54"/>
        <v>1.0676332069095257E-12</v>
      </c>
      <c r="R74" s="62">
        <f t="shared" si="55"/>
        <v>293.33333333333439</v>
      </c>
      <c r="S74" s="62">
        <f ca="1">AVERAGE(OFFSET($R$3,0,0,'Données projet'!$E$9+1,1))-AVERAGE(OFFSET($H$3,0,0,'Données projet'!$E$9+1,1))</f>
        <v>157.98488572680344</v>
      </c>
      <c r="T74" s="62">
        <f t="shared" si="88"/>
        <v>269.20989374735825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48.567088059096598</v>
      </c>
      <c r="AA74" s="23">
        <f>EXP(-LN(2)/25)*AA73+(1-EXP(-LN(2)/25))/(LN(2)/25)*Calculateur!V74*Calculateur!X74*VLOOKUP('Données projet'!$B$9,Paramètres!$A$1:$I$89,3,0)*0.475*44/12</f>
        <v>1.0726480794970221</v>
      </c>
      <c r="AB74" s="23">
        <f>EXP(-LN(2)/2)*AB73+(1-EXP(-LN(2)/2))/(LN(2)/2)*V74*Y74*VLOOKUP('Données projet'!$B$9,Paramètres!$A$1:$I$89,3,0)*0.475*44/12</f>
        <v>7.4280862714805069E-4</v>
      </c>
      <c r="AC74" s="24">
        <f t="shared" si="57"/>
        <v>49.640478947220764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>
        <f>VLOOKUP(A74,'Données projet'!$A$61:$I$81,2,0)</f>
        <v>466</v>
      </c>
      <c r="AG74" s="13">
        <f>VLOOKUP(A74,'Données projet'!$A$61:$I$81,9,0)</f>
        <v>16.142857142857142</v>
      </c>
      <c r="AH74" s="13">
        <f t="array" ref="AH74">INDEX(AG:AG,MIN(IF(ISNUMBER(AG74:AG270),ROW(AG74:AG270),"")))</f>
        <v>16.142857142857142</v>
      </c>
      <c r="AI74" s="14">
        <f>IF('Données projet'!$A$62&gt;35,AI73+AH74-AQ73,IF(A74&lt;'Données projet'!$A$62,$AF$205^A74,IF(A74='Données projet'!$A$62,'Données projet'!$B$62,AI73+AH74-AQ73)))</f>
        <v>466.00000000000017</v>
      </c>
      <c r="AJ74" s="14">
        <f>AI74*VLOOKUP('Données projet'!$B$10,Paramètres!$A$1:$I$89,3,0)*VLOOKUP('Données projet'!$B$10,Paramètres!$A$1:$I$89,5,0)</f>
        <v>218.08800000000008</v>
      </c>
      <c r="AK74" s="14">
        <f t="shared" si="89"/>
        <v>53.699111087780629</v>
      </c>
      <c r="AL74" s="22">
        <f t="shared" si="58"/>
        <v>473.36255181121805</v>
      </c>
      <c r="AM74" s="62">
        <f t="shared" si="59"/>
        <v>766.69588514455131</v>
      </c>
      <c r="AN74" s="62">
        <f ca="1">AVERAGE(OFFSET($AM$3,0,0,'Données projet'!$E$10+1,1))-AVERAGE(OFFSET($H$3,0,0,'Données projet'!$E$10+1,1))</f>
        <v>215.04236469150038</v>
      </c>
      <c r="AO74" s="62">
        <f t="shared" si="90"/>
        <v>160.72275701448416</v>
      </c>
      <c r="AP74" s="16">
        <f>IF(ISNA(VLOOKUP(A74,'Données projet'!$A$61:$I$81,3,0)),0,VLOOKUP(A74,'Données projet'!$A$61:$I$81,3,0))</f>
        <v>11</v>
      </c>
      <c r="AQ74" s="16">
        <f>IF(ISNA(VLOOKUP(A74,'Données projet'!$A$61:$I$81,4,0)),0,VLOOKUP(A74,'Données projet'!$A$61:$I$81,4,0))</f>
        <v>91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2">
        <f t="shared" si="86"/>
        <v>12.80513687072917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70">
        <f t="shared" si="56"/>
        <v>390.62481338318656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5.6843418860808015E-14</v>
      </c>
      <c r="O75" s="14">
        <f>N75*VLOOKUP('Données projet'!$B$9,Paramètres!$A$1:$I$89,3,0)*VLOOKUP('Données projet'!$B$9,Paramètres!$A$1:$I$89,5,0)</f>
        <v>3.3992364478763198E-14</v>
      </c>
      <c r="P75" s="14">
        <f t="shared" si="87"/>
        <v>5.790027782444094E-13</v>
      </c>
      <c r="Q75" s="22">
        <f t="shared" si="54"/>
        <v>1.0676332069095257E-12</v>
      </c>
      <c r="R75" s="62">
        <f t="shared" si="55"/>
        <v>293.33333333333439</v>
      </c>
      <c r="S75" s="62">
        <f ca="1">AVERAGE(OFFSET($R$3,0,0,'Données projet'!$E$9+1,1))-AVERAGE(OFFSET($H$3,0,0,'Données projet'!$E$9+1,1))</f>
        <v>157.98488572680344</v>
      </c>
      <c r="T75" s="62">
        <f t="shared" si="88"/>
        <v>269.20989374735825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47.614717085256402</v>
      </c>
      <c r="AA75" s="23">
        <f>EXP(-LN(2)/25)*AA74+(1-EXP(-LN(2)/25))/(LN(2)/25)*Calculateur!V75*Calculateur!X75*VLOOKUP('Données projet'!$B$9,Paramètres!$A$1:$I$89,3,0)*0.475*44/12</f>
        <v>1.0433164613550652</v>
      </c>
      <c r="AB75" s="23">
        <f>EXP(-LN(2)/2)*AB74+(1-EXP(-LN(2)/2))/(LN(2)/2)*V75*Y75*VLOOKUP('Données projet'!$B$9,Paramètres!$A$1:$I$89,3,0)*0.475*44/12</f>
        <v>5.2524501738025644E-4</v>
      </c>
      <c r="AC75" s="24">
        <f t="shared" si="57"/>
        <v>48.658558791628842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>
        <f>VLOOKUP(A75,'Données projet'!$A$61:$I$81,2,0)</f>
        <v>390</v>
      </c>
      <c r="AG75" s="13">
        <f>VLOOKUP(A75,'Données projet'!$A$61:$I$81,9,0)</f>
        <v>15</v>
      </c>
      <c r="AH75" s="13">
        <f t="array" ref="AH75">INDEX(AG:AG,MIN(IF(ISNUMBER(AG75:AG271),ROW(AG75:AG271),"")))</f>
        <v>15</v>
      </c>
      <c r="AI75" s="14">
        <f>IF('Données projet'!$A$62&gt;35,AI74+AH75-AQ74,IF(A75&lt;'Données projet'!$A$62,$AF$205^A75,IF(A75='Données projet'!$A$62,'Données projet'!$B$62,AI74+AH75-AQ74)))</f>
        <v>390.00000000000017</v>
      </c>
      <c r="AJ75" s="14">
        <f>AI75*VLOOKUP('Données projet'!$B$10,Paramètres!$A$1:$I$89,3,0)*VLOOKUP('Données projet'!$B$10,Paramètres!$A$1:$I$89,5,0)</f>
        <v>182.5200000000001</v>
      </c>
      <c r="AK75" s="14">
        <f t="shared" si="89"/>
        <v>45.882385280285632</v>
      </c>
      <c r="AL75" s="22">
        <f t="shared" si="58"/>
        <v>397.80082102983096</v>
      </c>
      <c r="AM75" s="62">
        <f t="shared" si="59"/>
        <v>691.13415436316427</v>
      </c>
      <c r="AN75" s="62">
        <f ca="1">AVERAGE(OFFSET($AM$3,0,0,'Données projet'!$E$10+1,1))-AVERAGE(OFFSET($H$3,0,0,'Données projet'!$E$10+1,1))</f>
        <v>215.04236469150038</v>
      </c>
      <c r="AO75" s="62">
        <f t="shared" si="90"/>
        <v>160.72275701448416</v>
      </c>
      <c r="AP75" s="16">
        <f>IF(ISNA(VLOOKUP(A75,'Données projet'!$A$61:$I$81,3,0)),0,VLOOKUP(A75,'Données projet'!$A$61:$I$81,3,0))</f>
        <v>12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2">
        <f t="shared" si="86"/>
        <v>12.962157980203079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70">
        <f t="shared" si="56"/>
        <v>391.93980848218695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5.6843418860808015E-14</v>
      </c>
      <c r="O76" s="14">
        <f>N76*VLOOKUP('Données projet'!$B$9,Paramètres!$A$1:$I$89,3,0)*VLOOKUP('Données projet'!$B$9,Paramètres!$A$1:$I$89,5,0)</f>
        <v>3.3992364478763198E-14</v>
      </c>
      <c r="P76" s="14">
        <f t="shared" si="87"/>
        <v>5.790027782444094E-13</v>
      </c>
      <c r="Q76" s="22">
        <f t="shared" si="54"/>
        <v>1.0676332069095257E-12</v>
      </c>
      <c r="R76" s="62">
        <f t="shared" si="55"/>
        <v>293.33333333333439</v>
      </c>
      <c r="S76" s="62">
        <f ca="1">AVERAGE(OFFSET($R$3,0,0,'Données projet'!$E$9+1,1))-AVERAGE(OFFSET($H$3,0,0,'Données projet'!$E$9+1,1))</f>
        <v>157.98488572680344</v>
      </c>
      <c r="T76" s="62">
        <f t="shared" si="88"/>
        <v>269.20989374735825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46.681021525324276</v>
      </c>
      <c r="AA76" s="23">
        <f>EXP(-LN(2)/25)*AA75+(1-EXP(-LN(2)/25))/(LN(2)/25)*Calculateur!V76*Calculateur!X76*VLOOKUP('Données projet'!$B$9,Paramètres!$A$1:$I$89,3,0)*0.475*44/12</f>
        <v>1.0147869178536828</v>
      </c>
      <c r="AB76" s="23">
        <f>EXP(-LN(2)/2)*AB75+(1-EXP(-LN(2)/2))/(LN(2)/2)*V76*Y76*VLOOKUP('Données projet'!$B$9,Paramètres!$A$1:$I$89,3,0)*0.475*44/12</f>
        <v>3.7140431357402534E-4</v>
      </c>
      <c r="AC76" s="24">
        <f t="shared" si="57"/>
        <v>47.696179847491535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15.142857142857142</v>
      </c>
      <c r="AI76" s="14">
        <f>IF('Données projet'!$A$62&gt;35,AI75+AH76-AQ75,IF(A76&lt;'Données projet'!$A$62,$AF$205^A76,IF(A76='Données projet'!$A$62,'Données projet'!$B$62,AI75+AH76-AQ75)))</f>
        <v>405.14285714285734</v>
      </c>
      <c r="AJ76" s="14">
        <f>AI76*VLOOKUP('Données projet'!$B$10,Paramètres!$A$1:$I$89,3,0)*VLOOKUP('Données projet'!$B$10,Paramètres!$A$1:$I$89,5,0)</f>
        <v>189.60685714285725</v>
      </c>
      <c r="AK76" s="14">
        <f t="shared" si="89"/>
        <v>47.453024072159629</v>
      </c>
      <c r="AL76" s="22">
        <f t="shared" si="58"/>
        <v>412.87929311615432</v>
      </c>
      <c r="AM76" s="62">
        <f t="shared" si="59"/>
        <v>706.21262644948763</v>
      </c>
      <c r="AN76" s="62">
        <f ca="1">AVERAGE(OFFSET($AM$3,0,0,'Données projet'!$E$10+1,1))-AVERAGE(OFFSET($H$3,0,0,'Données projet'!$E$10+1,1))</f>
        <v>215.04236469150038</v>
      </c>
      <c r="AO76" s="62">
        <f t="shared" si="90"/>
        <v>160.72275701448416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2">
        <f t="shared" si="86"/>
        <v>13.118928907524445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70">
        <f t="shared" si="56"/>
        <v>393.25436784727162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5.6843418860808015E-14</v>
      </c>
      <c r="O77" s="14">
        <f>N77*VLOOKUP('Données projet'!$B$9,Paramètres!$A$1:$I$89,3,0)*VLOOKUP('Données projet'!$B$9,Paramètres!$A$1:$I$89,5,0)</f>
        <v>3.3992364478763198E-14</v>
      </c>
      <c r="P77" s="14">
        <f t="shared" si="87"/>
        <v>5.790027782444094E-13</v>
      </c>
      <c r="Q77" s="22">
        <f t="shared" si="54"/>
        <v>1.0676332069095257E-12</v>
      </c>
      <c r="R77" s="62">
        <f t="shared" si="55"/>
        <v>293.33333333333439</v>
      </c>
      <c r="S77" s="62">
        <f ca="1">AVERAGE(OFFSET($R$3,0,0,'Données projet'!$E$9+1,1))-AVERAGE(OFFSET($H$3,0,0,'Données projet'!$E$9+1,1))</f>
        <v>157.98488572680344</v>
      </c>
      <c r="T77" s="62">
        <f t="shared" si="88"/>
        <v>269.20989374735825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45.765635165824364</v>
      </c>
      <c r="AA77" s="23">
        <f>EXP(-LN(2)/25)*AA76+(1-EXP(-LN(2)/25))/(LN(2)/25)*Calculateur!V77*Calculateur!X77*VLOOKUP('Données projet'!$B$9,Paramètres!$A$1:$I$89,3,0)*0.475*44/12</f>
        <v>0.98703751621964919</v>
      </c>
      <c r="AB77" s="23">
        <f>EXP(-LN(2)/2)*AB76+(1-EXP(-LN(2)/2))/(LN(2)/2)*V77*Y77*VLOOKUP('Données projet'!$B$9,Paramètres!$A$1:$I$89,3,0)*0.475*44/12</f>
        <v>2.6262250869012822E-4</v>
      </c>
      <c r="AC77" s="24">
        <f t="shared" si="57"/>
        <v>46.752935304552707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15.142857142857142</v>
      </c>
      <c r="AI77" s="14">
        <f>IF('Données projet'!$A$62&gt;35,AI76+AH77-AQ76,IF(A77&lt;'Données projet'!$A$62,$AF$205^A77,IF(A77='Données projet'!$A$62,'Données projet'!$B$62,AI76+AH77-AQ76)))</f>
        <v>420.2857142857145</v>
      </c>
      <c r="AJ77" s="14">
        <f>AI77*VLOOKUP('Données projet'!$B$10,Paramètres!$A$1:$I$89,3,0)*VLOOKUP('Données projet'!$B$10,Paramètres!$A$1:$I$89,5,0)</f>
        <v>196.69371428571441</v>
      </c>
      <c r="AK77" s="14">
        <f t="shared" si="89"/>
        <v>49.016842754125221</v>
      </c>
      <c r="AL77" s="22">
        <f t="shared" si="58"/>
        <v>427.9458868443873</v>
      </c>
      <c r="AM77" s="62">
        <f t="shared" si="59"/>
        <v>721.27922017772062</v>
      </c>
      <c r="AN77" s="62">
        <f ca="1">AVERAGE(OFFSET($AM$3,0,0,'Données projet'!$E$10+1,1))-AVERAGE(OFFSET($H$3,0,0,'Données projet'!$E$10+1,1))</f>
        <v>215.04236469150038</v>
      </c>
      <c r="AO77" s="62">
        <f t="shared" si="90"/>
        <v>160.72275701448416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2">
        <f t="shared" si="86"/>
        <v>13.275453424326999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70">
        <f t="shared" si="56"/>
        <v>394.56849804736942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5.6843418860808015E-14</v>
      </c>
      <c r="O78" s="14">
        <f>N78*VLOOKUP('Données projet'!$B$9,Paramètres!$A$1:$I$89,3,0)*VLOOKUP('Données projet'!$B$9,Paramètres!$A$1:$I$89,5,0)</f>
        <v>3.3992364478763198E-14</v>
      </c>
      <c r="P78" s="14">
        <f t="shared" si="87"/>
        <v>5.790027782444094E-13</v>
      </c>
      <c r="Q78" s="22">
        <f t="shared" si="54"/>
        <v>1.0676332069095257E-12</v>
      </c>
      <c r="R78" s="62">
        <f t="shared" si="55"/>
        <v>293.33333333333439</v>
      </c>
      <c r="S78" s="62">
        <f ca="1">AVERAGE(OFFSET($R$3,0,0,'Données projet'!$E$9+1,1))-AVERAGE(OFFSET($H$3,0,0,'Données projet'!$E$9+1,1))</f>
        <v>157.98488572680344</v>
      </c>
      <c r="T78" s="62">
        <f t="shared" si="88"/>
        <v>269.20989374735825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44.868198974503692</v>
      </c>
      <c r="AA78" s="23">
        <f>EXP(-LN(2)/25)*AA77+(1-EXP(-LN(2)/25))/(LN(2)/25)*Calculateur!V78*Calculateur!X78*VLOOKUP('Données projet'!$B$9,Paramètres!$A$1:$I$89,3,0)*0.475*44/12</f>
        <v>0.96004692343257581</v>
      </c>
      <c r="AB78" s="23">
        <f>EXP(-LN(2)/2)*AB77+(1-EXP(-LN(2)/2))/(LN(2)/2)*V78*Y78*VLOOKUP('Données projet'!$B$9,Paramètres!$A$1:$I$89,3,0)*0.475*44/12</f>
        <v>1.8570215678701267E-4</v>
      </c>
      <c r="AC78" s="24">
        <f t="shared" si="57"/>
        <v>45.828431600093054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15.142857142857142</v>
      </c>
      <c r="AI78" s="14">
        <f>IF('Données projet'!$A$62&gt;35,AI77+AH78-AQ77,IF(A78&lt;'Données projet'!$A$62,$AF$205^A78,IF(A78='Données projet'!$A$62,'Données projet'!$B$62,AI77+AH78-AQ77)))</f>
        <v>435.42857142857167</v>
      </c>
      <c r="AJ78" s="14">
        <f>AI78*VLOOKUP('Données projet'!$B$10,Paramètres!$A$1:$I$89,3,0)*VLOOKUP('Données projet'!$B$10,Paramètres!$A$1:$I$89,5,0)</f>
        <v>203.78057142857153</v>
      </c>
      <c r="AK78" s="14">
        <f t="shared" si="89"/>
        <v>50.574115202939069</v>
      </c>
      <c r="AL78" s="22">
        <f t="shared" si="58"/>
        <v>443.00107921654762</v>
      </c>
      <c r="AM78" s="62">
        <f t="shared" si="59"/>
        <v>736.33441254988088</v>
      </c>
      <c r="AN78" s="62">
        <f ca="1">AVERAGE(OFFSET($AM$3,0,0,'Données projet'!$E$10+1,1))-AVERAGE(OFFSET($H$3,0,0,'Données projet'!$E$10+1,1))</f>
        <v>215.04236469150038</v>
      </c>
      <c r="AO78" s="62">
        <f t="shared" si="90"/>
        <v>160.72275701448416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2">
        <f t="shared" si="86"/>
        <v>13.431735195887123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70">
        <f t="shared" si="56"/>
        <v>395.88220546616998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5.6843418860808015E-14</v>
      </c>
      <c r="O79" s="14">
        <f>N79*VLOOKUP('Données projet'!$B$9,Paramètres!$A$1:$I$89,3,0)*VLOOKUP('Données projet'!$B$9,Paramètres!$A$1:$I$89,5,0)</f>
        <v>3.3992364478763198E-14</v>
      </c>
      <c r="P79" s="14">
        <f t="shared" si="87"/>
        <v>5.790027782444094E-13</v>
      </c>
      <c r="Q79" s="22">
        <f t="shared" si="54"/>
        <v>1.0676332069095257E-12</v>
      </c>
      <c r="R79" s="62">
        <f t="shared" si="55"/>
        <v>293.33333333333439</v>
      </c>
      <c r="S79" s="62">
        <f ca="1">AVERAGE(OFFSET($R$3,0,0,'Données projet'!$E$9+1,1))-AVERAGE(OFFSET($H$3,0,0,'Données projet'!$E$9+1,1))</f>
        <v>157.98488572680344</v>
      </c>
      <c r="T79" s="62">
        <f t="shared" si="88"/>
        <v>269.20989374735825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43.988360959512789</v>
      </c>
      <c r="AA79" s="23">
        <f>EXP(-LN(2)/25)*AA78+(1-EXP(-LN(2)/25))/(LN(2)/25)*Calculateur!V79*Calculateur!X79*VLOOKUP('Données projet'!$B$9,Paramètres!$A$1:$I$89,3,0)*0.475*44/12</f>
        <v>0.93379438982463858</v>
      </c>
      <c r="AB79" s="23">
        <f>EXP(-LN(2)/2)*AB78+(1-EXP(-LN(2)/2))/(LN(2)/2)*V79*Y79*VLOOKUP('Données projet'!$B$9,Paramètres!$A$1:$I$89,3,0)*0.475*44/12</f>
        <v>1.3131125434506411E-4</v>
      </c>
      <c r="AC79" s="24">
        <f t="shared" si="57"/>
        <v>44.922286660591773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15.142857142857142</v>
      </c>
      <c r="AI79" s="14">
        <f>IF('Données projet'!$A$62&gt;35,AI78+AH79-AQ78,IF(A79&lt;'Données projet'!$A$62,$AF$205^A79,IF(A79='Données projet'!$A$62,'Données projet'!$B$62,AI78+AH79-AQ78)))</f>
        <v>450.57142857142884</v>
      </c>
      <c r="AJ79" s="14">
        <f>AI79*VLOOKUP('Données projet'!$B$10,Paramètres!$A$1:$I$89,3,0)*VLOOKUP('Données projet'!$B$10,Paramètres!$A$1:$I$89,5,0)</f>
        <v>210.86742857142869</v>
      </c>
      <c r="AK79" s="14">
        <f t="shared" si="89"/>
        <v>52.125095165913116</v>
      </c>
      <c r="AL79" s="22">
        <f t="shared" si="58"/>
        <v>458.04531217587032</v>
      </c>
      <c r="AM79" s="62">
        <f t="shared" si="59"/>
        <v>751.37864550920358</v>
      </c>
      <c r="AN79" s="62">
        <f ca="1">AVERAGE(OFFSET($AM$3,0,0,'Données projet'!$E$10+1,1))-AVERAGE(OFFSET($H$3,0,0,'Données projet'!$E$10+1,1))</f>
        <v>215.04236469150038</v>
      </c>
      <c r="AO79" s="62">
        <f t="shared" si="90"/>
        <v>160.72275701448416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2">
        <f t="shared" si="86"/>
        <v>13.587777785482281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70">
        <f t="shared" si="56"/>
        <v>397.19549630971488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5.6843418860808015E-14</v>
      </c>
      <c r="O80" s="14">
        <f>N80*VLOOKUP('Données projet'!$B$9,Paramètres!$A$1:$I$89,3,0)*VLOOKUP('Données projet'!$B$9,Paramètres!$A$1:$I$89,5,0)</f>
        <v>3.3992364478763198E-14</v>
      </c>
      <c r="P80" s="14">
        <f t="shared" si="87"/>
        <v>5.790027782444094E-13</v>
      </c>
      <c r="Q80" s="22">
        <f t="shared" si="54"/>
        <v>1.0676332069095257E-12</v>
      </c>
      <c r="R80" s="62">
        <f t="shared" si="55"/>
        <v>293.33333333333439</v>
      </c>
      <c r="S80" s="62">
        <f ca="1">AVERAGE(OFFSET($R$3,0,0,'Données projet'!$E$9+1,1))-AVERAGE(OFFSET($H$3,0,0,'Données projet'!$E$9+1,1))</f>
        <v>157.98488572680344</v>
      </c>
      <c r="T80" s="62">
        <f t="shared" si="88"/>
        <v>269.20989374735825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43.125776031347662</v>
      </c>
      <c r="AA80" s="23">
        <f>EXP(-LN(2)/25)*AA79+(1-EXP(-LN(2)/25))/(LN(2)/25)*Calculateur!V80*Calculateur!X80*VLOOKUP('Données projet'!$B$9,Paramètres!$A$1:$I$89,3,0)*0.475*44/12</f>
        <v>0.90825973312877106</v>
      </c>
      <c r="AB80" s="23">
        <f>EXP(-LN(2)/2)*AB79+(1-EXP(-LN(2)/2))/(LN(2)/2)*V80*Y80*VLOOKUP('Données projet'!$B$9,Paramètres!$A$1:$I$89,3,0)*0.475*44/12</f>
        <v>9.2851078393506336E-5</v>
      </c>
      <c r="AC80" s="24">
        <f t="shared" si="57"/>
        <v>44.034128615554827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15.142857142857142</v>
      </c>
      <c r="AI80" s="14">
        <f>IF('Données projet'!$A$62&gt;35,AI79+AH80-AQ79,IF(A80&lt;'Données projet'!$A$62,$AF$205^A80,IF(A80='Données projet'!$A$62,'Données projet'!$B$62,AI79+AH80-AQ79)))</f>
        <v>465.71428571428601</v>
      </c>
      <c r="AJ80" s="14">
        <f>AI80*VLOOKUP('Données projet'!$B$10,Paramètres!$A$1:$I$89,3,0)*VLOOKUP('Données projet'!$B$10,Paramètres!$A$1:$I$89,5,0)</f>
        <v>217.95428571428585</v>
      </c>
      <c r="AK80" s="14">
        <f t="shared" si="89"/>
        <v>53.670018366701875</v>
      </c>
      <c r="AL80" s="22">
        <f t="shared" si="58"/>
        <v>473.07899627438695</v>
      </c>
      <c r="AM80" s="62">
        <f t="shared" si="59"/>
        <v>766.41232960772027</v>
      </c>
      <c r="AN80" s="62">
        <f ca="1">AVERAGE(OFFSET($AM$3,0,0,'Données projet'!$E$10+1,1))-AVERAGE(OFFSET($H$3,0,0,'Données projet'!$E$10+1,1))</f>
        <v>215.04236469150038</v>
      </c>
      <c r="AO80" s="62">
        <f t="shared" si="90"/>
        <v>160.72275701448416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2">
        <f t="shared" si="86"/>
        <v>13.74358465851647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70">
        <f t="shared" si="56"/>
        <v>398.50837661358275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5.6843418860808015E-14</v>
      </c>
      <c r="O81" s="14">
        <f>N81*VLOOKUP('Données projet'!$B$9,Paramètres!$A$1:$I$89,3,0)*VLOOKUP('Données projet'!$B$9,Paramètres!$A$1:$I$89,5,0)</f>
        <v>3.3992364478763198E-14</v>
      </c>
      <c r="P81" s="14">
        <f t="shared" si="87"/>
        <v>5.790027782444094E-13</v>
      </c>
      <c r="Q81" s="22">
        <f t="shared" si="54"/>
        <v>1.0676332069095257E-12</v>
      </c>
      <c r="R81" s="62">
        <f t="shared" si="55"/>
        <v>293.33333333333439</v>
      </c>
      <c r="S81" s="62">
        <f ca="1">AVERAGE(OFFSET($R$3,0,0,'Données projet'!$E$9+1,1))-AVERAGE(OFFSET($H$3,0,0,'Données projet'!$E$9+1,1))</f>
        <v>157.98488572680344</v>
      </c>
      <c r="T81" s="62">
        <f t="shared" si="88"/>
        <v>269.20989374735825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42.280105867498996</v>
      </c>
      <c r="AA81" s="23">
        <f>EXP(-LN(2)/25)*AA80+(1-EXP(-LN(2)/25))/(LN(2)/25)*Calculateur!V81*Calculateur!X81*VLOOKUP('Données projet'!$B$9,Paramètres!$A$1:$I$89,3,0)*0.475*44/12</f>
        <v>0.88342332296306136</v>
      </c>
      <c r="AB81" s="23">
        <f>EXP(-LN(2)/2)*AB80+(1-EXP(-LN(2)/2))/(LN(2)/2)*V81*Y81*VLOOKUP('Données projet'!$B$9,Paramètres!$A$1:$I$89,3,0)*0.475*44/12</f>
        <v>6.5655627172532056E-5</v>
      </c>
      <c r="AC81" s="24">
        <f t="shared" si="57"/>
        <v>43.163594846089232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15.142857142857142</v>
      </c>
      <c r="AI81" s="14">
        <f>IF('Données projet'!$A$62&gt;35,AI80+AH81-AQ80,IF(A81&lt;'Données projet'!$A$62,$AF$205^A81,IF(A81='Données projet'!$A$62,'Données projet'!$B$62,AI80+AH81-AQ80)))</f>
        <v>480.85714285714317</v>
      </c>
      <c r="AJ81" s="14">
        <f>AI81*VLOOKUP('Données projet'!$B$10,Paramètres!$A$1:$I$89,3,0)*VLOOKUP('Données projet'!$B$10,Paramètres!$A$1:$I$89,5,0)</f>
        <v>225.041142857143</v>
      </c>
      <c r="AK81" s="14">
        <f t="shared" si="89"/>
        <v>55.209104329514197</v>
      </c>
      <c r="AL81" s="22">
        <f t="shared" si="58"/>
        <v>488.10251385009468</v>
      </c>
      <c r="AM81" s="62">
        <f t="shared" si="59"/>
        <v>781.435847183428</v>
      </c>
      <c r="AN81" s="62">
        <f ca="1">AVERAGE(OFFSET($AM$3,0,0,'Données projet'!$E$10+1,1))-AVERAGE(OFFSET($H$3,0,0,'Données projet'!$E$10+1,1))</f>
        <v>215.04236469150038</v>
      </c>
      <c r="AO81" s="62">
        <f t="shared" si="90"/>
        <v>160.72275701448416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2">
        <f t="shared" si="86"/>
        <v>13.899159186428221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70">
        <f t="shared" si="56"/>
        <v>399.82085224969569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5.6843418860808015E-14</v>
      </c>
      <c r="O82" s="14">
        <f>N82*VLOOKUP('Données projet'!$B$9,Paramètres!$A$1:$I$89,3,0)*VLOOKUP('Données projet'!$B$9,Paramètres!$A$1:$I$89,5,0)</f>
        <v>3.3992364478763198E-14</v>
      </c>
      <c r="P82" s="14">
        <f t="shared" si="87"/>
        <v>5.790027782444094E-13</v>
      </c>
      <c r="Q82" s="22">
        <f t="shared" si="54"/>
        <v>1.0676332069095257E-12</v>
      </c>
      <c r="R82" s="62">
        <f t="shared" si="55"/>
        <v>293.33333333333439</v>
      </c>
      <c r="S82" s="62">
        <f ca="1">AVERAGE(OFFSET($R$3,0,0,'Données projet'!$E$9+1,1))-AVERAGE(OFFSET($H$3,0,0,'Données projet'!$E$9+1,1))</f>
        <v>157.98488572680344</v>
      </c>
      <c r="T82" s="62">
        <f t="shared" si="88"/>
        <v>269.20989374735825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41.451018779755536</v>
      </c>
      <c r="AA82" s="23">
        <f>EXP(-LN(2)/25)*AA81+(1-EXP(-LN(2)/25))/(LN(2)/25)*Calculateur!V82*Calculateur!X82*VLOOKUP('Données projet'!$B$9,Paramètres!$A$1:$I$89,3,0)*0.475*44/12</f>
        <v>0.85926606573942299</v>
      </c>
      <c r="AB82" s="23">
        <f>EXP(-LN(2)/2)*AB81+(1-EXP(-LN(2)/2))/(LN(2)/2)*V82*Y82*VLOOKUP('Données projet'!$B$9,Paramètres!$A$1:$I$89,3,0)*0.475*44/12</f>
        <v>4.6425539196753168E-5</v>
      </c>
      <c r="AC82" s="24">
        <f t="shared" si="57"/>
        <v>42.310331271034158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>
        <f>VLOOKUP(A82,'Données projet'!$A$61:$I$81,2,0)</f>
        <v>496</v>
      </c>
      <c r="AG82" s="13">
        <f>VLOOKUP(A82,'Données projet'!$A$61:$I$81,9,0)</f>
        <v>15.142857142857142</v>
      </c>
      <c r="AH82" s="13">
        <f t="array" ref="AH82">INDEX(AG:AG,MIN(IF(ISNUMBER(AG82:AG278),ROW(AG82:AG278),"")))</f>
        <v>15.142857142857142</v>
      </c>
      <c r="AI82" s="14">
        <f>IF('Données projet'!$A$62&gt;35,AI81+AH82-AQ81,IF(A82&lt;'Données projet'!$A$62,$AF$205^A82,IF(A82='Données projet'!$A$62,'Données projet'!$B$62,AI81+AH82-AQ81)))</f>
        <v>496.00000000000034</v>
      </c>
      <c r="AJ82" s="14">
        <f>AI82*VLOOKUP('Données projet'!$B$10,Paramètres!$A$1:$I$89,3,0)*VLOOKUP('Données projet'!$B$10,Paramètres!$A$1:$I$89,5,0)</f>
        <v>232.12800000000016</v>
      </c>
      <c r="AK82" s="14">
        <f t="shared" si="89"/>
        <v>56.742557967082448</v>
      </c>
      <c r="AL82" s="22">
        <f t="shared" si="58"/>
        <v>503.11622179266891</v>
      </c>
      <c r="AM82" s="62">
        <f t="shared" si="59"/>
        <v>796.44955512600222</v>
      </c>
      <c r="AN82" s="62">
        <f ca="1">AVERAGE(OFFSET($AM$3,0,0,'Données projet'!$E$10+1,1))-AVERAGE(OFFSET($H$3,0,0,'Données projet'!$E$10+1,1))</f>
        <v>215.04236469150038</v>
      </c>
      <c r="AO82" s="62">
        <f t="shared" si="90"/>
        <v>160.72275701448416</v>
      </c>
      <c r="AP82" s="16">
        <f>IF(ISNA(VLOOKUP(A82,'Données projet'!$A$61:$I$81,3,0)),0,VLOOKUP(A82,'Données projet'!$A$61:$I$81,3,0))</f>
        <v>13</v>
      </c>
      <c r="AQ82" s="16">
        <f>IF(ISNA(VLOOKUP(A82,'Données projet'!$A$61:$I$81,4,0)),0,VLOOKUP(A82,'Données projet'!$A$61:$I$81,4,0))</f>
        <v>88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2">
        <f t="shared" si="86"/>
        <v>14.054504650394959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70">
        <f t="shared" si="56"/>
        <v>401.13292893277111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5.6843418860808015E-14</v>
      </c>
      <c r="O83" s="14">
        <f>N83*VLOOKUP('Données projet'!$B$9,Paramètres!$A$1:$I$89,3,0)*VLOOKUP('Données projet'!$B$9,Paramètres!$A$1:$I$89,5,0)</f>
        <v>3.3992364478763198E-14</v>
      </c>
      <c r="P83" s="14">
        <f t="shared" si="87"/>
        <v>5.790027782444094E-13</v>
      </c>
      <c r="Q83" s="22">
        <f t="shared" si="54"/>
        <v>1.0676332069095257E-12</v>
      </c>
      <c r="R83" s="62">
        <f t="shared" si="55"/>
        <v>293.33333333333439</v>
      </c>
      <c r="S83" s="62">
        <f ca="1">AVERAGE(OFFSET($R$3,0,0,'Données projet'!$E$9+1,1))-AVERAGE(OFFSET($H$3,0,0,'Données projet'!$E$9+1,1))</f>
        <v>157.98488572680344</v>
      </c>
      <c r="T83" s="62">
        <f t="shared" si="88"/>
        <v>269.20989374735825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40.638189584109533</v>
      </c>
      <c r="AA83" s="23">
        <f>EXP(-LN(2)/25)*AA82+(1-EXP(-LN(2)/25))/(LN(2)/25)*Calculateur!V83*Calculateur!X83*VLOOKUP('Données projet'!$B$9,Paramètres!$A$1:$I$89,3,0)*0.475*44/12</f>
        <v>0.83576938998493999</v>
      </c>
      <c r="AB83" s="23">
        <f>EXP(-LN(2)/2)*AB82+(1-EXP(-LN(2)/2))/(LN(2)/2)*V83*Y83*VLOOKUP('Données projet'!$B$9,Paramètres!$A$1:$I$89,3,0)*0.475*44/12</f>
        <v>3.2827813586266028E-5</v>
      </c>
      <c r="AC83" s="24">
        <f t="shared" si="57"/>
        <v>41.473991801908056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423</v>
      </c>
      <c r="AG83" s="13">
        <f>VLOOKUP(A83,'Données projet'!$A$61:$I$81,9,0)</f>
        <v>15</v>
      </c>
      <c r="AH83" s="13">
        <f t="array" ref="AH83">INDEX(AG:AG,MIN(IF(ISNUMBER(AG83:AG279),ROW(AG83:AG279),"")))</f>
        <v>15</v>
      </c>
      <c r="AI83" s="14">
        <f>IF('Données projet'!$A$62&gt;35,AI82+AH83-AQ82,IF(A83&lt;'Données projet'!$A$62,$AF$205^A83,IF(A83='Données projet'!$A$62,'Données projet'!$B$62,AI82+AH83-AQ82)))</f>
        <v>423.00000000000034</v>
      </c>
      <c r="AJ83" s="14">
        <f>AI83*VLOOKUP('Données projet'!$B$10,Paramètres!$A$1:$I$89,3,0)*VLOOKUP('Données projet'!$B$10,Paramètres!$A$1:$I$89,5,0)</f>
        <v>197.96400000000017</v>
      </c>
      <c r="AK83" s="14">
        <f t="shared" si="89"/>
        <v>49.296450435147804</v>
      </c>
      <c r="AL83" s="22">
        <f t="shared" si="58"/>
        <v>430.64528450788265</v>
      </c>
      <c r="AM83" s="62">
        <f t="shared" si="59"/>
        <v>723.97861784121596</v>
      </c>
      <c r="AN83" s="62">
        <f ca="1">AVERAGE(OFFSET($AM$3,0,0,'Données projet'!$E$10+1,1))-AVERAGE(OFFSET($H$3,0,0,'Données projet'!$E$10+1,1))</f>
        <v>215.04236469150038</v>
      </c>
      <c r="AO83" s="62">
        <f t="shared" si="90"/>
        <v>160.72275701448416</v>
      </c>
      <c r="AP83" s="16">
        <f>IF(ISNA(VLOOKUP(A83,'Données projet'!$A$61:$I$81,3,0)),0,VLOOKUP(A83,'Données projet'!$A$61:$I$81,3,0))</f>
        <v>14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2">
        <f t="shared" si="86"/>
        <v>14.209624244846959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70">
        <f t="shared" si="56"/>
        <v>402.44461222644168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5.6843418860808015E-14</v>
      </c>
      <c r="O84" s="14">
        <f>N84*VLOOKUP('Données projet'!$B$9,Paramètres!$A$1:$I$89,3,0)*VLOOKUP('Données projet'!$B$9,Paramètres!$A$1:$I$89,5,0)</f>
        <v>3.3992364478763198E-14</v>
      </c>
      <c r="P84" s="14">
        <f t="shared" si="87"/>
        <v>5.790027782444094E-13</v>
      </c>
      <c r="Q84" s="22">
        <f t="shared" si="54"/>
        <v>1.0676332069095257E-12</v>
      </c>
      <c r="R84" s="62">
        <f t="shared" si="55"/>
        <v>293.33333333333439</v>
      </c>
      <c r="S84" s="62">
        <f ca="1">AVERAGE(OFFSET($R$3,0,0,'Données projet'!$E$9+1,1))-AVERAGE(OFFSET($H$3,0,0,'Données projet'!$E$9+1,1))</f>
        <v>157.98488572680344</v>
      </c>
      <c r="T84" s="62">
        <f t="shared" si="88"/>
        <v>269.20989374735825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39.84129947321329</v>
      </c>
      <c r="AA84" s="23">
        <f>EXP(-LN(2)/25)*AA83+(1-EXP(-LN(2)/25))/(LN(2)/25)*Calculateur!V84*Calculateur!X84*VLOOKUP('Données projet'!$B$9,Paramètres!$A$1:$I$89,3,0)*0.475*44/12</f>
        <v>0.81291523206459981</v>
      </c>
      <c r="AB84" s="23">
        <f>EXP(-LN(2)/2)*AB83+(1-EXP(-LN(2)/2))/(LN(2)/2)*V84*Y84*VLOOKUP('Données projet'!$B$9,Paramètres!$A$1:$I$89,3,0)*0.475*44/12</f>
        <v>2.3212769598376584E-5</v>
      </c>
      <c r="AC84" s="24">
        <f t="shared" si="57"/>
        <v>40.654237918047485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14.142857142857142</v>
      </c>
      <c r="AI84" s="14">
        <f>IF('Données projet'!$A$62&gt;35,AI83+AH84-AQ83,IF(A84&lt;'Données projet'!$A$62,$AF$205^A84,IF(A84='Données projet'!$A$62,'Données projet'!$B$62,AI83+AH84-AQ83)))</f>
        <v>437.14285714285751</v>
      </c>
      <c r="AJ84" s="14">
        <f>AI84*VLOOKUP('Données projet'!$B$10,Paramètres!$A$1:$I$89,3,0)*VLOOKUP('Données projet'!$B$10,Paramètres!$A$1:$I$89,5,0)</f>
        <v>204.58285714285734</v>
      </c>
      <c r="AK84" s="14">
        <f t="shared" si="89"/>
        <v>50.750009154879976</v>
      </c>
      <c r="AL84" s="22">
        <f t="shared" si="58"/>
        <v>444.70474213522584</v>
      </c>
      <c r="AM84" s="62">
        <f t="shared" si="59"/>
        <v>738.0380754685591</v>
      </c>
      <c r="AN84" s="62">
        <f ca="1">AVERAGE(OFFSET($AM$3,0,0,'Données projet'!$E$10+1,1))-AVERAGE(OFFSET($H$3,0,0,'Données projet'!$E$10+1,1))</f>
        <v>215.04236469150038</v>
      </c>
      <c r="AO84" s="62">
        <f t="shared" si="90"/>
        <v>160.72275701448416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2">
        <f t="shared" si="86"/>
        <v>14.364521080802797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70">
        <f t="shared" si="56"/>
        <v>403.75590754906477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5.6843418860808015E-14</v>
      </c>
      <c r="O85" s="14">
        <f>N85*VLOOKUP('Données projet'!$B$9,Paramètres!$A$1:$I$89,3,0)*VLOOKUP('Données projet'!$B$9,Paramètres!$A$1:$I$89,5,0)</f>
        <v>3.3992364478763198E-14</v>
      </c>
      <c r="P85" s="14">
        <f t="shared" si="87"/>
        <v>5.790027782444094E-13</v>
      </c>
      <c r="Q85" s="22">
        <f t="shared" si="54"/>
        <v>1.0676332069095257E-12</v>
      </c>
      <c r="R85" s="62">
        <f t="shared" si="55"/>
        <v>293.33333333333439</v>
      </c>
      <c r="S85" s="62">
        <f ca="1">AVERAGE(OFFSET($R$3,0,0,'Données projet'!$E$9+1,1))-AVERAGE(OFFSET($H$3,0,0,'Données projet'!$E$9+1,1))</f>
        <v>157.98488572680344</v>
      </c>
      <c r="T85" s="62">
        <f t="shared" si="88"/>
        <v>269.20989374735825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39.060035891336753</v>
      </c>
      <c r="AA85" s="23">
        <f>EXP(-LN(2)/25)*AA84+(1-EXP(-LN(2)/25))/(LN(2)/25)*Calculateur!V85*Calculateur!X85*VLOOKUP('Données projet'!$B$9,Paramètres!$A$1:$I$89,3,0)*0.475*44/12</f>
        <v>0.79068602229443918</v>
      </c>
      <c r="AB85" s="23">
        <f>EXP(-LN(2)/2)*AB84+(1-EXP(-LN(2)/2))/(LN(2)/2)*V85*Y85*VLOOKUP('Données projet'!$B$9,Paramètres!$A$1:$I$89,3,0)*0.475*44/12</f>
        <v>1.6413906793133014E-5</v>
      </c>
      <c r="AC85" s="24">
        <f t="shared" si="57"/>
        <v>39.850738327537982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14.142857142857142</v>
      </c>
      <c r="AI85" s="14">
        <f>IF('Données projet'!$A$62&gt;35,AI84+AH85-AQ84,IF(A85&lt;'Données projet'!$A$62,$AF$205^A85,IF(A85='Données projet'!$A$62,'Données projet'!$B$62,AI84+AH85-AQ84)))</f>
        <v>451.28571428571468</v>
      </c>
      <c r="AJ85" s="14">
        <f>AI85*VLOOKUP('Données projet'!$B$10,Paramètres!$A$1:$I$89,3,0)*VLOOKUP('Données projet'!$B$10,Paramètres!$A$1:$I$89,5,0)</f>
        <v>211.20171428571447</v>
      </c>
      <c r="AK85" s="14">
        <f t="shared" si="89"/>
        <v>52.198103230485451</v>
      </c>
      <c r="AL85" s="22">
        <f t="shared" si="58"/>
        <v>458.75468217404813</v>
      </c>
      <c r="AM85" s="62">
        <f t="shared" si="59"/>
        <v>752.08801550738144</v>
      </c>
      <c r="AN85" s="62">
        <f ca="1">AVERAGE(OFFSET($AM$3,0,0,'Données projet'!$E$10+1,1))-AVERAGE(OFFSET($H$3,0,0,'Données projet'!$E$10+1,1))</f>
        <v>215.04236469150038</v>
      </c>
      <c r="AO85" s="62">
        <f t="shared" si="90"/>
        <v>160.72275701448416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2">
        <f t="shared" si="86"/>
        <v>14.519198189037443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70">
        <f t="shared" si="56"/>
        <v>405.0668201792401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5.6843418860808015E-14</v>
      </c>
      <c r="O86" s="14">
        <f>N86*VLOOKUP('Données projet'!$B$9,Paramètres!$A$1:$I$89,3,0)*VLOOKUP('Données projet'!$B$9,Paramètres!$A$1:$I$89,5,0)</f>
        <v>3.3992364478763198E-14</v>
      </c>
      <c r="P86" s="14">
        <f t="shared" si="87"/>
        <v>5.790027782444094E-13</v>
      </c>
      <c r="Q86" s="22">
        <f t="shared" si="54"/>
        <v>1.0676332069095257E-12</v>
      </c>
      <c r="R86" s="62">
        <f t="shared" si="55"/>
        <v>293.33333333333439</v>
      </c>
      <c r="S86" s="62">
        <f ca="1">AVERAGE(OFFSET($R$3,0,0,'Données projet'!$E$9+1,1))-AVERAGE(OFFSET($H$3,0,0,'Données projet'!$E$9+1,1))</f>
        <v>157.98488572680344</v>
      </c>
      <c r="T86" s="62">
        <f t="shared" si="88"/>
        <v>269.20989374735825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38.294092411777079</v>
      </c>
      <c r="AA86" s="23">
        <f>EXP(-LN(2)/25)*AA85+(1-EXP(-LN(2)/25))/(LN(2)/25)*Calculateur!V86*Calculateur!X86*VLOOKUP('Données projet'!$B$9,Paramètres!$A$1:$I$89,3,0)*0.475*44/12</f>
        <v>0.76906467143442692</v>
      </c>
      <c r="AB86" s="23">
        <f>EXP(-LN(2)/2)*AB85+(1-EXP(-LN(2)/2))/(LN(2)/2)*V86*Y86*VLOOKUP('Données projet'!$B$9,Paramètres!$A$1:$I$89,3,0)*0.475*44/12</f>
        <v>1.1606384799188292E-5</v>
      </c>
      <c r="AC86" s="24">
        <f t="shared" si="57"/>
        <v>39.06316868959631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14.142857142857142</v>
      </c>
      <c r="AI86" s="14">
        <f>IF('Données projet'!$A$62&gt;35,AI85+AH86-AQ85,IF(A86&lt;'Données projet'!$A$62,$AF$205^A86,IF(A86='Données projet'!$A$62,'Données projet'!$B$62,AI85+AH86-AQ85)))</f>
        <v>465.42857142857184</v>
      </c>
      <c r="AJ86" s="14">
        <f>AI86*VLOOKUP('Données projet'!$B$10,Paramètres!$A$1:$I$89,3,0)*VLOOKUP('Données projet'!$B$10,Paramètres!$A$1:$I$89,5,0)</f>
        <v>217.82057142857164</v>
      </c>
      <c r="AK86" s="14">
        <f t="shared" si="89"/>
        <v>53.640923568007189</v>
      </c>
      <c r="AL86" s="22">
        <f t="shared" si="58"/>
        <v>472.79543711904148</v>
      </c>
      <c r="AM86" s="62">
        <f t="shared" si="59"/>
        <v>766.12877045237474</v>
      </c>
      <c r="AN86" s="62">
        <f ca="1">AVERAGE(OFFSET($AM$3,0,0,'Données projet'!$E$10+1,1))-AVERAGE(OFFSET($H$3,0,0,'Données projet'!$E$10+1,1))</f>
        <v>215.04236469150038</v>
      </c>
      <c r="AO86" s="62">
        <f t="shared" si="90"/>
        <v>160.72275701448416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2">
        <f t="shared" si="86"/>
        <v>14.673658523093403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70">
        <f t="shared" si="56"/>
        <v>406.37735526105422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5.6843418860808015E-14</v>
      </c>
      <c r="O87" s="14">
        <f>N87*VLOOKUP('Données projet'!$B$9,Paramètres!$A$1:$I$89,3,0)*VLOOKUP('Données projet'!$B$9,Paramètres!$A$1:$I$89,5,0)</f>
        <v>3.3992364478763198E-14</v>
      </c>
      <c r="P87" s="14">
        <f t="shared" si="87"/>
        <v>5.790027782444094E-13</v>
      </c>
      <c r="Q87" s="22">
        <f t="shared" si="54"/>
        <v>1.0676332069095257E-12</v>
      </c>
      <c r="R87" s="62">
        <f t="shared" si="55"/>
        <v>293.33333333333439</v>
      </c>
      <c r="S87" s="62">
        <f ca="1">AVERAGE(OFFSET($R$3,0,0,'Données projet'!$E$9+1,1))-AVERAGE(OFFSET($H$3,0,0,'Données projet'!$E$9+1,1))</f>
        <v>157.98488572680344</v>
      </c>
      <c r="T87" s="62">
        <f t="shared" si="88"/>
        <v>269.20989374735825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37.543168616672183</v>
      </c>
      <c r="AA87" s="23">
        <f>EXP(-LN(2)/25)*AA86+(1-EXP(-LN(2)/25))/(LN(2)/25)*Calculateur!V87*Calculateur!X87*VLOOKUP('Données projet'!$B$9,Paramètres!$A$1:$I$89,3,0)*0.475*44/12</f>
        <v>0.74803455755069914</v>
      </c>
      <c r="AB87" s="23">
        <f>EXP(-LN(2)/2)*AB86+(1-EXP(-LN(2)/2))/(LN(2)/2)*V87*Y87*VLOOKUP('Données projet'!$B$9,Paramètres!$A$1:$I$89,3,0)*0.475*44/12</f>
        <v>8.2069533965665069E-6</v>
      </c>
      <c r="AC87" s="24">
        <f t="shared" si="57"/>
        <v>38.291211381176275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14.142857142857142</v>
      </c>
      <c r="AI87" s="14">
        <f>IF('Données projet'!$A$62&gt;35,AI86+AH87-AQ86,IF(A87&lt;'Données projet'!$A$62,$AF$205^A87,IF(A87='Données projet'!$A$62,'Données projet'!$B$62,AI86+AH87-AQ86)))</f>
        <v>479.57142857142901</v>
      </c>
      <c r="AJ87" s="14">
        <f>AI87*VLOOKUP('Données projet'!$B$10,Paramètres!$A$1:$I$89,3,0)*VLOOKUP('Données projet'!$B$10,Paramètres!$A$1:$I$89,5,0)</f>
        <v>224.43942857142878</v>
      </c>
      <c r="AK87" s="14">
        <f t="shared" si="89"/>
        <v>55.078648812192505</v>
      </c>
      <c r="AL87" s="22">
        <f t="shared" si="58"/>
        <v>486.82731810980704</v>
      </c>
      <c r="AM87" s="62">
        <f t="shared" si="59"/>
        <v>780.1606514431403</v>
      </c>
      <c r="AN87" s="62">
        <f ca="1">AVERAGE(OFFSET($AM$3,0,0,'Données projet'!$E$10+1,1))-AVERAGE(OFFSET($H$3,0,0,'Données projet'!$E$10+1,1))</f>
        <v>215.04236469150038</v>
      </c>
      <c r="AO87" s="62">
        <f t="shared" si="90"/>
        <v>160.72275701448416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2">
        <f t="shared" si="86"/>
        <v>14.827904962144244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70">
        <f t="shared" si="56"/>
        <v>407.6875178090678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5.6843418860808015E-14</v>
      </c>
      <c r="O88" s="14">
        <f>N88*VLOOKUP('Données projet'!$B$9,Paramètres!$A$1:$I$89,3,0)*VLOOKUP('Données projet'!$B$9,Paramètres!$A$1:$I$89,5,0)</f>
        <v>3.3992364478763198E-14</v>
      </c>
      <c r="P88" s="14">
        <f t="shared" si="87"/>
        <v>5.790027782444094E-13</v>
      </c>
      <c r="Q88" s="22">
        <f t="shared" si="54"/>
        <v>1.0676332069095257E-12</v>
      </c>
      <c r="R88" s="62">
        <f t="shared" si="55"/>
        <v>293.33333333333439</v>
      </c>
      <c r="S88" s="62">
        <f ca="1">AVERAGE(OFFSET($R$3,0,0,'Données projet'!$E$9+1,1))-AVERAGE(OFFSET($H$3,0,0,'Données projet'!$E$9+1,1))</f>
        <v>157.98488572680344</v>
      </c>
      <c r="T88" s="62">
        <f t="shared" si="88"/>
        <v>269.20989374735825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36.806969979171001</v>
      </c>
      <c r="AA88" s="23">
        <f>EXP(-LN(2)/25)*AA87+(1-EXP(-LN(2)/25))/(LN(2)/25)*Calculateur!V88*Calculateur!X88*VLOOKUP('Données projet'!$B$9,Paramètres!$A$1:$I$89,3,0)*0.475*44/12</f>
        <v>0.7275795132370475</v>
      </c>
      <c r="AB88" s="23">
        <f>EXP(-LN(2)/2)*AB87+(1-EXP(-LN(2)/2))/(LN(2)/2)*V88*Y88*VLOOKUP('Données projet'!$B$9,Paramètres!$A$1:$I$89,3,0)*0.475*44/12</f>
        <v>5.803192399594146E-6</v>
      </c>
      <c r="AC88" s="24">
        <f t="shared" si="57"/>
        <v>37.534555295600448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14.142857142857142</v>
      </c>
      <c r="AI88" s="14">
        <f>IF('Données projet'!$A$62&gt;35,AI87+AH88-AQ87,IF(A88&lt;'Données projet'!$A$62,$AF$205^A88,IF(A88='Données projet'!$A$62,'Données projet'!$B$62,AI87+AH88-AQ87)))</f>
        <v>493.71428571428618</v>
      </c>
      <c r="AJ88" s="14">
        <f>AI88*VLOOKUP('Données projet'!$B$10,Paramètres!$A$1:$I$89,3,0)*VLOOKUP('Données projet'!$B$10,Paramètres!$A$1:$I$89,5,0)</f>
        <v>231.05828571428594</v>
      </c>
      <c r="AK88" s="14">
        <f t="shared" si="89"/>
        <v>56.511446472092771</v>
      </c>
      <c r="AL88" s="22">
        <f t="shared" si="58"/>
        <v>500.85061689127627</v>
      </c>
      <c r="AM88" s="62">
        <f t="shared" si="59"/>
        <v>794.18395022460959</v>
      </c>
      <c r="AN88" s="62">
        <f ca="1">AVERAGE(OFFSET($AM$3,0,0,'Données projet'!$E$10+1,1))-AVERAGE(OFFSET($H$3,0,0,'Données projet'!$E$10+1,1))</f>
        <v>215.04236469150038</v>
      </c>
      <c r="AO88" s="62">
        <f t="shared" si="90"/>
        <v>160.72275701448416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2">
        <f t="shared" si="86"/>
        <v>14.981940313719663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70">
        <f t="shared" si="56"/>
        <v>408.99731271306166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5.6843418860808015E-14</v>
      </c>
      <c r="O89" s="14">
        <f>N89*VLOOKUP('Données projet'!$B$9,Paramètres!$A$1:$I$89,3,0)*VLOOKUP('Données projet'!$B$9,Paramètres!$A$1:$I$89,5,0)</f>
        <v>3.3992364478763198E-14</v>
      </c>
      <c r="P89" s="14">
        <f t="shared" si="87"/>
        <v>5.790027782444094E-13</v>
      </c>
      <c r="Q89" s="22">
        <f t="shared" si="54"/>
        <v>1.0676332069095257E-12</v>
      </c>
      <c r="R89" s="62">
        <f t="shared" si="55"/>
        <v>293.33333333333439</v>
      </c>
      <c r="S89" s="62">
        <f ca="1">AVERAGE(OFFSET($R$3,0,0,'Données projet'!$E$9+1,1))-AVERAGE(OFFSET($H$3,0,0,'Données projet'!$E$9+1,1))</f>
        <v>157.98488572680344</v>
      </c>
      <c r="T89" s="62">
        <f t="shared" si="88"/>
        <v>269.20989374735825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36.085207747914389</v>
      </c>
      <c r="AA89" s="23">
        <f>EXP(-LN(2)/25)*AA88+(1-EXP(-LN(2)/25))/(LN(2)/25)*Calculateur!V89*Calculateur!X89*VLOOKUP('Données projet'!$B$9,Paramètres!$A$1:$I$89,3,0)*0.475*44/12</f>
        <v>0.70768381318583673</v>
      </c>
      <c r="AB89" s="23">
        <f>EXP(-LN(2)/2)*AB88+(1-EXP(-LN(2)/2))/(LN(2)/2)*V89*Y89*VLOOKUP('Données projet'!$B$9,Paramètres!$A$1:$I$89,3,0)*0.475*44/12</f>
        <v>4.1034766982832535E-6</v>
      </c>
      <c r="AC89" s="24">
        <f t="shared" si="57"/>
        <v>36.792895664576925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14.142857142857142</v>
      </c>
      <c r="AI89" s="14">
        <f>IF('Données projet'!$A$62&gt;35,AI88+AH89-AQ88,IF(A89&lt;'Données projet'!$A$62,$AF$205^A89,IF(A89='Données projet'!$A$62,'Données projet'!$B$62,AI88+AH89-AQ88)))</f>
        <v>507.85714285714334</v>
      </c>
      <c r="AJ89" s="14">
        <f>AI89*VLOOKUP('Données projet'!$B$10,Paramètres!$A$1:$I$89,3,0)*VLOOKUP('Données projet'!$B$10,Paramètres!$A$1:$I$89,5,0)</f>
        <v>237.67714285714308</v>
      </c>
      <c r="AK89" s="14">
        <f t="shared" si="89"/>
        <v>57.939473914063178</v>
      </c>
      <c r="AL89" s="22">
        <f t="shared" si="58"/>
        <v>514.86560754318418</v>
      </c>
      <c r="AM89" s="62">
        <f t="shared" si="59"/>
        <v>808.19894087651755</v>
      </c>
      <c r="AN89" s="62">
        <f ca="1">AVERAGE(OFFSET($AM$3,0,0,'Données projet'!$E$10+1,1))-AVERAGE(OFFSET($H$3,0,0,'Données projet'!$E$10+1,1))</f>
        <v>215.04236469150038</v>
      </c>
      <c r="AO89" s="62">
        <f t="shared" si="90"/>
        <v>160.72275701448416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2">
        <f t="shared" si="86"/>
        <v>15.135767316300113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70">
        <f t="shared" si="56"/>
        <v>410.30674474255591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5.6843418860808015E-14</v>
      </c>
      <c r="O90" s="14">
        <f>N90*VLOOKUP('Données projet'!$B$9,Paramètres!$A$1:$I$89,3,0)*VLOOKUP('Données projet'!$B$9,Paramètres!$A$1:$I$89,5,0)</f>
        <v>3.3992364478763198E-14</v>
      </c>
      <c r="P90" s="14">
        <f t="shared" si="87"/>
        <v>5.790027782444094E-13</v>
      </c>
      <c r="Q90" s="22">
        <f t="shared" si="54"/>
        <v>1.0676332069095257E-12</v>
      </c>
      <c r="R90" s="62">
        <f t="shared" si="55"/>
        <v>293.33333333333439</v>
      </c>
      <c r="S90" s="62">
        <f ca="1">AVERAGE(OFFSET($R$3,0,0,'Données projet'!$E$9+1,1))-AVERAGE(OFFSET($H$3,0,0,'Données projet'!$E$9+1,1))</f>
        <v>157.98488572680344</v>
      </c>
      <c r="T90" s="62">
        <f t="shared" si="88"/>
        <v>269.20989374735825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35.377598833781228</v>
      </c>
      <c r="AA90" s="23">
        <f>EXP(-LN(2)/25)*AA89+(1-EXP(-LN(2)/25))/(LN(2)/25)*Calculateur!V90*Calculateur!X90*VLOOKUP('Données projet'!$B$9,Paramètres!$A$1:$I$89,3,0)*0.475*44/12</f>
        <v>0.68833216209879577</v>
      </c>
      <c r="AB90" s="23">
        <f>EXP(-LN(2)/2)*AB89+(1-EXP(-LN(2)/2))/(LN(2)/2)*V90*Y90*VLOOKUP('Données projet'!$B$9,Paramètres!$A$1:$I$89,3,0)*0.475*44/12</f>
        <v>2.901596199797073E-6</v>
      </c>
      <c r="AC90" s="24">
        <f t="shared" si="57"/>
        <v>36.065933897476221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>
        <f>VLOOKUP(A90,'Données projet'!$A$61:$I$81,2,0)</f>
        <v>522</v>
      </c>
      <c r="AG90" s="13">
        <f>VLOOKUP(A90,'Données projet'!$A$61:$I$81,9,0)</f>
        <v>14.142857142857142</v>
      </c>
      <c r="AH90" s="13">
        <f t="array" ref="AH90">INDEX(AG:AG,MIN(IF(ISNUMBER(AG90:AG286),ROW(AG90:AG286),"")))</f>
        <v>14.142857142857142</v>
      </c>
      <c r="AI90" s="14">
        <f>IF('Données projet'!$A$62&gt;35,AI89+AH90-AQ89,IF(A90&lt;'Données projet'!$A$62,$AF$205^A90,IF(A90='Données projet'!$A$62,'Données projet'!$B$62,AI89+AH90-AQ89)))</f>
        <v>522.00000000000045</v>
      </c>
      <c r="AJ90" s="14">
        <f>AI90*VLOOKUP('Données projet'!$B$10,Paramètres!$A$1:$I$89,3,0)*VLOOKUP('Données projet'!$B$10,Paramètres!$A$1:$I$89,5,0)</f>
        <v>244.29600000000022</v>
      </c>
      <c r="AK90" s="14">
        <f t="shared" si="89"/>
        <v>59.362879241040417</v>
      </c>
      <c r="AL90" s="22">
        <f t="shared" si="58"/>
        <v>528.87254801147901</v>
      </c>
      <c r="AM90" s="62">
        <f t="shared" si="59"/>
        <v>822.20588134481227</v>
      </c>
      <c r="AN90" s="62">
        <f ca="1">AVERAGE(OFFSET($AM$3,0,0,'Données projet'!$E$10+1,1))-AVERAGE(OFFSET($H$3,0,0,'Données projet'!$E$10+1,1))</f>
        <v>215.04236469150038</v>
      </c>
      <c r="AO90" s="62">
        <f t="shared" si="90"/>
        <v>160.72275701448416</v>
      </c>
      <c r="AP90" s="16">
        <f>IF(ISNA(VLOOKUP(A90,'Données projet'!$A$61:$I$81,3,0)),0,VLOOKUP(A90,'Données projet'!$A$61:$I$81,3,0))</f>
        <v>15</v>
      </c>
      <c r="AQ90" s="16">
        <f>IF(ISNA(VLOOKUP(A90,'Données projet'!$A$61:$I$81,4,0)),0,VLOOKUP(A90,'Données projet'!$A$61:$I$81,4,0))</f>
        <v>89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2">
        <f t="shared" si="86"/>
        <v>15.289388641788751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70">
        <f t="shared" si="56"/>
        <v>411.6158185511153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5.6843418860808015E-14</v>
      </c>
      <c r="O91" s="14">
        <f>N91*VLOOKUP('Données projet'!$B$9,Paramètres!$A$1:$I$89,3,0)*VLOOKUP('Données projet'!$B$9,Paramètres!$A$1:$I$89,5,0)</f>
        <v>3.3992364478763198E-14</v>
      </c>
      <c r="P91" s="14">
        <f t="shared" si="87"/>
        <v>5.790027782444094E-13</v>
      </c>
      <c r="Q91" s="22">
        <f t="shared" si="54"/>
        <v>1.0676332069095257E-12</v>
      </c>
      <c r="R91" s="62">
        <f t="shared" si="55"/>
        <v>293.33333333333439</v>
      </c>
      <c r="S91" s="62">
        <f ca="1">AVERAGE(OFFSET($R$3,0,0,'Données projet'!$E$9+1,1))-AVERAGE(OFFSET($H$3,0,0,'Données projet'!$E$9+1,1))</f>
        <v>157.98488572680344</v>
      </c>
      <c r="T91" s="62">
        <f t="shared" si="88"/>
        <v>269.20989374735825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34.683865698855399</v>
      </c>
      <c r="AA91" s="23">
        <f>EXP(-LN(2)/25)*AA90+(1-EXP(-LN(2)/25))/(LN(2)/25)*Calculateur!V91*Calculateur!X91*VLOOKUP('Données projet'!$B$9,Paramètres!$A$1:$I$89,3,0)*0.475*44/12</f>
        <v>0.66950968292838897</v>
      </c>
      <c r="AB91" s="23">
        <f>EXP(-LN(2)/2)*AB90+(1-EXP(-LN(2)/2))/(LN(2)/2)*V91*Y91*VLOOKUP('Données projet'!$B$9,Paramètres!$A$1:$I$89,3,0)*0.475*44/12</f>
        <v>2.0517383491416267E-6</v>
      </c>
      <c r="AC91" s="24">
        <f t="shared" si="57"/>
        <v>35.353377433522134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>
        <f>VLOOKUP(A91,'Données projet'!$A$61:$I$81,2,0)</f>
        <v>447</v>
      </c>
      <c r="AG91" s="13">
        <f>VLOOKUP(A91,'Données projet'!$A$61:$I$81,9,0)</f>
        <v>14</v>
      </c>
      <c r="AH91" s="13">
        <f t="array" ref="AH91">INDEX(AG:AG,MIN(IF(ISNUMBER(AG91:AG287),ROW(AG91:AG287),"")))</f>
        <v>14</v>
      </c>
      <c r="AI91" s="14">
        <f>IF('Données projet'!$A$62&gt;35,AI90+AH91-AQ90,IF(A91&lt;'Données projet'!$A$62,$AF$205^A91,IF(A91='Données projet'!$A$62,'Données projet'!$B$62,AI90+AH91-AQ90)))</f>
        <v>447.00000000000045</v>
      </c>
      <c r="AJ91" s="14">
        <f>AI91*VLOOKUP('Données projet'!$B$10,Paramètres!$A$1:$I$89,3,0)*VLOOKUP('Données projet'!$B$10,Paramètres!$A$1:$I$89,5,0)</f>
        <v>209.19600000000023</v>
      </c>
      <c r="AK91" s="14">
        <f t="shared" si="89"/>
        <v>51.759852265375834</v>
      </c>
      <c r="AL91" s="22">
        <f t="shared" si="58"/>
        <v>454.4981093621966</v>
      </c>
      <c r="AM91" s="62">
        <f t="shared" si="59"/>
        <v>747.83144269552986</v>
      </c>
      <c r="AN91" s="62">
        <f ca="1">AVERAGE(OFFSET($AM$3,0,0,'Données projet'!$E$10+1,1))-AVERAGE(OFFSET($H$3,0,0,'Données projet'!$E$10+1,1))</f>
        <v>215.04236469150038</v>
      </c>
      <c r="AO91" s="62">
        <f t="shared" si="90"/>
        <v>160.72275701448416</v>
      </c>
      <c r="AP91" s="16">
        <f>IF(ISNA(VLOOKUP(A91,'Données projet'!$A$61:$I$81,3,0)),0,VLOOKUP(A91,'Données projet'!$A$61:$I$81,3,0))</f>
        <v>16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2">
        <f t="shared" si="86"/>
        <v>15.442806897867856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70">
        <f t="shared" si="56"/>
        <v>412.92453868045305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5.6843418860808015E-14</v>
      </c>
      <c r="O92" s="14">
        <f>N92*VLOOKUP('Données projet'!$B$9,Paramètres!$A$1:$I$89,3,0)*VLOOKUP('Données projet'!$B$9,Paramètres!$A$1:$I$89,5,0)</f>
        <v>3.3992364478763198E-14</v>
      </c>
      <c r="P92" s="14">
        <f t="shared" si="87"/>
        <v>5.790027782444094E-13</v>
      </c>
      <c r="Q92" s="22">
        <f t="shared" si="54"/>
        <v>1.0676332069095257E-12</v>
      </c>
      <c r="R92" s="62">
        <f t="shared" si="55"/>
        <v>293.33333333333439</v>
      </c>
      <c r="S92" s="62">
        <f ca="1">AVERAGE(OFFSET($R$3,0,0,'Données projet'!$E$9+1,1))-AVERAGE(OFFSET($H$3,0,0,'Données projet'!$E$9+1,1))</f>
        <v>157.98488572680344</v>
      </c>
      <c r="T92" s="62">
        <f t="shared" si="88"/>
        <v>269.20989374735825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34.003736247570032</v>
      </c>
      <c r="AA92" s="23">
        <f>EXP(-LN(2)/25)*AA91+(1-EXP(-LN(2)/25))/(LN(2)/25)*Calculateur!V92*Calculateur!X92*VLOOKUP('Données projet'!$B$9,Paramètres!$A$1:$I$89,3,0)*0.475*44/12</f>
        <v>0.65120190544072809</v>
      </c>
      <c r="AB92" s="23">
        <f>EXP(-LN(2)/2)*AB91+(1-EXP(-LN(2)/2))/(LN(2)/2)*V92*Y92*VLOOKUP('Données projet'!$B$9,Paramètres!$A$1:$I$89,3,0)*0.475*44/12</f>
        <v>1.4507980998985365E-6</v>
      </c>
      <c r="AC92" s="24">
        <f t="shared" si="57"/>
        <v>34.654939603808863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13</v>
      </c>
      <c r="AI92" s="14">
        <f>IF('Données projet'!$A$62&gt;35,AI91+AH92-AQ91,IF(A92&lt;'Données projet'!$A$62,$AF$205^A92,IF(A92='Données projet'!$A$62,'Données projet'!$B$62,AI91+AH92-AQ91)))</f>
        <v>460.00000000000045</v>
      </c>
      <c r="AJ92" s="14">
        <f>AI92*VLOOKUP('Données projet'!$B$10,Paramètres!$A$1:$I$89,3,0)*VLOOKUP('Données projet'!$B$10,Paramètres!$A$1:$I$89,5,0)</f>
        <v>215.28000000000023</v>
      </c>
      <c r="AK92" s="14">
        <f t="shared" si="89"/>
        <v>53.08772574085318</v>
      </c>
      <c r="AL92" s="22">
        <f t="shared" si="58"/>
        <v>467.40712233198633</v>
      </c>
      <c r="AM92" s="62">
        <f t="shared" si="59"/>
        <v>760.74045566531959</v>
      </c>
      <c r="AN92" s="62">
        <f ca="1">AVERAGE(OFFSET($AM$3,0,0,'Données projet'!$E$10+1,1))-AVERAGE(OFFSET($H$3,0,0,'Données projet'!$E$10+1,1))</f>
        <v>215.04236469150038</v>
      </c>
      <c r="AO92" s="62">
        <f t="shared" si="90"/>
        <v>160.72275701448416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2">
        <f t="shared" si="86"/>
        <v>15.596024630246252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70">
        <f t="shared" si="56"/>
        <v>414.23290956434545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5.6843418860808015E-14</v>
      </c>
      <c r="O93" s="14">
        <f>N93*VLOOKUP('Données projet'!$B$9,Paramètres!$A$1:$I$89,3,0)*VLOOKUP('Données projet'!$B$9,Paramètres!$A$1:$I$89,5,0)</f>
        <v>3.3992364478763198E-14</v>
      </c>
      <c r="P93" s="14">
        <f t="shared" si="87"/>
        <v>5.790027782444094E-13</v>
      </c>
      <c r="Q93" s="22">
        <f t="shared" si="54"/>
        <v>1.0676332069095257E-12</v>
      </c>
      <c r="R93" s="62">
        <f t="shared" si="55"/>
        <v>293.33333333333439</v>
      </c>
      <c r="S93" s="62">
        <f ca="1">AVERAGE(OFFSET($R$3,0,0,'Données projet'!$E$9+1,1))-AVERAGE(OFFSET($H$3,0,0,'Données projet'!$E$9+1,1))</f>
        <v>157.98488572680344</v>
      </c>
      <c r="T93" s="62">
        <f t="shared" si="88"/>
        <v>269.20989374735825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33.336943719986365</v>
      </c>
      <c r="AA93" s="23">
        <f>EXP(-LN(2)/25)*AA92+(1-EXP(-LN(2)/25))/(LN(2)/25)*Calculateur!V93*Calculateur!X93*VLOOKUP('Données projet'!$B$9,Paramètres!$A$1:$I$89,3,0)*0.475*44/12</f>
        <v>0.63339475509123155</v>
      </c>
      <c r="AB93" s="23">
        <f>EXP(-LN(2)/2)*AB92+(1-EXP(-LN(2)/2))/(LN(2)/2)*V93*Y93*VLOOKUP('Données projet'!$B$9,Paramètres!$A$1:$I$89,3,0)*0.475*44/12</f>
        <v>1.0258691745708134E-6</v>
      </c>
      <c r="AC93" s="24">
        <f t="shared" si="57"/>
        <v>33.970339500946771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13</v>
      </c>
      <c r="AI93" s="14">
        <f>IF('Données projet'!$A$62&gt;35,AI92+AH93-AQ92,IF(A93&lt;'Données projet'!$A$62,$AF$205^A93,IF(A93='Données projet'!$A$62,'Données projet'!$B$62,AI92+AH93-AQ92)))</f>
        <v>473.00000000000045</v>
      </c>
      <c r="AJ93" s="14">
        <f>AI93*VLOOKUP('Données projet'!$B$10,Paramètres!$A$1:$I$89,3,0)*VLOOKUP('Données projet'!$B$10,Paramètres!$A$1:$I$89,5,0)</f>
        <v>221.3640000000002</v>
      </c>
      <c r="AK93" s="14">
        <f t="shared" si="89"/>
        <v>54.411237653200843</v>
      </c>
      <c r="AL93" s="22">
        <f t="shared" si="58"/>
        <v>480.30853891265838</v>
      </c>
      <c r="AM93" s="62">
        <f t="shared" si="59"/>
        <v>773.64187224599164</v>
      </c>
      <c r="AN93" s="62">
        <f ca="1">AVERAGE(OFFSET($AM$3,0,0,'Données projet'!$E$10+1,1))-AVERAGE(OFFSET($H$3,0,0,'Données projet'!$E$10+1,1))</f>
        <v>215.04236469150038</v>
      </c>
      <c r="AO93" s="62">
        <f t="shared" si="90"/>
        <v>160.72275701448416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2">
        <f t="shared" si="86"/>
        <v>15.749044324804029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70">
        <f t="shared" si="56"/>
        <v>415.54093553236692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5.6843418860808015E-14</v>
      </c>
      <c r="O94" s="14">
        <f>N94*VLOOKUP('Données projet'!$B$9,Paramètres!$A$1:$I$89,3,0)*VLOOKUP('Données projet'!$B$9,Paramètres!$A$1:$I$89,5,0)</f>
        <v>3.3992364478763198E-14</v>
      </c>
      <c r="P94" s="14">
        <f t="shared" si="87"/>
        <v>5.790027782444094E-13</v>
      </c>
      <c r="Q94" s="22">
        <f t="shared" si="54"/>
        <v>1.0676332069095257E-12</v>
      </c>
      <c r="R94" s="62">
        <f t="shared" si="55"/>
        <v>293.33333333333439</v>
      </c>
      <c r="S94" s="62">
        <f ca="1">AVERAGE(OFFSET($R$3,0,0,'Données projet'!$E$9+1,1))-AVERAGE(OFFSET($H$3,0,0,'Données projet'!$E$9+1,1))</f>
        <v>157.98488572680344</v>
      </c>
      <c r="T94" s="62">
        <f t="shared" si="88"/>
        <v>269.20989374735825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32.683226587165336</v>
      </c>
      <c r="AA94" s="23">
        <f>EXP(-LN(2)/25)*AA93+(1-EXP(-LN(2)/25))/(LN(2)/25)*Calculateur!V94*Calculateur!X94*VLOOKUP('Données projet'!$B$9,Paramètres!$A$1:$I$89,3,0)*0.475*44/12</f>
        <v>0.61607454220447933</v>
      </c>
      <c r="AB94" s="23">
        <f>EXP(-LN(2)/2)*AB93+(1-EXP(-LN(2)/2))/(LN(2)/2)*V94*Y94*VLOOKUP('Données projet'!$B$9,Paramètres!$A$1:$I$89,3,0)*0.475*44/12</f>
        <v>7.2539904994926825E-7</v>
      </c>
      <c r="AC94" s="24">
        <f t="shared" si="57"/>
        <v>33.299301854768864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13</v>
      </c>
      <c r="AI94" s="14">
        <f>IF('Données projet'!$A$62&gt;35,AI93+AH94-AQ93,IF(A94&lt;'Données projet'!$A$62,$AF$205^A94,IF(A94='Données projet'!$A$62,'Données projet'!$B$62,AI93+AH94-AQ93)))</f>
        <v>486.00000000000045</v>
      </c>
      <c r="AJ94" s="14">
        <f>AI94*VLOOKUP('Données projet'!$B$10,Paramètres!$A$1:$I$89,3,0)*VLOOKUP('Données projet'!$B$10,Paramètres!$A$1:$I$89,5,0)</f>
        <v>227.44800000000021</v>
      </c>
      <c r="AK94" s="14">
        <f t="shared" si="89"/>
        <v>55.730521649800735</v>
      </c>
      <c r="AL94" s="22">
        <f t="shared" si="58"/>
        <v>493.20259187340326</v>
      </c>
      <c r="AM94" s="62">
        <f t="shared" si="59"/>
        <v>786.53592520673658</v>
      </c>
      <c r="AN94" s="62">
        <f ca="1">AVERAGE(OFFSET($AM$3,0,0,'Données projet'!$E$10+1,1))-AVERAGE(OFFSET($H$3,0,0,'Données projet'!$E$10+1,1))</f>
        <v>215.04236469150038</v>
      </c>
      <c r="AO94" s="62">
        <f t="shared" si="90"/>
        <v>160.72275701448416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2">
        <f t="shared" si="86"/>
        <v>15.901868409640313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70">
        <f t="shared" si="56"/>
        <v>416.84862081345676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5.6843418860808015E-14</v>
      </c>
      <c r="O95" s="14">
        <f>N95*VLOOKUP('Données projet'!$B$9,Paramètres!$A$1:$I$89,3,0)*VLOOKUP('Données projet'!$B$9,Paramètres!$A$1:$I$89,5,0)</f>
        <v>3.3992364478763198E-14</v>
      </c>
      <c r="P95" s="14">
        <f t="shared" si="87"/>
        <v>5.790027782444094E-13</v>
      </c>
      <c r="Q95" s="22">
        <f t="shared" si="54"/>
        <v>1.0676332069095257E-12</v>
      </c>
      <c r="R95" s="62">
        <f t="shared" si="55"/>
        <v>293.33333333333439</v>
      </c>
      <c r="S95" s="62">
        <f ca="1">AVERAGE(OFFSET($R$3,0,0,'Données projet'!$E$9+1,1))-AVERAGE(OFFSET($H$3,0,0,'Données projet'!$E$9+1,1))</f>
        <v>157.98488572680344</v>
      </c>
      <c r="T95" s="62">
        <f t="shared" si="88"/>
        <v>269.20989374735825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32.042328448590844</v>
      </c>
      <c r="AA95" s="23">
        <f>EXP(-LN(2)/25)*AA94+(1-EXP(-LN(2)/25))/(LN(2)/25)*Calculateur!V95*Calculateur!X95*VLOOKUP('Données projet'!$B$9,Paramètres!$A$1:$I$89,3,0)*0.475*44/12</f>
        <v>0.59922795144994567</v>
      </c>
      <c r="AB95" s="23">
        <f>EXP(-LN(2)/2)*AB94+(1-EXP(-LN(2)/2))/(LN(2)/2)*V95*Y95*VLOOKUP('Données projet'!$B$9,Paramètres!$A$1:$I$89,3,0)*0.475*44/12</f>
        <v>5.1293458728540668E-7</v>
      </c>
      <c r="AC95" s="24">
        <f t="shared" si="57"/>
        <v>32.641556912975382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13</v>
      </c>
      <c r="AI95" s="14">
        <f>IF('Données projet'!$A$62&gt;35,AI94+AH95-AQ94,IF(A95&lt;'Données projet'!$A$62,$AF$205^A95,IF(A95='Données projet'!$A$62,'Données projet'!$B$62,AI94+AH95-AQ94)))</f>
        <v>499.00000000000045</v>
      </c>
      <c r="AJ95" s="14">
        <f>AI95*VLOOKUP('Données projet'!$B$10,Paramètres!$A$1:$I$89,3,0)*VLOOKUP('Données projet'!$B$10,Paramètres!$A$1:$I$89,5,0)</f>
        <v>233.53200000000021</v>
      </c>
      <c r="AK95" s="14">
        <f t="shared" si="89"/>
        <v>57.04570382109813</v>
      </c>
      <c r="AL95" s="22">
        <f t="shared" si="58"/>
        <v>506.08950082174624</v>
      </c>
      <c r="AM95" s="62">
        <f t="shared" si="59"/>
        <v>799.4228341550795</v>
      </c>
      <c r="AN95" s="62">
        <f ca="1">AVERAGE(OFFSET($AM$3,0,0,'Données projet'!$E$10+1,1))-AVERAGE(OFFSET($H$3,0,0,'Données projet'!$E$10+1,1))</f>
        <v>215.04236469150038</v>
      </c>
      <c r="AO95" s="62">
        <f t="shared" si="90"/>
        <v>160.72275701448416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2">
        <f t="shared" si="86"/>
        <v>16.054499257029473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70">
        <f t="shared" si="56"/>
        <v>418.15596953932624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5.6843418860808015E-14</v>
      </c>
      <c r="O96" s="14">
        <f>N96*VLOOKUP('Données projet'!$B$9,Paramètres!$A$1:$I$89,3,0)*VLOOKUP('Données projet'!$B$9,Paramètres!$A$1:$I$89,5,0)</f>
        <v>3.3992364478763198E-14</v>
      </c>
      <c r="P96" s="14">
        <f t="shared" si="87"/>
        <v>5.790027782444094E-13</v>
      </c>
      <c r="Q96" s="22">
        <f t="shared" si="54"/>
        <v>1.0676332069095257E-12</v>
      </c>
      <c r="R96" s="62">
        <f t="shared" si="55"/>
        <v>293.33333333333439</v>
      </c>
      <c r="S96" s="62">
        <f ca="1">AVERAGE(OFFSET($R$3,0,0,'Données projet'!$E$9+1,1))-AVERAGE(OFFSET($H$3,0,0,'Données projet'!$E$9+1,1))</f>
        <v>157.98488572680344</v>
      </c>
      <c r="T96" s="62">
        <f t="shared" si="88"/>
        <v>269.20989374735825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31.413997931604531</v>
      </c>
      <c r="AA96" s="23">
        <f>EXP(-LN(2)/25)*AA95+(1-EXP(-LN(2)/25))/(LN(2)/25)*Calculateur!V96*Calculateur!X96*VLOOKUP('Données projet'!$B$9,Paramètres!$A$1:$I$89,3,0)*0.475*44/12</f>
        <v>0.58284203160551851</v>
      </c>
      <c r="AB96" s="23">
        <f>EXP(-LN(2)/2)*AB95+(1-EXP(-LN(2)/2))/(LN(2)/2)*V96*Y96*VLOOKUP('Données projet'!$B$9,Paramètres!$A$1:$I$89,3,0)*0.475*44/12</f>
        <v>3.6269952497463413E-7</v>
      </c>
      <c r="AC96" s="24">
        <f t="shared" si="57"/>
        <v>31.996840325909574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13</v>
      </c>
      <c r="AI96" s="14">
        <f>IF('Données projet'!$A$62&gt;35,AI95+AH96-AQ95,IF(A96&lt;'Données projet'!$A$62,$AF$205^A96,IF(A96='Données projet'!$A$62,'Données projet'!$B$62,AI95+AH96-AQ95)))</f>
        <v>512.00000000000045</v>
      </c>
      <c r="AJ96" s="14">
        <f>AI96*VLOOKUP('Données projet'!$B$10,Paramètres!$A$1:$I$89,3,0)*VLOOKUP('Données projet'!$B$10,Paramètres!$A$1:$I$89,5,0)</f>
        <v>239.61600000000021</v>
      </c>
      <c r="AK96" s="14">
        <f t="shared" si="89"/>
        <v>58.356903313490214</v>
      </c>
      <c r="AL96" s="22">
        <f t="shared" si="58"/>
        <v>518.96947327099576</v>
      </c>
      <c r="AM96" s="62">
        <f t="shared" si="59"/>
        <v>812.30280660432913</v>
      </c>
      <c r="AN96" s="62">
        <f ca="1">AVERAGE(OFFSET($AM$3,0,0,'Données projet'!$E$10+1,1))-AVERAGE(OFFSET($H$3,0,0,'Données projet'!$E$10+1,1))</f>
        <v>215.04236469150038</v>
      </c>
      <c r="AO96" s="62">
        <f t="shared" si="90"/>
        <v>160.72275701448416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2">
        <f t="shared" si="86"/>
        <v>16.206939185290693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70">
        <f t="shared" si="56"/>
        <v>419.46298574771453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5.6843418860808015E-14</v>
      </c>
      <c r="O97" s="14">
        <f>N97*VLOOKUP('Données projet'!$B$9,Paramètres!$A$1:$I$89,3,0)*VLOOKUP('Données projet'!$B$9,Paramètres!$A$1:$I$89,5,0)</f>
        <v>3.3992364478763198E-14</v>
      </c>
      <c r="P97" s="14">
        <f t="shared" si="87"/>
        <v>5.790027782444094E-13</v>
      </c>
      <c r="Q97" s="22">
        <f t="shared" si="54"/>
        <v>1.0676332069095257E-12</v>
      </c>
      <c r="R97" s="62">
        <f t="shared" si="55"/>
        <v>293.33333333333439</v>
      </c>
      <c r="S97" s="62">
        <f ca="1">AVERAGE(OFFSET($R$3,0,0,'Données projet'!$E$9+1,1))-AVERAGE(OFFSET($H$3,0,0,'Données projet'!$E$9+1,1))</f>
        <v>157.98488572680344</v>
      </c>
      <c r="T97" s="62">
        <f t="shared" si="88"/>
        <v>269.20989374735825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30.797988592812548</v>
      </c>
      <c r="AA97" s="23">
        <f>EXP(-LN(2)/25)*AA96+(1-EXP(-LN(2)/25))/(LN(2)/25)*Calculateur!V97*Calculateur!X97*VLOOKUP('Données projet'!$B$9,Paramètres!$A$1:$I$89,3,0)*0.475*44/12</f>
        <v>0.56690418560093525</v>
      </c>
      <c r="AB97" s="23">
        <f>EXP(-LN(2)/2)*AB96+(1-EXP(-LN(2)/2))/(LN(2)/2)*V97*Y97*VLOOKUP('Données projet'!$B$9,Paramètres!$A$1:$I$89,3,0)*0.475*44/12</f>
        <v>2.5646729364270334E-7</v>
      </c>
      <c r="AC97" s="24">
        <f t="shared" si="57"/>
        <v>31.36489303488078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>
        <f>VLOOKUP(A97,'Données projet'!$A$61:$I$81,2,0)</f>
        <v>525</v>
      </c>
      <c r="AG97" s="13">
        <f>VLOOKUP(A97,'Données projet'!$A$61:$I$81,9,0)</f>
        <v>13</v>
      </c>
      <c r="AH97" s="13">
        <f t="array" ref="AH97">INDEX(AG:AG,MIN(IF(ISNUMBER(AG97:AG293),ROW(AG97:AG293),"")))</f>
        <v>13</v>
      </c>
      <c r="AI97" s="14">
        <f>IF('Données projet'!$A$62&gt;35,AI96+AH97-AQ96,IF(A97&lt;'Données projet'!$A$62,$AF$205^A97,IF(A97='Données projet'!$A$62,'Données projet'!$B$62,AI96+AH97-AQ96)))</f>
        <v>525.00000000000045</v>
      </c>
      <c r="AJ97" s="14">
        <f>AI97*VLOOKUP('Données projet'!$B$10,Paramètres!$A$1:$I$89,3,0)*VLOOKUP('Données projet'!$B$10,Paramètres!$A$1:$I$89,5,0)</f>
        <v>245.70000000000022</v>
      </c>
      <c r="AK97" s="14">
        <f t="shared" si="89"/>
        <v>59.66423287821754</v>
      </c>
      <c r="AL97" s="22">
        <f t="shared" si="58"/>
        <v>531.84270559622928</v>
      </c>
      <c r="AM97" s="62">
        <f t="shared" si="59"/>
        <v>825.17603892956254</v>
      </c>
      <c r="AN97" s="62">
        <f ca="1">AVERAGE(OFFSET($AM$3,0,0,'Données projet'!$E$10+1,1))-AVERAGE(OFFSET($H$3,0,0,'Données projet'!$E$10+1,1))</f>
        <v>215.04236469150038</v>
      </c>
      <c r="AO97" s="62">
        <f t="shared" si="90"/>
        <v>160.72275701448416</v>
      </c>
      <c r="AP97" s="16">
        <f>IF(ISNA(VLOOKUP(A97,'Données projet'!$A$61:$I$81,3,0)),0,VLOOKUP(A97,'Données projet'!$A$61:$I$81,3,0))</f>
        <v>17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2">
        <f t="shared" si="86"/>
        <v>16.359190460575874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70">
        <f t="shared" si="56"/>
        <v>420.76967338550281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5.6843418860808015E-14</v>
      </c>
      <c r="O98" s="14">
        <f>N98*VLOOKUP('Données projet'!$B$9,Paramètres!$A$1:$I$89,3,0)*VLOOKUP('Données projet'!$B$9,Paramètres!$A$1:$I$89,5,0)</f>
        <v>3.3992364478763198E-14</v>
      </c>
      <c r="P98" s="14">
        <f t="shared" si="87"/>
        <v>5.790027782444094E-13</v>
      </c>
      <c r="Q98" s="22">
        <f t="shared" si="54"/>
        <v>1.0676332069095257E-12</v>
      </c>
      <c r="R98" s="62">
        <f t="shared" si="55"/>
        <v>293.33333333333439</v>
      </c>
      <c r="S98" s="62">
        <f ca="1">AVERAGE(OFFSET($R$3,0,0,'Données projet'!$E$9+1,1))-AVERAGE(OFFSET($H$3,0,0,'Données projet'!$E$9+1,1))</f>
        <v>157.98488572680344</v>
      </c>
      <c r="T98" s="62">
        <f t="shared" si="88"/>
        <v>269.20989374735825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30.194058821425678</v>
      </c>
      <c r="AA98" s="23">
        <f>EXP(-LN(2)/25)*AA97+(1-EXP(-LN(2)/25))/(LN(2)/25)*Calculateur!V98*Calculateur!X98*VLOOKUP('Données projet'!$B$9,Paramètres!$A$1:$I$89,3,0)*0.475*44/12</f>
        <v>0.55140216083348226</v>
      </c>
      <c r="AB98" s="23">
        <f>EXP(-LN(2)/2)*AB97+(1-EXP(-LN(2)/2))/(LN(2)/2)*V98*Y98*VLOOKUP('Données projet'!$B$9,Paramètres!$A$1:$I$89,3,0)*0.475*44/12</f>
        <v>1.8134976248731706E-7</v>
      </c>
      <c r="AC98" s="24">
        <f t="shared" si="57"/>
        <v>30.745461163608923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>
        <f>VLOOKUP(A98,'Données projet'!$A$61:$I$81,2,0)</f>
        <v>538</v>
      </c>
      <c r="AG98" s="13">
        <f>VLOOKUP(A98,'Données projet'!$A$61:$I$81,9,0)</f>
        <v>13</v>
      </c>
      <c r="AH98" s="13">
        <f t="array" ref="AH98">INDEX(AG:AG,MIN(IF(ISNUMBER(AG98:AG294),ROW(AG98:AG294),"")))</f>
        <v>13</v>
      </c>
      <c r="AI98" s="14">
        <f>IF('Données projet'!$A$62&gt;35,AI97+AH98-AQ97,IF(A98&lt;'Données projet'!$A$62,$AF$205^A98,IF(A98='Données projet'!$A$62,'Données projet'!$B$62,AI97+AH98-AQ97)))</f>
        <v>538.00000000000045</v>
      </c>
      <c r="AJ98" s="14">
        <f>AI98*VLOOKUP('Données projet'!$B$10,Paramètres!$A$1:$I$89,3,0)*VLOOKUP('Données projet'!$B$10,Paramètres!$A$1:$I$89,5,0)</f>
        <v>251.78400000000019</v>
      </c>
      <c r="AK98" s="14">
        <f t="shared" si="89"/>
        <v>60.967799364357568</v>
      </c>
      <c r="AL98" s="22">
        <f t="shared" si="58"/>
        <v>544.70938389292303</v>
      </c>
      <c r="AM98" s="62">
        <f t="shared" si="59"/>
        <v>838.0427172262564</v>
      </c>
      <c r="AN98" s="62">
        <f ca="1">AVERAGE(OFFSET($AM$3,0,0,'Données projet'!$E$10+1,1))-AVERAGE(OFFSET($H$3,0,0,'Données projet'!$E$10+1,1))</f>
        <v>215.04236469150038</v>
      </c>
      <c r="AO98" s="62">
        <f t="shared" si="90"/>
        <v>160.72275701448416</v>
      </c>
      <c r="AP98" s="16">
        <f>IF(ISNA(VLOOKUP(A98,'Données projet'!$A$61:$I$81,3,0)),0,VLOOKUP(A98,'Données projet'!$A$61:$I$81,3,0))</f>
        <v>18</v>
      </c>
      <c r="AQ98" s="16">
        <f>IF(ISNA(VLOOKUP(A98,'Données projet'!$A$61:$I$81,4,0)),0,VLOOKUP(A98,'Données projet'!$A$61:$I$81,4,0))</f>
        <v>269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2">
        <f t="shared" si="86"/>
        <v>16.51125529857994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70">
        <f t="shared" si="56"/>
        <v>422.07603631169331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5.6843418860808015E-14</v>
      </c>
      <c r="O99" s="14">
        <f>N99*VLOOKUP('Données projet'!$B$9,Paramètres!$A$1:$I$89,3,0)*VLOOKUP('Données projet'!$B$9,Paramètres!$A$1:$I$89,5,0)</f>
        <v>3.3992364478763198E-14</v>
      </c>
      <c r="P99" s="14">
        <f t="shared" si="87"/>
        <v>5.790027782444094E-13</v>
      </c>
      <c r="Q99" s="22">
        <f t="shared" ref="Q99:Q130" si="107">(O99+P99)*0.475*44/12</f>
        <v>1.0676332069095257E-12</v>
      </c>
      <c r="R99" s="62">
        <f t="shared" si="55"/>
        <v>293.33333333333439</v>
      </c>
      <c r="S99" s="62">
        <f ca="1">AVERAGE(OFFSET($R$3,0,0,'Données projet'!$E$9+1,1))-AVERAGE(OFFSET($H$3,0,0,'Données projet'!$E$9+1,1))</f>
        <v>157.98488572680344</v>
      </c>
      <c r="T99" s="62">
        <f t="shared" si="88"/>
        <v>269.20989374735825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29.601971744494918</v>
      </c>
      <c r="AA99" s="23">
        <f>EXP(-LN(2)/25)*AA98+(1-EXP(-LN(2)/25))/(LN(2)/25)*Calculateur!V99*Calculateur!X99*VLOOKUP('Données projet'!$B$9,Paramètres!$A$1:$I$89,3,0)*0.475*44/12</f>
        <v>0.53632403974851128</v>
      </c>
      <c r="AB99" s="23">
        <f>EXP(-LN(2)/2)*AB98+(1-EXP(-LN(2)/2))/(LN(2)/2)*V99*Y99*VLOOKUP('Données projet'!$B$9,Paramètres!$A$1:$I$89,3,0)*0.475*44/12</f>
        <v>1.2823364682135167E-7</v>
      </c>
      <c r="AC99" s="24">
        <f t="shared" si="57"/>
        <v>30.138295912477076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>
        <f>VLOOKUP(A99,'Données projet'!$A$61:$I$81,2,0)</f>
        <v>280</v>
      </c>
      <c r="AG99" s="13">
        <f>VLOOKUP(A99,'Données projet'!$A$61:$I$81,9,0)</f>
        <v>11</v>
      </c>
      <c r="AH99" s="13">
        <f t="array" ref="AH99">INDEX(AG:AG,MIN(IF(ISNUMBER(AG99:AG295),ROW(AG99:AG295),"")))</f>
        <v>11</v>
      </c>
      <c r="AI99" s="14">
        <f>IF('Données projet'!$A$62&gt;35,AI98+AH99-AQ98,IF(A99&lt;'Données projet'!$A$62,$AF$205^A99,IF(A99='Données projet'!$A$62,'Données projet'!$B$62,AI98+AH99-AQ98)))</f>
        <v>280.00000000000045</v>
      </c>
      <c r="AJ99" s="14">
        <f>AI99*VLOOKUP('Données projet'!$B$10,Paramètres!$A$1:$I$89,3,0)*VLOOKUP('Données projet'!$B$10,Paramètres!$A$1:$I$89,5,0)</f>
        <v>131.04000000000019</v>
      </c>
      <c r="AK99" s="14">
        <f t="shared" si="89"/>
        <v>34.236561238949953</v>
      </c>
      <c r="AL99" s="22">
        <f t="shared" si="58"/>
        <v>287.85667749117147</v>
      </c>
      <c r="AM99" s="62">
        <f t="shared" si="59"/>
        <v>581.19001082450472</v>
      </c>
      <c r="AN99" s="62">
        <f ca="1">AVERAGE(OFFSET($AM$3,0,0,'Données projet'!$E$10+1,1))-AVERAGE(OFFSET($H$3,0,0,'Données projet'!$E$10+1,1))</f>
        <v>215.04236469150038</v>
      </c>
      <c r="AO99" s="62">
        <f t="shared" si="90"/>
        <v>160.72275701448416</v>
      </c>
      <c r="AP99" s="16">
        <f>IF(ISNA(VLOOKUP(A99,'Données projet'!$A$61:$I$81,3,0)),0,VLOOKUP(A99,'Données projet'!$A$61:$I$81,3,0))</f>
        <v>19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2">
        <f t="shared" si="86"/>
        <v>16.663135866177953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70">
        <f t="shared" si="56"/>
        <v>423.38207830025976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5.6843418860808015E-14</v>
      </c>
      <c r="O100" s="14">
        <f>N100*VLOOKUP('Données projet'!$B$9,Paramètres!$A$1:$I$89,3,0)*VLOOKUP('Données projet'!$B$9,Paramètres!$A$1:$I$89,5,0)</f>
        <v>3.3992364478763198E-14</v>
      </c>
      <c r="P100" s="14">
        <f t="shared" si="87"/>
        <v>5.790027782444094E-13</v>
      </c>
      <c r="Q100" s="22">
        <f t="shared" si="107"/>
        <v>1.0676332069095257E-12</v>
      </c>
      <c r="R100" s="62">
        <f t="shared" si="55"/>
        <v>293.33333333333439</v>
      </c>
      <c r="S100" s="62">
        <f ca="1">AVERAGE(OFFSET($R$3,0,0,'Données projet'!$E$9+1,1))-AVERAGE(OFFSET($H$3,0,0,'Données projet'!$E$9+1,1))</f>
        <v>157.98488572680344</v>
      </c>
      <c r="T100" s="62">
        <f t="shared" si="88"/>
        <v>269.20989374735825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29.021495134005313</v>
      </c>
      <c r="AA100" s="23">
        <f>EXP(-LN(2)/25)*AA99+(1-EXP(-LN(2)/25))/(LN(2)/25)*Calculateur!V100*Calculateur!X100*VLOOKUP('Données projet'!$B$9,Paramètres!$A$1:$I$89,3,0)*0.475*44/12</f>
        <v>0.52165823067753281</v>
      </c>
      <c r="AB100" s="23">
        <f>EXP(-LN(2)/2)*AB99+(1-EXP(-LN(2)/2))/(LN(2)/2)*V100*Y100*VLOOKUP('Données projet'!$B$9,Paramètres!$A$1:$I$89,3,0)*0.475*44/12</f>
        <v>9.0674881243658531E-8</v>
      </c>
      <c r="AC100" s="24">
        <f t="shared" si="57"/>
        <v>29.543153455357729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8.5555555555555554</v>
      </c>
      <c r="AI100" s="14">
        <f>IF('Données projet'!$A$62&gt;35,AI99+AH100-AQ99,IF(A100&lt;'Données projet'!$A$62,$AF$205^A100,IF(A100='Données projet'!$A$62,'Données projet'!$B$62,AI99+AH100-AQ99)))</f>
        <v>288.555555555556</v>
      </c>
      <c r="AJ100" s="14">
        <f>AI100*VLOOKUP('Données projet'!$B$10,Paramètres!$A$1:$I$89,3,0)*VLOOKUP('Données projet'!$B$10,Paramètres!$A$1:$I$89,5,0)</f>
        <v>135.04400000000021</v>
      </c>
      <c r="AK100" s="14">
        <f t="shared" si="89"/>
        <v>35.159284945629004</v>
      </c>
      <c r="AL100" s="22">
        <f t="shared" si="58"/>
        <v>296.43738794697089</v>
      </c>
      <c r="AM100" s="62">
        <f t="shared" si="59"/>
        <v>589.7707212803042</v>
      </c>
      <c r="AN100" s="62">
        <f ca="1">AVERAGE(OFFSET($AM$3,0,0,'Données projet'!$E$10+1,1))-AVERAGE(OFFSET($H$3,0,0,'Données projet'!$E$10+1,1))</f>
        <v>215.04236469150038</v>
      </c>
      <c r="AO100" s="62">
        <f t="shared" si="90"/>
        <v>160.72275701448416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2">
        <f t="shared" si="86"/>
        <v>16.81483428299277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70">
        <f t="shared" si="56"/>
        <v>424.68780304287895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5.6843418860808015E-14</v>
      </c>
      <c r="O101" s="14">
        <f>N101*VLOOKUP('Données projet'!$B$9,Paramètres!$A$1:$I$89,3,0)*VLOOKUP('Données projet'!$B$9,Paramètres!$A$1:$I$89,5,0)</f>
        <v>3.3992364478763198E-14</v>
      </c>
      <c r="P101" s="14">
        <f t="shared" si="87"/>
        <v>5.790027782444094E-13</v>
      </c>
      <c r="Q101" s="22">
        <f t="shared" si="107"/>
        <v>1.0676332069095257E-12</v>
      </c>
      <c r="R101" s="62">
        <f t="shared" si="55"/>
        <v>293.33333333333439</v>
      </c>
      <c r="S101" s="62">
        <f ca="1">AVERAGE(OFFSET($R$3,0,0,'Données projet'!$E$9+1,1))-AVERAGE(OFFSET($H$3,0,0,'Données projet'!$E$9+1,1))</f>
        <v>157.98488572680344</v>
      </c>
      <c r="T101" s="62">
        <f t="shared" si="88"/>
        <v>269.20989374735825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28.452401315791636</v>
      </c>
      <c r="AA101" s="23">
        <f>EXP(-LN(2)/25)*AA100+(1-EXP(-LN(2)/25))/(LN(2)/25)*Calculateur!V101*Calculateur!X101*VLOOKUP('Données projet'!$B$9,Paramètres!$A$1:$I$89,3,0)*0.475*44/12</f>
        <v>0.50739345892684162</v>
      </c>
      <c r="AB101" s="23">
        <f>EXP(-LN(2)/2)*AB100+(1-EXP(-LN(2)/2))/(LN(2)/2)*V101*Y101*VLOOKUP('Données projet'!$B$9,Paramètres!$A$1:$I$89,3,0)*0.475*44/12</f>
        <v>6.4116823410675835E-8</v>
      </c>
      <c r="AC101" s="24">
        <f t="shared" si="57"/>
        <v>28.9597948388353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8.5555555555555554</v>
      </c>
      <c r="AI101" s="14">
        <f>IF('Données projet'!$A$62&gt;35,AI100+AH101-AQ100,IF(A101&lt;'Données projet'!$A$62,$AF$205^A101,IF(A101='Données projet'!$A$62,'Données projet'!$B$62,AI100+AH101-AQ100)))</f>
        <v>297.11111111111154</v>
      </c>
      <c r="AJ101" s="14">
        <f>AI101*VLOOKUP('Données projet'!$B$10,Paramètres!$A$1:$I$89,3,0)*VLOOKUP('Données projet'!$B$10,Paramètres!$A$1:$I$89,5,0)</f>
        <v>139.0480000000002</v>
      </c>
      <c r="AK101" s="14">
        <f t="shared" si="89"/>
        <v>36.078829132999324</v>
      </c>
      <c r="AL101" s="22">
        <f t="shared" si="58"/>
        <v>305.01256073997416</v>
      </c>
      <c r="AM101" s="62">
        <f t="shared" si="59"/>
        <v>598.34589407330748</v>
      </c>
      <c r="AN101" s="62">
        <f ca="1">AVERAGE(OFFSET($AM$3,0,0,'Données projet'!$E$10+1,1))-AVERAGE(OFFSET($H$3,0,0,'Données projet'!$E$10+1,1))</f>
        <v>215.04236469150038</v>
      </c>
      <c r="AO101" s="62">
        <f t="shared" si="90"/>
        <v>160.72275701448416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2">
        <f t="shared" si="86"/>
        <v>16.96635262289686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70">
        <f t="shared" si="56"/>
        <v>425.9932141515452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5.6843418860808015E-14</v>
      </c>
      <c r="O102" s="14">
        <f>N102*VLOOKUP('Données projet'!$B$9,Paramètres!$A$1:$I$89,3,0)*VLOOKUP('Données projet'!$B$9,Paramètres!$A$1:$I$89,5,0)</f>
        <v>3.3992364478763198E-14</v>
      </c>
      <c r="P102" s="14">
        <f t="shared" si="87"/>
        <v>5.790027782444094E-13</v>
      </c>
      <c r="Q102" s="22">
        <f t="shared" si="107"/>
        <v>1.0676332069095257E-12</v>
      </c>
      <c r="R102" s="62">
        <f t="shared" si="55"/>
        <v>293.33333333333439</v>
      </c>
      <c r="S102" s="62">
        <f ca="1">AVERAGE(OFFSET($R$3,0,0,'Données projet'!$E$9+1,1))-AVERAGE(OFFSET($H$3,0,0,'Données projet'!$E$9+1,1))</f>
        <v>157.98488572680344</v>
      </c>
      <c r="T102" s="62">
        <f t="shared" si="88"/>
        <v>269.20989374735825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27.894467080240176</v>
      </c>
      <c r="AA102" s="23">
        <f>EXP(-LN(2)/25)*AA101+(1-EXP(-LN(2)/25))/(LN(2)/25)*Calculateur!V102*Calculateur!X102*VLOOKUP('Données projet'!$B$9,Paramètres!$A$1:$I$89,3,0)*0.475*44/12</f>
        <v>0.49351875810982482</v>
      </c>
      <c r="AB102" s="23">
        <f>EXP(-LN(2)/2)*AB101+(1-EXP(-LN(2)/2))/(LN(2)/2)*V102*Y102*VLOOKUP('Données projet'!$B$9,Paramètres!$A$1:$I$89,3,0)*0.475*44/12</f>
        <v>4.5337440621829266E-8</v>
      </c>
      <c r="AC102" s="24">
        <f t="shared" si="57"/>
        <v>28.387985883687442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8.5555555555555554</v>
      </c>
      <c r="AI102" s="14">
        <f>IF('Données projet'!$A$62&gt;35,AI101+AH102-AQ101,IF(A102&lt;'Données projet'!$A$62,$AF$205^A102,IF(A102='Données projet'!$A$62,'Données projet'!$B$62,AI101+AH102-AQ101)))</f>
        <v>305.66666666666708</v>
      </c>
      <c r="AJ102" s="14">
        <f>AI102*VLOOKUP('Données projet'!$B$10,Paramètres!$A$1:$I$89,3,0)*VLOOKUP('Données projet'!$B$10,Paramètres!$A$1:$I$89,5,0)</f>
        <v>143.05200000000019</v>
      </c>
      <c r="AK102" s="14">
        <f t="shared" si="89"/>
        <v>36.995295872593921</v>
      </c>
      <c r="AL102" s="22">
        <f t="shared" si="58"/>
        <v>313.58237364476804</v>
      </c>
      <c r="AM102" s="62">
        <f t="shared" si="59"/>
        <v>606.9157069781013</v>
      </c>
      <c r="AN102" s="62">
        <f ca="1">AVERAGE(OFFSET($AM$3,0,0,'Données projet'!$E$10+1,1))-AVERAGE(OFFSET($H$3,0,0,'Données projet'!$E$10+1,1))</f>
        <v>215.04236469150038</v>
      </c>
      <c r="AO102" s="62">
        <f t="shared" si="90"/>
        <v>160.72275701448416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2">
        <f t="shared" si="86"/>
        <v>17.117692915451709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70">
        <f t="shared" si="56"/>
        <v>427.29831516107822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5.6843418860808015E-14</v>
      </c>
      <c r="O103" s="14">
        <f>N103*VLOOKUP('Données projet'!$B$9,Paramètres!$A$1:$I$89,3,0)*VLOOKUP('Données projet'!$B$9,Paramètres!$A$1:$I$89,5,0)</f>
        <v>3.3992364478763198E-14</v>
      </c>
      <c r="P103" s="14">
        <f t="shared" si="87"/>
        <v>5.790027782444094E-13</v>
      </c>
      <c r="Q103" s="22">
        <f t="shared" si="107"/>
        <v>1.0676332069095257E-12</v>
      </c>
      <c r="R103" s="62">
        <f t="shared" si="55"/>
        <v>293.33333333333439</v>
      </c>
      <c r="S103" s="62">
        <f ca="1">AVERAGE(OFFSET($R$3,0,0,'Données projet'!$E$9+1,1))-AVERAGE(OFFSET($H$3,0,0,'Données projet'!$E$9+1,1))</f>
        <v>157.98488572680344</v>
      </c>
      <c r="T103" s="62">
        <f t="shared" si="88"/>
        <v>269.20989374735825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27.347473594741597</v>
      </c>
      <c r="AA103" s="23">
        <f>EXP(-LN(2)/25)*AA102+(1-EXP(-LN(2)/25))/(LN(2)/25)*Calculateur!V103*Calculateur!X103*VLOOKUP('Données projet'!$B$9,Paramètres!$A$1:$I$89,3,0)*0.475*44/12</f>
        <v>0.48002346171628812</v>
      </c>
      <c r="AB103" s="23">
        <f>EXP(-LN(2)/2)*AB102+(1-EXP(-LN(2)/2))/(LN(2)/2)*V103*Y103*VLOOKUP('Données projet'!$B$9,Paramètres!$A$1:$I$89,3,0)*0.475*44/12</f>
        <v>3.2058411705337918E-8</v>
      </c>
      <c r="AC103" s="24">
        <f t="shared" si="57"/>
        <v>27.827497088516299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8.5555555555555554</v>
      </c>
      <c r="AI103" s="14">
        <f>IF('Données projet'!$A$62&gt;35,AI102+AH103-AQ102,IF(A103&lt;'Données projet'!$A$62,$AF$205^A103,IF(A103='Données projet'!$A$62,'Données projet'!$B$62,AI102+AH103-AQ102)))</f>
        <v>314.22222222222263</v>
      </c>
      <c r="AJ103" s="14">
        <f>AI103*VLOOKUP('Données projet'!$B$10,Paramètres!$A$1:$I$89,3,0)*VLOOKUP('Données projet'!$B$10,Paramètres!$A$1:$I$89,5,0)</f>
        <v>147.05600000000018</v>
      </c>
      <c r="AK103" s="14">
        <f t="shared" si="89"/>
        <v>37.908781196921652</v>
      </c>
      <c r="AL103" s="22">
        <f t="shared" si="58"/>
        <v>322.14699391797217</v>
      </c>
      <c r="AM103" s="62">
        <f t="shared" si="59"/>
        <v>615.48032725130543</v>
      </c>
      <c r="AN103" s="62">
        <f ca="1">AVERAGE(OFFSET($AM$3,0,0,'Données projet'!$E$10+1,1))-AVERAGE(OFFSET($H$3,0,0,'Données projet'!$E$10+1,1))</f>
        <v>215.04236469150038</v>
      </c>
      <c r="AO103" s="62">
        <f t="shared" si="90"/>
        <v>160.72275701448416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2">
        <f t="shared" si="86"/>
        <v>17.268857147288056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70">
        <f t="shared" si="56"/>
        <v>428.60310953152657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5.6843418860808015E-14</v>
      </c>
      <c r="O104" s="14">
        <f>N104*VLOOKUP('Données projet'!$B$9,Paramètres!$A$1:$I$89,3,0)*VLOOKUP('Données projet'!$B$9,Paramètres!$A$1:$I$89,5,0)</f>
        <v>3.3992364478763198E-14</v>
      </c>
      <c r="P104" s="14">
        <f t="shared" si="87"/>
        <v>5.790027782444094E-13</v>
      </c>
      <c r="Q104" s="22">
        <f t="shared" si="107"/>
        <v>1.0676332069095257E-12</v>
      </c>
      <c r="R104" s="62">
        <f t="shared" si="55"/>
        <v>293.33333333333439</v>
      </c>
      <c r="S104" s="62">
        <f ca="1">AVERAGE(OFFSET($R$3,0,0,'Données projet'!$E$9+1,1))-AVERAGE(OFFSET($H$3,0,0,'Données projet'!$E$9+1,1))</f>
        <v>157.98488572680344</v>
      </c>
      <c r="T104" s="62">
        <f t="shared" si="88"/>
        <v>269.20989374735825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26.811206317860563</v>
      </c>
      <c r="AA104" s="23">
        <f>EXP(-LN(2)/25)*AA103+(1-EXP(-LN(2)/25))/(LN(2)/25)*Calculateur!V104*Calculateur!X104*VLOOKUP('Données projet'!$B$9,Paramètres!$A$1:$I$89,3,0)*0.475*44/12</f>
        <v>0.46689719491231946</v>
      </c>
      <c r="AB104" s="23">
        <f>EXP(-LN(2)/2)*AB103+(1-EXP(-LN(2)/2))/(LN(2)/2)*V104*Y104*VLOOKUP('Données projet'!$B$9,Paramètres!$A$1:$I$89,3,0)*0.475*44/12</f>
        <v>2.2668720310914633E-8</v>
      </c>
      <c r="AC104" s="24">
        <f t="shared" si="57"/>
        <v>27.278103535441605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8.5555555555555554</v>
      </c>
      <c r="AI104" s="14">
        <f>IF('Données projet'!$A$62&gt;35,AI103+AH104-AQ103,IF(A104&lt;'Données projet'!$A$62,$AF$205^A104,IF(A104='Données projet'!$A$62,'Données projet'!$B$62,AI103+AH104-AQ103)))</f>
        <v>322.77777777777817</v>
      </c>
      <c r="AJ104" s="14">
        <f>AI104*VLOOKUP('Données projet'!$B$10,Paramètres!$A$1:$I$89,3,0)*VLOOKUP('Données projet'!$B$10,Paramètres!$A$1:$I$89,5,0)</f>
        <v>151.06000000000017</v>
      </c>
      <c r="AK104" s="14">
        <f t="shared" si="89"/>
        <v>38.819375611338231</v>
      </c>
      <c r="AL104" s="22">
        <f t="shared" si="58"/>
        <v>330.70657918974769</v>
      </c>
      <c r="AM104" s="62">
        <f t="shared" si="59"/>
        <v>624.03991252308106</v>
      </c>
      <c r="AN104" s="62">
        <f ca="1">AVERAGE(OFFSET($AM$3,0,0,'Données projet'!$E$10+1,1))-AVERAGE(OFFSET($H$3,0,0,'Données projet'!$E$10+1,1))</f>
        <v>215.04236469150038</v>
      </c>
      <c r="AO104" s="62">
        <f t="shared" si="90"/>
        <v>160.72275701448416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2">
        <f t="shared" si="86"/>
        <v>17.419847263429784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70">
        <f t="shared" si="56"/>
        <v>429.9076006504734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5.6843418860808015E-14</v>
      </c>
      <c r="O105" s="14">
        <f>N105*VLOOKUP('Données projet'!$B$9,Paramètres!$A$1:$I$89,3,0)*VLOOKUP('Données projet'!$B$9,Paramètres!$A$1:$I$89,5,0)</f>
        <v>3.3992364478763198E-14</v>
      </c>
      <c r="P105" s="14">
        <f t="shared" si="87"/>
        <v>5.790027782444094E-13</v>
      </c>
      <c r="Q105" s="22">
        <f t="shared" si="107"/>
        <v>1.0676332069095257E-12</v>
      </c>
      <c r="R105" s="62">
        <f t="shared" si="55"/>
        <v>293.33333333333439</v>
      </c>
      <c r="S105" s="62">
        <f ca="1">AVERAGE(OFFSET($R$3,0,0,'Données projet'!$E$9+1,1))-AVERAGE(OFFSET($H$3,0,0,'Données projet'!$E$9+1,1))</f>
        <v>157.98488572680344</v>
      </c>
      <c r="T105" s="62">
        <f t="shared" si="88"/>
        <v>269.20989374735825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26.285454915188424</v>
      </c>
      <c r="AA105" s="23">
        <f>EXP(-LN(2)/25)*AA104+(1-EXP(-LN(2)/25))/(LN(2)/25)*Calculateur!V105*Calculateur!X105*VLOOKUP('Données projet'!$B$9,Paramètres!$A$1:$I$89,3,0)*0.475*44/12</f>
        <v>0.4541298665643857</v>
      </c>
      <c r="AB105" s="23">
        <f>EXP(-LN(2)/2)*AB104+(1-EXP(-LN(2)/2))/(LN(2)/2)*V105*Y105*VLOOKUP('Données projet'!$B$9,Paramètres!$A$1:$I$89,3,0)*0.475*44/12</f>
        <v>1.6029205852668959E-8</v>
      </c>
      <c r="AC105" s="24">
        <f t="shared" si="57"/>
        <v>26.739584797782015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8.5555555555555554</v>
      </c>
      <c r="AI105" s="14">
        <f>IF('Données projet'!$A$62&gt;35,AI104+AH105-AQ104,IF(A105&lt;'Données projet'!$A$62,$AF$205^A105,IF(A105='Données projet'!$A$62,'Données projet'!$B$62,AI104+AH105-AQ104)))</f>
        <v>331.33333333333371</v>
      </c>
      <c r="AJ105" s="14">
        <f>AI105*VLOOKUP('Données projet'!$B$10,Paramètres!$A$1:$I$89,3,0)*VLOOKUP('Données projet'!$B$10,Paramètres!$A$1:$I$89,5,0)</f>
        <v>155.06400000000016</v>
      </c>
      <c r="AK105" s="14">
        <f t="shared" si="89"/>
        <v>39.727164550120129</v>
      </c>
      <c r="AL105" s="22">
        <f t="shared" si="58"/>
        <v>339.2612782581262</v>
      </c>
      <c r="AM105" s="62">
        <f t="shared" si="59"/>
        <v>632.59461159145951</v>
      </c>
      <c r="AN105" s="62">
        <f ca="1">AVERAGE(OFFSET($AM$3,0,0,'Données projet'!$E$10+1,1))-AVERAGE(OFFSET($H$3,0,0,'Données projet'!$E$10+1,1))</f>
        <v>215.04236469150038</v>
      </c>
      <c r="AO105" s="62">
        <f t="shared" si="90"/>
        <v>160.72275701448416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2">
        <f t="shared" si="86"/>
        <v>17.570665168564602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70">
        <f t="shared" si="56"/>
        <v>431.21179183524987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5.6843418860808015E-14</v>
      </c>
      <c r="O106" s="14">
        <f>N106*VLOOKUP('Données projet'!$B$9,Paramètres!$A$1:$I$89,3,0)*VLOOKUP('Données projet'!$B$9,Paramètres!$A$1:$I$89,5,0)</f>
        <v>3.3992364478763198E-14</v>
      </c>
      <c r="P106" s="14">
        <f t="shared" si="87"/>
        <v>5.790027782444094E-13</v>
      </c>
      <c r="Q106" s="22">
        <f t="shared" si="107"/>
        <v>1.0676332069095257E-12</v>
      </c>
      <c r="R106" s="62">
        <f t="shared" si="55"/>
        <v>293.33333333333439</v>
      </c>
      <c r="S106" s="62">
        <f ca="1">AVERAGE(OFFSET($R$3,0,0,'Données projet'!$E$9+1,1))-AVERAGE(OFFSET($H$3,0,0,'Données projet'!$E$9+1,1))</f>
        <v>157.98488572680344</v>
      </c>
      <c r="T106" s="62">
        <f t="shared" si="88"/>
        <v>269.20989374735825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25.770013176845996</v>
      </c>
      <c r="AA106" s="23">
        <f>EXP(-LN(2)/25)*AA105+(1-EXP(-LN(2)/25))/(LN(2)/25)*Calculateur!V106*Calculateur!X106*VLOOKUP('Données projet'!$B$9,Paramètres!$A$1:$I$89,3,0)*0.475*44/12</f>
        <v>0.44171166148153079</v>
      </c>
      <c r="AB106" s="23">
        <f>EXP(-LN(2)/2)*AB105+(1-EXP(-LN(2)/2))/(LN(2)/2)*V106*Y106*VLOOKUP('Données projet'!$B$9,Paramètres!$A$1:$I$89,3,0)*0.475*44/12</f>
        <v>1.1334360155457316E-8</v>
      </c>
      <c r="AC106" s="24">
        <f t="shared" si="57"/>
        <v>26.211724849661888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8.5555555555555554</v>
      </c>
      <c r="AI106" s="14">
        <f>IF('Données projet'!$A$62&gt;35,AI105+AH106-AQ105,IF(A106&lt;'Données projet'!$A$62,$AF$205^A106,IF(A106='Données projet'!$A$62,'Données projet'!$B$62,AI105+AH106-AQ105)))</f>
        <v>339.88888888888926</v>
      </c>
      <c r="AJ106" s="14">
        <f>AI106*VLOOKUP('Données projet'!$B$10,Paramètres!$A$1:$I$89,3,0)*VLOOKUP('Données projet'!$B$10,Paramètres!$A$1:$I$89,5,0)</f>
        <v>159.06800000000018</v>
      </c>
      <c r="AK106" s="14">
        <f t="shared" si="89"/>
        <v>40.632228784106786</v>
      </c>
      <c r="AL106" s="22">
        <f t="shared" si="58"/>
        <v>347.81123179898628</v>
      </c>
      <c r="AM106" s="62">
        <f t="shared" si="59"/>
        <v>641.1445651323196</v>
      </c>
      <c r="AN106" s="62">
        <f ca="1">AVERAGE(OFFSET($AM$3,0,0,'Données projet'!$E$10+1,1))-AVERAGE(OFFSET($H$3,0,0,'Données projet'!$E$10+1,1))</f>
        <v>215.04236469150038</v>
      </c>
      <c r="AO106" s="62">
        <f t="shared" si="90"/>
        <v>160.72275701448416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2">
        <f t="shared" si="86"/>
        <v>17.721312728263729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70">
        <f t="shared" si="56"/>
        <v>432.51568633505917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5.6843418860808015E-14</v>
      </c>
      <c r="O107" s="14">
        <f>N107*VLOOKUP('Données projet'!$B$9,Paramètres!$A$1:$I$89,3,0)*VLOOKUP('Données projet'!$B$9,Paramètres!$A$1:$I$89,5,0)</f>
        <v>3.3992364478763198E-14</v>
      </c>
      <c r="P107" s="14">
        <f t="shared" si="87"/>
        <v>5.790027782444094E-13</v>
      </c>
      <c r="Q107" s="22">
        <f t="shared" si="107"/>
        <v>1.0676332069095257E-12</v>
      </c>
      <c r="R107" s="62">
        <f t="shared" si="55"/>
        <v>293.33333333333439</v>
      </c>
      <c r="S107" s="62">
        <f ca="1">AVERAGE(OFFSET($R$3,0,0,'Données projet'!$E$9+1,1))-AVERAGE(OFFSET($H$3,0,0,'Données projet'!$E$9+1,1))</f>
        <v>157.98488572680344</v>
      </c>
      <c r="T107" s="62">
        <f t="shared" si="88"/>
        <v>269.20989374735825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25.264678936604046</v>
      </c>
      <c r="AA107" s="23">
        <f>EXP(-LN(2)/25)*AA106+(1-EXP(-LN(2)/25))/(LN(2)/25)*Calculateur!V107*Calculateur!X107*VLOOKUP('Données projet'!$B$9,Paramètres!$A$1:$I$89,3,0)*0.475*44/12</f>
        <v>0.42963303286971161</v>
      </c>
      <c r="AB107" s="23">
        <f>EXP(-LN(2)/2)*AB106+(1-EXP(-LN(2)/2))/(LN(2)/2)*V107*Y107*VLOOKUP('Données projet'!$B$9,Paramètres!$A$1:$I$89,3,0)*0.475*44/12</f>
        <v>8.0146029263344794E-9</v>
      </c>
      <c r="AC107" s="24">
        <f t="shared" si="57"/>
        <v>25.694311977488361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8.5555555555555554</v>
      </c>
      <c r="AI107" s="14">
        <f>IF('Données projet'!$A$62&gt;35,AI106+AH107-AQ106,IF(A107&lt;'Données projet'!$A$62,$AF$205^A107,IF(A107='Données projet'!$A$62,'Données projet'!$B$62,AI106+AH107-AQ106)))</f>
        <v>348.4444444444448</v>
      </c>
      <c r="AJ107" s="14">
        <f>AI107*VLOOKUP('Données projet'!$B$10,Paramètres!$A$1:$I$89,3,0)*VLOOKUP('Données projet'!$B$10,Paramètres!$A$1:$I$89,5,0)</f>
        <v>163.07200000000017</v>
      </c>
      <c r="AK107" s="14">
        <f t="shared" si="89"/>
        <v>41.53464478614341</v>
      </c>
      <c r="AL107" s="22">
        <f t="shared" si="58"/>
        <v>356.35657300253342</v>
      </c>
      <c r="AM107" s="62">
        <f t="shared" si="59"/>
        <v>649.68990633586668</v>
      </c>
      <c r="AN107" s="62">
        <f ca="1">AVERAGE(OFFSET($AM$3,0,0,'Données projet'!$E$10+1,1))-AVERAGE(OFFSET($H$3,0,0,'Données projet'!$E$10+1,1))</f>
        <v>215.04236469150038</v>
      </c>
      <c r="AO107" s="62">
        <f t="shared" si="90"/>
        <v>160.72275701448416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2">
        <f t="shared" si="86"/>
        <v>17.871791770153557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70">
        <f t="shared" si="56"/>
        <v>433.81928733301731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5.6843418860808015E-14</v>
      </c>
      <c r="O108" s="14">
        <f>N108*VLOOKUP('Données projet'!$B$9,Paramètres!$A$1:$I$89,3,0)*VLOOKUP('Données projet'!$B$9,Paramètres!$A$1:$I$89,5,0)</f>
        <v>3.3992364478763198E-14</v>
      </c>
      <c r="P108" s="14">
        <f t="shared" si="87"/>
        <v>5.790027782444094E-13</v>
      </c>
      <c r="Q108" s="22">
        <f t="shared" si="107"/>
        <v>1.0676332069095257E-12</v>
      </c>
      <c r="R108" s="62">
        <f t="shared" si="55"/>
        <v>293.33333333333439</v>
      </c>
      <c r="S108" s="62">
        <f ca="1">AVERAGE(OFFSET($R$3,0,0,'Données projet'!$E$9+1,1))-AVERAGE(OFFSET($H$3,0,0,'Données projet'!$E$9+1,1))</f>
        <v>157.98488572680344</v>
      </c>
      <c r="T108" s="62">
        <f t="shared" si="88"/>
        <v>269.20989374735825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24.769253992589789</v>
      </c>
      <c r="AA108" s="23">
        <f>EXP(-LN(2)/25)*AA107+(1-EXP(-LN(2)/25))/(LN(2)/25)*Calculateur!V108*Calculateur!X108*VLOOKUP('Données projet'!$B$9,Paramètres!$A$1:$I$89,3,0)*0.475*44/12</f>
        <v>0.41788469499247011</v>
      </c>
      <c r="AB108" s="23">
        <f>EXP(-LN(2)/2)*AB107+(1-EXP(-LN(2)/2))/(LN(2)/2)*V108*Y108*VLOOKUP('Données projet'!$B$9,Paramètres!$A$1:$I$89,3,0)*0.475*44/12</f>
        <v>5.6671800777286582E-9</v>
      </c>
      <c r="AC108" s="24">
        <f t="shared" si="57"/>
        <v>25.187138693249437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>
        <f>VLOOKUP(A108,'Données projet'!$A$61:$I$81,2,0)</f>
        <v>357</v>
      </c>
      <c r="AG108" s="13">
        <f>VLOOKUP(A108,'Données projet'!$A$61:$I$81,9,0)</f>
        <v>8.5555555555555554</v>
      </c>
      <c r="AH108" s="13">
        <f t="array" ref="AH108">INDEX(AG:AG,MIN(IF(ISNUMBER(AG108:AG304),ROW(AG108:AG304),"")))</f>
        <v>8.5555555555555554</v>
      </c>
      <c r="AI108" s="14">
        <f>IF('Données projet'!$A$62&gt;35,AI107+AH108-AQ107,IF(A108&lt;'Données projet'!$A$62,$AF$205^A108,IF(A108='Données projet'!$A$62,'Données projet'!$B$62,AI107+AH108-AQ107)))</f>
        <v>357.00000000000034</v>
      </c>
      <c r="AJ108" s="14">
        <f>AI108*VLOOKUP('Données projet'!$B$10,Paramètres!$A$1:$I$89,3,0)*VLOOKUP('Données projet'!$B$10,Paramètres!$A$1:$I$89,5,0)</f>
        <v>167.07600000000016</v>
      </c>
      <c r="AK108" s="14">
        <f t="shared" si="89"/>
        <v>42.434485059621714</v>
      </c>
      <c r="AL108" s="22">
        <f t="shared" si="58"/>
        <v>364.89742814550806</v>
      </c>
      <c r="AM108" s="62">
        <f t="shared" si="59"/>
        <v>658.23076147884137</v>
      </c>
      <c r="AN108" s="62">
        <f ca="1">AVERAGE(OFFSET($AM$3,0,0,'Données projet'!$E$10+1,1))-AVERAGE(OFFSET($H$3,0,0,'Données projet'!$E$10+1,1))</f>
        <v>215.04236469150038</v>
      </c>
      <c r="AO108" s="62">
        <f t="shared" si="90"/>
        <v>160.72275701448416</v>
      </c>
      <c r="AP108" s="16">
        <f>IF(ISNA(VLOOKUP(A108,'Données projet'!$A$61:$I$81,3,0)),0,VLOOKUP(A108,'Données projet'!$A$61:$I$81,3,0))</f>
        <v>20</v>
      </c>
      <c r="AQ108" s="16">
        <f>IF(ISNA(VLOOKUP(A108,'Données projet'!$A$61:$I$81,4,0)),0,VLOOKUP(A108,'Données projet'!$A$61:$I$81,4,0))</f>
        <v>357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2">
        <f t="shared" si="86"/>
        <v>18.022104085041239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70">
        <f t="shared" si="56"/>
        <v>435.12259794811337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5.6843418860808015E-14</v>
      </c>
      <c r="O109" s="14">
        <f>N109*VLOOKUP('Données projet'!$B$9,Paramètres!$A$1:$I$89,3,0)*VLOOKUP('Données projet'!$B$9,Paramètres!$A$1:$I$89,5,0)</f>
        <v>3.3992364478763198E-14</v>
      </c>
      <c r="P109" s="14">
        <f t="shared" si="87"/>
        <v>5.790027782444094E-13</v>
      </c>
      <c r="Q109" s="22">
        <f t="shared" si="107"/>
        <v>1.0676332069095257E-12</v>
      </c>
      <c r="R109" s="62">
        <f t="shared" si="55"/>
        <v>293.33333333333439</v>
      </c>
      <c r="S109" s="62">
        <f ca="1">AVERAGE(OFFSET($R$3,0,0,'Données projet'!$E$9+1,1))-AVERAGE(OFFSET($H$3,0,0,'Données projet'!$E$9+1,1))</f>
        <v>157.98488572680344</v>
      </c>
      <c r="T109" s="62">
        <f t="shared" si="88"/>
        <v>269.20989374735825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24.283544029548271</v>
      </c>
      <c r="AA109" s="23">
        <f>EXP(-LN(2)/25)*AA108+(1-EXP(-LN(2)/25))/(LN(2)/25)*Calculateur!V109*Calculateur!X109*VLOOKUP('Données projet'!$B$9,Paramètres!$A$1:$I$89,3,0)*0.475*44/12</f>
        <v>0.40645761603230002</v>
      </c>
      <c r="AB109" s="23">
        <f>EXP(-LN(2)/2)*AB108+(1-EXP(-LN(2)/2))/(LN(2)/2)*V109*Y109*VLOOKUP('Données projet'!$B$9,Paramètres!$A$1:$I$89,3,0)*0.475*44/12</f>
        <v>4.0073014631672397E-9</v>
      </c>
      <c r="AC109" s="24">
        <f t="shared" si="57"/>
        <v>24.69000164958787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3.4106051316484809E-13</v>
      </c>
      <c r="AJ109" s="14">
        <f>AI109*VLOOKUP('Données projet'!$B$10,Paramètres!$A$1:$I$89,3,0)*VLOOKUP('Données projet'!$B$10,Paramètres!$A$1:$I$89,5,0)</f>
        <v>1.5961632016114892E-13</v>
      </c>
      <c r="AK109" s="14">
        <f t="shared" si="89"/>
        <v>2.2708641912150958E-12</v>
      </c>
      <c r="AL109" s="22">
        <f t="shared" si="58"/>
        <v>4.2330868906469593E-12</v>
      </c>
      <c r="AM109" s="62">
        <f t="shared" si="59"/>
        <v>293.33333333333752</v>
      </c>
      <c r="AN109" s="62">
        <f ca="1">AVERAGE(OFFSET($AM$3,0,0,'Données projet'!$E$10+1,1))-AVERAGE(OFFSET($H$3,0,0,'Données projet'!$E$10+1,1))</f>
        <v>215.04236469150038</v>
      </c>
      <c r="AO109" s="62">
        <f t="shared" si="90"/>
        <v>160.72275701448416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2">
        <f t="shared" si="86"/>
        <v>18.172251427996631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70">
        <f t="shared" si="56"/>
        <v>436.42562123709399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5.6843418860808015E-14</v>
      </c>
      <c r="O110" s="14">
        <f>N110*VLOOKUP('Données projet'!$B$9,Paramètres!$A$1:$I$89,3,0)*VLOOKUP('Données projet'!$B$9,Paramètres!$A$1:$I$89,5,0)</f>
        <v>3.3992364478763198E-14</v>
      </c>
      <c r="P110" s="14">
        <f t="shared" si="87"/>
        <v>5.790027782444094E-13</v>
      </c>
      <c r="Q110" s="22">
        <f t="shared" si="107"/>
        <v>1.0676332069095257E-12</v>
      </c>
      <c r="R110" s="62">
        <f t="shared" si="55"/>
        <v>293.33333333333439</v>
      </c>
      <c r="S110" s="62">
        <f ca="1">AVERAGE(OFFSET($R$3,0,0,'Données projet'!$E$9+1,1))-AVERAGE(OFFSET($H$3,0,0,'Données projet'!$E$9+1,1))</f>
        <v>157.98488572680344</v>
      </c>
      <c r="T110" s="62">
        <f t="shared" si="88"/>
        <v>269.20989374735825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23.807358542628172</v>
      </c>
      <c r="AA110" s="23">
        <f>EXP(-LN(2)/25)*AA109+(1-EXP(-LN(2)/25))/(LN(2)/25)*Calculateur!V110*Calculateur!X110*VLOOKUP('Données projet'!$B$9,Paramètres!$A$1:$I$89,3,0)*0.475*44/12</f>
        <v>0.3953430111472197</v>
      </c>
      <c r="AB110" s="23">
        <f>EXP(-LN(2)/2)*AB109+(1-EXP(-LN(2)/2))/(LN(2)/2)*V110*Y110*VLOOKUP('Données projet'!$B$9,Paramètres!$A$1:$I$89,3,0)*0.475*44/12</f>
        <v>2.8335900388643291E-9</v>
      </c>
      <c r="AC110" s="24">
        <f t="shared" si="57"/>
        <v>24.202701556608982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3.4106051316484809E-13</v>
      </c>
      <c r="AJ110" s="14">
        <f>AI110*VLOOKUP('Données projet'!$B$10,Paramètres!$A$1:$I$89,3,0)*VLOOKUP('Données projet'!$B$10,Paramètres!$A$1:$I$89,5,0)</f>
        <v>1.5961632016114892E-13</v>
      </c>
      <c r="AK110" s="14">
        <f t="shared" si="89"/>
        <v>2.2708641912150958E-12</v>
      </c>
      <c r="AL110" s="22">
        <f t="shared" si="58"/>
        <v>4.2330868906469593E-12</v>
      </c>
      <c r="AM110" s="62">
        <f t="shared" si="59"/>
        <v>293.33333333333752</v>
      </c>
      <c r="AN110" s="62">
        <f ca="1">AVERAGE(OFFSET($AM$3,0,0,'Données projet'!$E$10+1,1))-AVERAGE(OFFSET($H$3,0,0,'Données projet'!$E$10+1,1))</f>
        <v>215.04236469150038</v>
      </c>
      <c r="AO110" s="62">
        <f t="shared" si="90"/>
        <v>160.72275701448416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2">
        <f t="shared" si="86"/>
        <v>18.322235519392716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70">
        <f t="shared" si="56"/>
        <v>437.7283601962755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5.6843418860808015E-14</v>
      </c>
      <c r="O111" s="14">
        <f>N111*VLOOKUP('Données projet'!$B$9,Paramètres!$A$1:$I$89,3,0)*VLOOKUP('Données projet'!$B$9,Paramètres!$A$1:$I$89,5,0)</f>
        <v>3.3992364478763198E-14</v>
      </c>
      <c r="P111" s="14">
        <f t="shared" si="87"/>
        <v>5.790027782444094E-13</v>
      </c>
      <c r="Q111" s="22">
        <f t="shared" si="107"/>
        <v>1.0676332069095257E-12</v>
      </c>
      <c r="R111" s="62">
        <f t="shared" si="55"/>
        <v>293.33333333333439</v>
      </c>
      <c r="S111" s="62">
        <f ca="1">AVERAGE(OFFSET($R$3,0,0,'Données projet'!$E$9+1,1))-AVERAGE(OFFSET($H$3,0,0,'Données projet'!$E$9+1,1))</f>
        <v>157.98488572680344</v>
      </c>
      <c r="T111" s="62">
        <f t="shared" si="88"/>
        <v>269.20989374735825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23.34051076266211</v>
      </c>
      <c r="AA111" s="23">
        <f>EXP(-LN(2)/25)*AA110+(1-EXP(-LN(2)/25))/(LN(2)/25)*Calculateur!V111*Calculateur!X111*VLOOKUP('Données projet'!$B$9,Paramètres!$A$1:$I$89,3,0)*0.475*44/12</f>
        <v>0.38453233571721357</v>
      </c>
      <c r="AB111" s="23">
        <f>EXP(-LN(2)/2)*AB110+(1-EXP(-LN(2)/2))/(LN(2)/2)*V111*Y111*VLOOKUP('Données projet'!$B$9,Paramètres!$A$1:$I$89,3,0)*0.475*44/12</f>
        <v>2.0036507315836199E-9</v>
      </c>
      <c r="AC111" s="24">
        <f t="shared" si="57"/>
        <v>23.725043100382976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3.4106051316484809E-13</v>
      </c>
      <c r="AJ111" s="14">
        <f>AI111*VLOOKUP('Données projet'!$B$10,Paramètres!$A$1:$I$89,3,0)*VLOOKUP('Données projet'!$B$10,Paramètres!$A$1:$I$89,5,0)</f>
        <v>1.5961632016114892E-13</v>
      </c>
      <c r="AK111" s="14">
        <f t="shared" si="89"/>
        <v>2.2708641912150958E-12</v>
      </c>
      <c r="AL111" s="22">
        <f t="shared" si="58"/>
        <v>4.2330868906469593E-12</v>
      </c>
      <c r="AM111" s="62">
        <f t="shared" si="59"/>
        <v>293.33333333333752</v>
      </c>
      <c r="AN111" s="62">
        <f ca="1">AVERAGE(OFFSET($AM$3,0,0,'Données projet'!$E$10+1,1))-AVERAGE(OFFSET($H$3,0,0,'Données projet'!$E$10+1,1))</f>
        <v>215.04236469150038</v>
      </c>
      <c r="AO111" s="62">
        <f t="shared" si="90"/>
        <v>160.72275701448416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2">
        <f t="shared" si="86"/>
        <v>18.472058045906209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70">
        <f t="shared" si="56"/>
        <v>439.03081776328651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5.6843418860808015E-14</v>
      </c>
      <c r="O112" s="14">
        <f>N112*VLOOKUP('Données projet'!$B$9,Paramètres!$A$1:$I$89,3,0)*VLOOKUP('Données projet'!$B$9,Paramètres!$A$1:$I$89,5,0)</f>
        <v>3.3992364478763198E-14</v>
      </c>
      <c r="P112" s="14">
        <f t="shared" si="87"/>
        <v>5.790027782444094E-13</v>
      </c>
      <c r="Q112" s="22">
        <f t="shared" si="107"/>
        <v>1.0676332069095257E-12</v>
      </c>
      <c r="R112" s="62">
        <f t="shared" si="55"/>
        <v>293.33333333333439</v>
      </c>
      <c r="S112" s="62">
        <f ca="1">AVERAGE(OFFSET($R$3,0,0,'Données projet'!$E$9+1,1))-AVERAGE(OFFSET($H$3,0,0,'Données projet'!$E$9+1,1))</f>
        <v>157.98488572680344</v>
      </c>
      <c r="T112" s="62">
        <f t="shared" si="88"/>
        <v>269.20989374735825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22.882817582912153</v>
      </c>
      <c r="AA112" s="23">
        <f>EXP(-LN(2)/25)*AA111+(1-EXP(-LN(2)/25))/(LN(2)/25)*Calculateur!V112*Calculateur!X112*VLOOKUP('Données projet'!$B$9,Paramètres!$A$1:$I$89,3,0)*0.475*44/12</f>
        <v>0.37401727877534968</v>
      </c>
      <c r="AB112" s="23">
        <f>EXP(-LN(2)/2)*AB111+(1-EXP(-LN(2)/2))/(LN(2)/2)*V112*Y112*VLOOKUP('Données projet'!$B$9,Paramètres!$A$1:$I$89,3,0)*0.475*44/12</f>
        <v>1.4167950194321646E-9</v>
      </c>
      <c r="AC112" s="24">
        <f t="shared" si="57"/>
        <v>23.256834863104295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3.4106051316484809E-13</v>
      </c>
      <c r="AJ112" s="14">
        <f>AI112*VLOOKUP('Données projet'!$B$10,Paramètres!$A$1:$I$89,3,0)*VLOOKUP('Données projet'!$B$10,Paramètres!$A$1:$I$89,5,0)</f>
        <v>1.5961632016114892E-13</v>
      </c>
      <c r="AK112" s="14">
        <f t="shared" si="89"/>
        <v>2.2708641912150958E-12</v>
      </c>
      <c r="AL112" s="22">
        <f t="shared" si="58"/>
        <v>4.2330868906469593E-12</v>
      </c>
      <c r="AM112" s="62">
        <f t="shared" si="59"/>
        <v>293.33333333333752</v>
      </c>
      <c r="AN112" s="62">
        <f ca="1">AVERAGE(OFFSET($AM$3,0,0,'Données projet'!$E$10+1,1))-AVERAGE(OFFSET($H$3,0,0,'Données projet'!$E$10+1,1))</f>
        <v>215.04236469150038</v>
      </c>
      <c r="AO112" s="62">
        <f t="shared" si="90"/>
        <v>160.72275701448416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2">
        <f t="shared" si="86"/>
        <v>18.621720661480627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70">
        <f t="shared" si="56"/>
        <v>440.3329968187453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5.6843418860808015E-14</v>
      </c>
      <c r="O113" s="14">
        <f>N113*VLOOKUP('Données projet'!$B$9,Paramètres!$A$1:$I$89,3,0)*VLOOKUP('Données projet'!$B$9,Paramètres!$A$1:$I$89,5,0)</f>
        <v>3.3992364478763198E-14</v>
      </c>
      <c r="P113" s="14">
        <f t="shared" si="87"/>
        <v>5.790027782444094E-13</v>
      </c>
      <c r="Q113" s="22">
        <f t="shared" si="107"/>
        <v>1.0676332069095257E-12</v>
      </c>
      <c r="R113" s="62">
        <f t="shared" si="55"/>
        <v>293.33333333333439</v>
      </c>
      <c r="S113" s="62">
        <f ca="1">AVERAGE(OFFSET($R$3,0,0,'Données projet'!$E$9+1,1))-AVERAGE(OFFSET($H$3,0,0,'Données projet'!$E$9+1,1))</f>
        <v>157.98488572680344</v>
      </c>
      <c r="T113" s="62">
        <f t="shared" si="88"/>
        <v>269.20989374735825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22.434099487251817</v>
      </c>
      <c r="AA113" s="23">
        <f>EXP(-LN(2)/25)*AA112+(1-EXP(-LN(2)/25))/(LN(2)/25)*Calculateur!V113*Calculateur!X113*VLOOKUP('Données projet'!$B$9,Paramètres!$A$1:$I$89,3,0)*0.475*44/12</f>
        <v>0.36378975661852386</v>
      </c>
      <c r="AB113" s="23">
        <f>EXP(-LN(2)/2)*AB112+(1-EXP(-LN(2)/2))/(LN(2)/2)*V113*Y113*VLOOKUP('Données projet'!$B$9,Paramètres!$A$1:$I$89,3,0)*0.475*44/12</f>
        <v>1.0018253657918099E-9</v>
      </c>
      <c r="AC113" s="24">
        <f t="shared" si="57"/>
        <v>22.797889244872167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3.4106051316484809E-13</v>
      </c>
      <c r="AJ113" s="14">
        <f>AI113*VLOOKUP('Données projet'!$B$10,Paramètres!$A$1:$I$89,3,0)*VLOOKUP('Données projet'!$B$10,Paramètres!$A$1:$I$89,5,0)</f>
        <v>1.5961632016114892E-13</v>
      </c>
      <c r="AK113" s="14">
        <f t="shared" si="89"/>
        <v>2.2708641912150958E-12</v>
      </c>
      <c r="AL113" s="22">
        <f t="shared" si="58"/>
        <v>4.2330868906469593E-12</v>
      </c>
      <c r="AM113" s="62">
        <f t="shared" si="59"/>
        <v>293.33333333333752</v>
      </c>
      <c r="AN113" s="62">
        <f ca="1">AVERAGE(OFFSET($AM$3,0,0,'Données projet'!$E$10+1,1))-AVERAGE(OFFSET($H$3,0,0,'Données projet'!$E$10+1,1))</f>
        <v>215.04236469150038</v>
      </c>
      <c r="AO113" s="62">
        <f t="shared" si="90"/>
        <v>160.72275701448416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2">
        <f t="shared" si="86"/>
        <v>18.771224988253078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70">
        <f t="shared" si="56"/>
        <v>441.634900187874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5.6843418860808015E-14</v>
      </c>
      <c r="O114" s="14">
        <f>N114*VLOOKUP('Données projet'!$B$9,Paramètres!$A$1:$I$89,3,0)*VLOOKUP('Données projet'!$B$9,Paramètres!$A$1:$I$89,5,0)</f>
        <v>3.3992364478763198E-14</v>
      </c>
      <c r="P114" s="14">
        <f t="shared" si="87"/>
        <v>5.790027782444094E-13</v>
      </c>
      <c r="Q114" s="22">
        <f t="shared" si="107"/>
        <v>1.0676332069095257E-12</v>
      </c>
      <c r="R114" s="62">
        <f t="shared" si="55"/>
        <v>293.33333333333439</v>
      </c>
      <c r="S114" s="62">
        <f ca="1">AVERAGE(OFFSET($R$3,0,0,'Données projet'!$E$9+1,1))-AVERAGE(OFFSET($H$3,0,0,'Données projet'!$E$9+1,1))</f>
        <v>157.98488572680344</v>
      </c>
      <c r="T114" s="62">
        <f t="shared" si="88"/>
        <v>269.20989374735825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21.994180479756366</v>
      </c>
      <c r="AA114" s="23">
        <f>EXP(-LN(2)/25)*AA113+(1-EXP(-LN(2)/25))/(LN(2)/25)*Calculateur!V114*Calculateur!X114*VLOOKUP('Données projet'!$B$9,Paramètres!$A$1:$I$89,3,0)*0.475*44/12</f>
        <v>0.35384190659291848</v>
      </c>
      <c r="AB114" s="23">
        <f>EXP(-LN(2)/2)*AB113+(1-EXP(-LN(2)/2))/(LN(2)/2)*V114*Y114*VLOOKUP('Données projet'!$B$9,Paramètres!$A$1:$I$89,3,0)*0.475*44/12</f>
        <v>7.0839750971608228E-10</v>
      </c>
      <c r="AC114" s="24">
        <f t="shared" si="57"/>
        <v>22.348022387057682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3.4106051316484809E-13</v>
      </c>
      <c r="AJ114" s="14">
        <f>AI114*VLOOKUP('Données projet'!$B$10,Paramètres!$A$1:$I$89,3,0)*VLOOKUP('Données projet'!$B$10,Paramètres!$A$1:$I$89,5,0)</f>
        <v>1.5961632016114892E-13</v>
      </c>
      <c r="AK114" s="14">
        <f t="shared" si="89"/>
        <v>2.2708641912150958E-12</v>
      </c>
      <c r="AL114" s="22">
        <f t="shared" si="58"/>
        <v>4.2330868906469593E-12</v>
      </c>
      <c r="AM114" s="62">
        <f t="shared" si="59"/>
        <v>293.33333333333752</v>
      </c>
      <c r="AN114" s="62">
        <f ca="1">AVERAGE(OFFSET($AM$3,0,0,'Données projet'!$E$10+1,1))-AVERAGE(OFFSET($H$3,0,0,'Données projet'!$E$10+1,1))</f>
        <v>215.04236469150038</v>
      </c>
      <c r="AO114" s="62">
        <f t="shared" si="90"/>
        <v>160.72275701448416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2">
        <f t="shared" si="86"/>
        <v>18.92057261744694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70">
        <f t="shared" si="56"/>
        <v>442.9365306420533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5.6843418860808015E-14</v>
      </c>
      <c r="O115" s="14">
        <f>N115*VLOOKUP('Données projet'!$B$9,Paramètres!$A$1:$I$89,3,0)*VLOOKUP('Données projet'!$B$9,Paramètres!$A$1:$I$89,5,0)</f>
        <v>3.3992364478763198E-14</v>
      </c>
      <c r="P115" s="14">
        <f t="shared" si="87"/>
        <v>5.790027782444094E-13</v>
      </c>
      <c r="Q115" s="22">
        <f t="shared" si="107"/>
        <v>1.0676332069095257E-12</v>
      </c>
      <c r="R115" s="62">
        <f t="shared" si="55"/>
        <v>293.33333333333439</v>
      </c>
      <c r="S115" s="62">
        <f ca="1">AVERAGE(OFFSET($R$3,0,0,'Données projet'!$E$9+1,1))-AVERAGE(OFFSET($H$3,0,0,'Données projet'!$E$9+1,1))</f>
        <v>157.98488572680344</v>
      </c>
      <c r="T115" s="62">
        <f t="shared" si="88"/>
        <v>269.20989374735825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21.562888015673803</v>
      </c>
      <c r="AA115" s="23">
        <f>EXP(-LN(2)/25)*AA114+(1-EXP(-LN(2)/25))/(LN(2)/25)*Calculateur!V115*Calculateur!X115*VLOOKUP('Données projet'!$B$9,Paramètres!$A$1:$I$89,3,0)*0.475*44/12</f>
        <v>0.34416608104939794</v>
      </c>
      <c r="AB115" s="23">
        <f>EXP(-LN(2)/2)*AB114+(1-EXP(-LN(2)/2))/(LN(2)/2)*V115*Y115*VLOOKUP('Données projet'!$B$9,Paramètres!$A$1:$I$89,3,0)*0.475*44/12</f>
        <v>5.0091268289590496E-10</v>
      </c>
      <c r="AC115" s="24">
        <f t="shared" si="57"/>
        <v>21.907054097224112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3.4106051316484809E-13</v>
      </c>
      <c r="AJ115" s="14">
        <f>AI115*VLOOKUP('Données projet'!$B$10,Paramètres!$A$1:$I$89,3,0)*VLOOKUP('Données projet'!$B$10,Paramètres!$A$1:$I$89,5,0)</f>
        <v>1.5961632016114892E-13</v>
      </c>
      <c r="AK115" s="14">
        <f t="shared" si="89"/>
        <v>2.2708641912150958E-12</v>
      </c>
      <c r="AL115" s="22">
        <f t="shared" si="58"/>
        <v>4.2330868906469593E-12</v>
      </c>
      <c r="AM115" s="62">
        <f t="shared" si="59"/>
        <v>293.33333333333752</v>
      </c>
      <c r="AN115" s="62">
        <f ca="1">AVERAGE(OFFSET($AM$3,0,0,'Données projet'!$E$10+1,1))-AVERAGE(OFFSET($H$3,0,0,'Données projet'!$E$10+1,1))</f>
        <v>215.04236469150038</v>
      </c>
      <c r="AO115" s="62">
        <f t="shared" si="90"/>
        <v>160.72275701448416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2">
        <f t="shared" si="86"/>
        <v>19.069765110231589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70">
        <f t="shared" si="56"/>
        <v>444.23789090031983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5.6843418860808015E-14</v>
      </c>
      <c r="O116" s="14">
        <f>N116*VLOOKUP('Données projet'!$B$9,Paramètres!$A$1:$I$89,3,0)*VLOOKUP('Données projet'!$B$9,Paramètres!$A$1:$I$89,5,0)</f>
        <v>3.3992364478763198E-14</v>
      </c>
      <c r="P116" s="14">
        <f t="shared" si="87"/>
        <v>5.790027782444094E-13</v>
      </c>
      <c r="Q116" s="22">
        <f t="shared" si="107"/>
        <v>1.0676332069095257E-12</v>
      </c>
      <c r="R116" s="62">
        <f t="shared" si="55"/>
        <v>293.33333333333439</v>
      </c>
      <c r="S116" s="62">
        <f ca="1">AVERAGE(OFFSET($R$3,0,0,'Données projet'!$E$9+1,1))-AVERAGE(OFFSET($H$3,0,0,'Données projet'!$E$9+1,1))</f>
        <v>157.98488572680344</v>
      </c>
      <c r="T116" s="62">
        <f t="shared" si="88"/>
        <v>269.20989374735825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21.14005293374947</v>
      </c>
      <c r="AA116" s="23">
        <f>EXP(-LN(2)/25)*AA115+(1-EXP(-LN(2)/25))/(LN(2)/25)*Calculateur!V116*Calculateur!X116*VLOOKUP('Données projet'!$B$9,Paramètres!$A$1:$I$89,3,0)*0.475*44/12</f>
        <v>0.33475484146419454</v>
      </c>
      <c r="AB116" s="23">
        <f>EXP(-LN(2)/2)*AB115+(1-EXP(-LN(2)/2))/(LN(2)/2)*V116*Y116*VLOOKUP('Données projet'!$B$9,Paramètres!$A$1:$I$89,3,0)*0.475*44/12</f>
        <v>3.5419875485804114E-10</v>
      </c>
      <c r="AC116" s="24">
        <f t="shared" si="57"/>
        <v>21.474807775567861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3.4106051316484809E-13</v>
      </c>
      <c r="AJ116" s="14">
        <f>AI116*VLOOKUP('Données projet'!$B$10,Paramètres!$A$1:$I$89,3,0)*VLOOKUP('Données projet'!$B$10,Paramètres!$A$1:$I$89,5,0)</f>
        <v>1.5961632016114892E-13</v>
      </c>
      <c r="AK116" s="14">
        <f t="shared" si="89"/>
        <v>2.2708641912150958E-12</v>
      </c>
      <c r="AL116" s="22">
        <f t="shared" si="58"/>
        <v>4.2330868906469593E-12</v>
      </c>
      <c r="AM116" s="62">
        <f t="shared" si="59"/>
        <v>293.33333333333752</v>
      </c>
      <c r="AN116" s="62">
        <f ca="1">AVERAGE(OFFSET($AM$3,0,0,'Données projet'!$E$10+1,1))-AVERAGE(OFFSET($H$3,0,0,'Données projet'!$E$10+1,1))</f>
        <v>215.04236469150038</v>
      </c>
      <c r="AO116" s="62">
        <f t="shared" si="90"/>
        <v>160.72275701448416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2">
        <f t="shared" si="86"/>
        <v>19.218803998550822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70">
        <f t="shared" si="56"/>
        <v>445.53898363080918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5.6843418860808015E-14</v>
      </c>
      <c r="O117" s="14">
        <f>N117*VLOOKUP('Données projet'!$B$9,Paramètres!$A$1:$I$89,3,0)*VLOOKUP('Données projet'!$B$9,Paramètres!$A$1:$I$89,5,0)</f>
        <v>3.3992364478763198E-14</v>
      </c>
      <c r="P117" s="14">
        <f t="shared" si="87"/>
        <v>5.790027782444094E-13</v>
      </c>
      <c r="Q117" s="22">
        <f t="shared" si="107"/>
        <v>1.0676332069095257E-12</v>
      </c>
      <c r="R117" s="62">
        <f t="shared" si="55"/>
        <v>293.33333333333439</v>
      </c>
      <c r="S117" s="62">
        <f ca="1">AVERAGE(OFFSET($R$3,0,0,'Données projet'!$E$9+1,1))-AVERAGE(OFFSET($H$3,0,0,'Données projet'!$E$9+1,1))</f>
        <v>157.98488572680344</v>
      </c>
      <c r="T117" s="62">
        <f t="shared" si="88"/>
        <v>269.20989374735825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20.72550938987774</v>
      </c>
      <c r="AA117" s="23">
        <f>EXP(-LN(2)/25)*AA116+(1-EXP(-LN(2)/25))/(LN(2)/25)*Calculateur!V117*Calculateur!X117*VLOOKUP('Données projet'!$B$9,Paramètres!$A$1:$I$89,3,0)*0.475*44/12</f>
        <v>0.3256009527203641</v>
      </c>
      <c r="AB117" s="23">
        <f>EXP(-LN(2)/2)*AB116+(1-EXP(-LN(2)/2))/(LN(2)/2)*V117*Y117*VLOOKUP('Données projet'!$B$9,Paramètres!$A$1:$I$89,3,0)*0.475*44/12</f>
        <v>2.5045634144795248E-10</v>
      </c>
      <c r="AC117" s="24">
        <f t="shared" si="57"/>
        <v>21.05111034284856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3.4106051316484809E-13</v>
      </c>
      <c r="AJ117" s="14">
        <f>AI117*VLOOKUP('Données projet'!$B$10,Paramètres!$A$1:$I$89,3,0)*VLOOKUP('Données projet'!$B$10,Paramètres!$A$1:$I$89,5,0)</f>
        <v>1.5961632016114892E-13</v>
      </c>
      <c r="AK117" s="14">
        <f t="shared" si="89"/>
        <v>2.2708641912150958E-12</v>
      </c>
      <c r="AL117" s="22">
        <f t="shared" si="58"/>
        <v>4.2330868906469593E-12</v>
      </c>
      <c r="AM117" s="62">
        <f t="shared" si="59"/>
        <v>293.33333333333752</v>
      </c>
      <c r="AN117" s="62">
        <f ca="1">AVERAGE(OFFSET($AM$3,0,0,'Données projet'!$E$10+1,1))-AVERAGE(OFFSET($H$3,0,0,'Données projet'!$E$10+1,1))</f>
        <v>215.04236469150038</v>
      </c>
      <c r="AO117" s="62">
        <f t="shared" si="90"/>
        <v>160.72275701448416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2">
        <f t="shared" si="86"/>
        <v>19.367690785921507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70">
        <f t="shared" si="56"/>
        <v>446.83981145214648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5.6843418860808015E-14</v>
      </c>
      <c r="O118" s="14">
        <f>N118*VLOOKUP('Données projet'!$B$9,Paramètres!$A$1:$I$89,3,0)*VLOOKUP('Données projet'!$B$9,Paramètres!$A$1:$I$89,5,0)</f>
        <v>3.3992364478763198E-14</v>
      </c>
      <c r="P118" s="14">
        <f t="shared" si="87"/>
        <v>5.790027782444094E-13</v>
      </c>
      <c r="Q118" s="22">
        <f t="shared" si="107"/>
        <v>1.0676332069095257E-12</v>
      </c>
      <c r="R118" s="62">
        <f t="shared" si="55"/>
        <v>293.33333333333439</v>
      </c>
      <c r="S118" s="62">
        <f ca="1">AVERAGE(OFFSET($R$3,0,0,'Données projet'!$E$9+1,1))-AVERAGE(OFFSET($H$3,0,0,'Données projet'!$E$9+1,1))</f>
        <v>157.98488572680344</v>
      </c>
      <c r="T118" s="62">
        <f t="shared" si="88"/>
        <v>269.20989374735825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20.319094792054738</v>
      </c>
      <c r="AA118" s="23">
        <f>EXP(-LN(2)/25)*AA117+(1-EXP(-LN(2)/25))/(LN(2)/25)*Calculateur!V118*Calculateur!X118*VLOOKUP('Données projet'!$B$9,Paramètres!$A$1:$I$89,3,0)*0.475*44/12</f>
        <v>0.31669737754561583</v>
      </c>
      <c r="AB118" s="23">
        <f>EXP(-LN(2)/2)*AB117+(1-EXP(-LN(2)/2))/(LN(2)/2)*V118*Y118*VLOOKUP('Données projet'!$B$9,Paramètres!$A$1:$I$89,3,0)*0.475*44/12</f>
        <v>1.7709937742902057E-10</v>
      </c>
      <c r="AC118" s="24">
        <f t="shared" si="57"/>
        <v>20.635792169777453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3.4106051316484809E-13</v>
      </c>
      <c r="AJ118" s="14">
        <f>AI118*VLOOKUP('Données projet'!$B$10,Paramètres!$A$1:$I$89,3,0)*VLOOKUP('Données projet'!$B$10,Paramètres!$A$1:$I$89,5,0)</f>
        <v>1.5961632016114892E-13</v>
      </c>
      <c r="AK118" s="14">
        <f t="shared" si="89"/>
        <v>2.2708641912150958E-12</v>
      </c>
      <c r="AL118" s="22">
        <f t="shared" si="58"/>
        <v>4.2330868906469593E-12</v>
      </c>
      <c r="AM118" s="62">
        <f t="shared" si="59"/>
        <v>293.33333333333752</v>
      </c>
      <c r="AN118" s="62">
        <f ca="1">AVERAGE(OFFSET($AM$3,0,0,'Données projet'!$E$10+1,1))-AVERAGE(OFFSET($H$3,0,0,'Données projet'!$E$10+1,1))</f>
        <v>215.04236469150038</v>
      </c>
      <c r="AO118" s="62">
        <f t="shared" si="90"/>
        <v>160.72275701448416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2">
        <f t="shared" si="86"/>
        <v>19.516426948203513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70">
        <f t="shared" si="56"/>
        <v>448.14037693478764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5.6843418860808015E-14</v>
      </c>
      <c r="O119" s="14">
        <f>N119*VLOOKUP('Données projet'!$B$9,Paramètres!$A$1:$I$89,3,0)*VLOOKUP('Données projet'!$B$9,Paramètres!$A$1:$I$89,5,0)</f>
        <v>3.3992364478763198E-14</v>
      </c>
      <c r="P119" s="14">
        <f t="shared" si="87"/>
        <v>5.790027782444094E-13</v>
      </c>
      <c r="Q119" s="22">
        <f t="shared" si="107"/>
        <v>1.0676332069095257E-12</v>
      </c>
      <c r="R119" s="62">
        <f t="shared" si="55"/>
        <v>293.33333333333439</v>
      </c>
      <c r="S119" s="62">
        <f ca="1">AVERAGE(OFFSET($R$3,0,0,'Données projet'!$E$9+1,1))-AVERAGE(OFFSET($H$3,0,0,'Données projet'!$E$9+1,1))</f>
        <v>157.98488572680344</v>
      </c>
      <c r="T119" s="62">
        <f t="shared" si="88"/>
        <v>269.20989374735825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19.92064973660662</v>
      </c>
      <c r="AA119" s="23">
        <f>EXP(-LN(2)/25)*AA118+(1-EXP(-LN(2)/25))/(LN(2)/25)*Calculateur!V119*Calculateur!X119*VLOOKUP('Données projet'!$B$9,Paramètres!$A$1:$I$89,3,0)*0.475*44/12</f>
        <v>0.30803727110223972</v>
      </c>
      <c r="AB119" s="23">
        <f>EXP(-LN(2)/2)*AB118+(1-EXP(-LN(2)/2))/(LN(2)/2)*V119*Y119*VLOOKUP('Données projet'!$B$9,Paramètres!$A$1:$I$89,3,0)*0.475*44/12</f>
        <v>1.2522817072397624E-10</v>
      </c>
      <c r="AC119" s="24">
        <f t="shared" si="57"/>
        <v>20.22868700783409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3.4106051316484809E-13</v>
      </c>
      <c r="AJ119" s="14">
        <f>AI119*VLOOKUP('Données projet'!$B$10,Paramètres!$A$1:$I$89,3,0)*VLOOKUP('Données projet'!$B$10,Paramètres!$A$1:$I$89,5,0)</f>
        <v>1.5961632016114892E-13</v>
      </c>
      <c r="AK119" s="14">
        <f t="shared" si="89"/>
        <v>2.2708641912150958E-12</v>
      </c>
      <c r="AL119" s="22">
        <f t="shared" si="58"/>
        <v>4.2330868906469593E-12</v>
      </c>
      <c r="AM119" s="62">
        <f t="shared" si="59"/>
        <v>293.33333333333752</v>
      </c>
      <c r="AN119" s="62">
        <f ca="1">AVERAGE(OFFSET($AM$3,0,0,'Données projet'!$E$10+1,1))-AVERAGE(OFFSET($H$3,0,0,'Données projet'!$E$10+1,1))</f>
        <v>215.04236469150038</v>
      </c>
      <c r="AO119" s="62">
        <f t="shared" si="90"/>
        <v>160.72275701448416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2">
        <f t="shared" si="86"/>
        <v>19.665013934342443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70">
        <f t="shared" si="56"/>
        <v>449.4406826023129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5.6843418860808015E-14</v>
      </c>
      <c r="O120" s="14">
        <f>N120*VLOOKUP('Données projet'!$B$9,Paramètres!$A$1:$I$89,3,0)*VLOOKUP('Données projet'!$B$9,Paramètres!$A$1:$I$89,5,0)</f>
        <v>3.3992364478763198E-14</v>
      </c>
      <c r="P120" s="14">
        <f t="shared" si="87"/>
        <v>5.790027782444094E-13</v>
      </c>
      <c r="Q120" s="22">
        <f t="shared" si="107"/>
        <v>1.0676332069095257E-12</v>
      </c>
      <c r="R120" s="62">
        <f t="shared" si="55"/>
        <v>293.33333333333439</v>
      </c>
      <c r="S120" s="62">
        <f ca="1">AVERAGE(OFFSET($R$3,0,0,'Données projet'!$E$9+1,1))-AVERAGE(OFFSET($H$3,0,0,'Données projet'!$E$9+1,1))</f>
        <v>157.98488572680344</v>
      </c>
      <c r="T120" s="62">
        <f t="shared" si="88"/>
        <v>269.20989374735825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19.530017945668352</v>
      </c>
      <c r="AA120" s="23">
        <f>EXP(-LN(2)/25)*AA119+(1-EXP(-LN(2)/25))/(LN(2)/25)*Calculateur!V120*Calculateur!X120*VLOOKUP('Données projet'!$B$9,Paramètres!$A$1:$I$89,3,0)*0.475*44/12</f>
        <v>0.29961397572497289</v>
      </c>
      <c r="AB120" s="23">
        <f>EXP(-LN(2)/2)*AB119+(1-EXP(-LN(2)/2))/(LN(2)/2)*V120*Y120*VLOOKUP('Données projet'!$B$9,Paramètres!$A$1:$I$89,3,0)*0.475*44/12</f>
        <v>8.8549688714510285E-11</v>
      </c>
      <c r="AC120" s="24">
        <f t="shared" si="57"/>
        <v>19.829631921481877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3.4106051316484809E-13</v>
      </c>
      <c r="AJ120" s="14">
        <f>AI120*VLOOKUP('Données projet'!$B$10,Paramètres!$A$1:$I$89,3,0)*VLOOKUP('Données projet'!$B$10,Paramètres!$A$1:$I$89,5,0)</f>
        <v>1.5961632016114892E-13</v>
      </c>
      <c r="AK120" s="14">
        <f t="shared" si="89"/>
        <v>2.2708641912150958E-12</v>
      </c>
      <c r="AL120" s="22">
        <f t="shared" si="58"/>
        <v>4.2330868906469593E-12</v>
      </c>
      <c r="AM120" s="62">
        <f t="shared" si="59"/>
        <v>293.33333333333752</v>
      </c>
      <c r="AN120" s="62">
        <f ca="1">AVERAGE(OFFSET($AM$3,0,0,'Données projet'!$E$10+1,1))-AVERAGE(OFFSET($H$3,0,0,'Données projet'!$E$10+1,1))</f>
        <v>215.04236469150038</v>
      </c>
      <c r="AO120" s="62">
        <f t="shared" si="90"/>
        <v>160.72275701448416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2">
        <f t="shared" si="86"/>
        <v>19.813453167086145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70">
        <f t="shared" si="56"/>
        <v>450.74073093267486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5.6843418860808015E-14</v>
      </c>
      <c r="O121" s="14">
        <f>N121*VLOOKUP('Données projet'!$B$9,Paramètres!$A$1:$I$89,3,0)*VLOOKUP('Données projet'!$B$9,Paramètres!$A$1:$I$89,5,0)</f>
        <v>3.3992364478763198E-14</v>
      </c>
      <c r="P121" s="14">
        <f t="shared" si="87"/>
        <v>5.790027782444094E-13</v>
      </c>
      <c r="Q121" s="22">
        <f t="shared" si="107"/>
        <v>1.0676332069095257E-12</v>
      </c>
      <c r="R121" s="62">
        <f t="shared" si="55"/>
        <v>293.33333333333439</v>
      </c>
      <c r="S121" s="62">
        <f ca="1">AVERAGE(OFFSET($R$3,0,0,'Données projet'!$E$9+1,1))-AVERAGE(OFFSET($H$3,0,0,'Données projet'!$E$9+1,1))</f>
        <v>157.98488572680344</v>
      </c>
      <c r="T121" s="62">
        <f t="shared" si="88"/>
        <v>269.20989374735825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19.147046205888515</v>
      </c>
      <c r="AA121" s="23">
        <f>EXP(-LN(2)/25)*AA120+(1-EXP(-LN(2)/25))/(LN(2)/25)*Calculateur!V121*Calculateur!X121*VLOOKUP('Données projet'!$B$9,Paramètres!$A$1:$I$89,3,0)*0.475*44/12</f>
        <v>0.29142101580275931</v>
      </c>
      <c r="AB121" s="23">
        <f>EXP(-LN(2)/2)*AB120+(1-EXP(-LN(2)/2))/(LN(2)/2)*V121*Y121*VLOOKUP('Données projet'!$B$9,Paramètres!$A$1:$I$89,3,0)*0.475*44/12</f>
        <v>6.2614085361988121E-11</v>
      </c>
      <c r="AC121" s="24">
        <f t="shared" si="57"/>
        <v>19.438467221753886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3.4106051316484809E-13</v>
      </c>
      <c r="AJ121" s="14">
        <f>AI121*VLOOKUP('Données projet'!$B$10,Paramètres!$A$1:$I$89,3,0)*VLOOKUP('Données projet'!$B$10,Paramètres!$A$1:$I$89,5,0)</f>
        <v>1.5961632016114892E-13</v>
      </c>
      <c r="AK121" s="14">
        <f t="shared" si="89"/>
        <v>2.2708641912150958E-12</v>
      </c>
      <c r="AL121" s="22">
        <f t="shared" si="58"/>
        <v>4.2330868906469593E-12</v>
      </c>
      <c r="AM121" s="62">
        <f t="shared" si="59"/>
        <v>293.33333333333752</v>
      </c>
      <c r="AN121" s="62">
        <f ca="1">AVERAGE(OFFSET($AM$3,0,0,'Données projet'!$E$10+1,1))-AVERAGE(OFFSET($H$3,0,0,'Données projet'!$E$10+1,1))</f>
        <v>215.04236469150038</v>
      </c>
      <c r="AO121" s="62">
        <f t="shared" si="90"/>
        <v>160.72275701448416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2">
        <f t="shared" si="86"/>
        <v>19.961746043676328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70">
        <f t="shared" si="56"/>
        <v>452.04052435940275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5.6843418860808015E-14</v>
      </c>
      <c r="O122" s="14">
        <f>N122*VLOOKUP('Données projet'!$B$9,Paramètres!$A$1:$I$89,3,0)*VLOOKUP('Données projet'!$B$9,Paramètres!$A$1:$I$89,5,0)</f>
        <v>3.3992364478763198E-14</v>
      </c>
      <c r="P122" s="14">
        <f t="shared" si="87"/>
        <v>5.790027782444094E-13</v>
      </c>
      <c r="Q122" s="22">
        <f t="shared" si="107"/>
        <v>1.0676332069095257E-12</v>
      </c>
      <c r="R122" s="62">
        <f t="shared" si="55"/>
        <v>293.33333333333439</v>
      </c>
      <c r="S122" s="62">
        <f ca="1">AVERAGE(OFFSET($R$3,0,0,'Données projet'!$E$9+1,1))-AVERAGE(OFFSET($H$3,0,0,'Données projet'!$E$9+1,1))</f>
        <v>157.98488572680344</v>
      </c>
      <c r="T122" s="62">
        <f t="shared" si="88"/>
        <v>269.20989374735825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18.771584308336067</v>
      </c>
      <c r="AA122" s="23">
        <f>EXP(-LN(2)/25)*AA121+(1-EXP(-LN(2)/25))/(LN(2)/25)*Calculateur!V122*Calculateur!X122*VLOOKUP('Données projet'!$B$9,Paramètres!$A$1:$I$89,3,0)*0.475*44/12</f>
        <v>0.28345209280046768</v>
      </c>
      <c r="AB122" s="23">
        <f>EXP(-LN(2)/2)*AB121+(1-EXP(-LN(2)/2))/(LN(2)/2)*V122*Y122*VLOOKUP('Données projet'!$B$9,Paramètres!$A$1:$I$89,3,0)*0.475*44/12</f>
        <v>4.4274844357255142E-11</v>
      </c>
      <c r="AC122" s="24">
        <f t="shared" si="57"/>
        <v>19.055036401180807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3.4106051316484809E-13</v>
      </c>
      <c r="AJ122" s="14">
        <f>AI122*VLOOKUP('Données projet'!$B$10,Paramètres!$A$1:$I$89,3,0)*VLOOKUP('Données projet'!$B$10,Paramètres!$A$1:$I$89,5,0)</f>
        <v>1.5961632016114892E-13</v>
      </c>
      <c r="AK122" s="14">
        <f t="shared" si="89"/>
        <v>2.2708641912150958E-12</v>
      </c>
      <c r="AL122" s="22">
        <f t="shared" si="58"/>
        <v>4.2330868906469593E-12</v>
      </c>
      <c r="AM122" s="62">
        <f t="shared" si="59"/>
        <v>293.33333333333752</v>
      </c>
      <c r="AN122" s="62">
        <f ca="1">AVERAGE(OFFSET($AM$3,0,0,'Données projet'!$E$10+1,1))-AVERAGE(OFFSET($H$3,0,0,'Données projet'!$E$10+1,1))</f>
        <v>215.04236469150038</v>
      </c>
      <c r="AO122" s="62">
        <f t="shared" si="90"/>
        <v>160.72275701448416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2">
        <f t="shared" si="86"/>
        <v>20.109893936516197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70">
        <f t="shared" si="56"/>
        <v>453.34006527276551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5.6843418860808015E-14</v>
      </c>
      <c r="O123" s="14">
        <f>N123*VLOOKUP('Données projet'!$B$9,Paramètres!$A$1:$I$89,3,0)*VLOOKUP('Données projet'!$B$9,Paramètres!$A$1:$I$89,5,0)</f>
        <v>3.3992364478763198E-14</v>
      </c>
      <c r="P123" s="14">
        <f t="shared" si="87"/>
        <v>5.790027782444094E-13</v>
      </c>
      <c r="Q123" s="22">
        <f t="shared" si="107"/>
        <v>1.0676332069095257E-12</v>
      </c>
      <c r="R123" s="62">
        <f t="shared" si="55"/>
        <v>293.33333333333439</v>
      </c>
      <c r="S123" s="62">
        <f ca="1">AVERAGE(OFFSET($R$3,0,0,'Données projet'!$E$9+1,1))-AVERAGE(OFFSET($H$3,0,0,'Données projet'!$E$9+1,1))</f>
        <v>157.98488572680344</v>
      </c>
      <c r="T123" s="62">
        <f t="shared" si="88"/>
        <v>269.20989374735825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18.403484989585476</v>
      </c>
      <c r="AA123" s="23">
        <f>EXP(-LN(2)/25)*AA122+(1-EXP(-LN(2)/25))/(LN(2)/25)*Calculateur!V123*Calculateur!X123*VLOOKUP('Données projet'!$B$9,Paramètres!$A$1:$I$89,3,0)*0.475*44/12</f>
        <v>0.27570108041674118</v>
      </c>
      <c r="AB123" s="23">
        <f>EXP(-LN(2)/2)*AB122+(1-EXP(-LN(2)/2))/(LN(2)/2)*V123*Y123*VLOOKUP('Données projet'!$B$9,Paramètres!$A$1:$I$89,3,0)*0.475*44/12</f>
        <v>3.130704268099406E-11</v>
      </c>
      <c r="AC123" s="24">
        <f t="shared" si="57"/>
        <v>18.679186070033523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3.4106051316484809E-13</v>
      </c>
      <c r="AJ123" s="14">
        <f>AI123*VLOOKUP('Données projet'!$B$10,Paramètres!$A$1:$I$89,3,0)*VLOOKUP('Données projet'!$B$10,Paramètres!$A$1:$I$89,5,0)</f>
        <v>1.5961632016114892E-13</v>
      </c>
      <c r="AK123" s="14">
        <f t="shared" si="89"/>
        <v>2.2708641912150958E-12</v>
      </c>
      <c r="AL123" s="22">
        <f t="shared" si="58"/>
        <v>4.2330868906469593E-12</v>
      </c>
      <c r="AM123" s="62">
        <f t="shared" si="59"/>
        <v>293.33333333333752</v>
      </c>
      <c r="AN123" s="62">
        <f ca="1">AVERAGE(OFFSET($AM$3,0,0,'Données projet'!$E$10+1,1))-AVERAGE(OFFSET($H$3,0,0,'Données projet'!$E$10+1,1))</f>
        <v>215.04236469150038</v>
      </c>
      <c r="AO123" s="62">
        <f t="shared" si="90"/>
        <v>160.72275701448416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2">
        <f t="shared" si="86"/>
        <v>20.257898193815301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70">
        <f t="shared" si="56"/>
        <v>454.63935602089481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5.6843418860808015E-14</v>
      </c>
      <c r="O124" s="14">
        <f>N124*VLOOKUP('Données projet'!$B$9,Paramètres!$A$1:$I$89,3,0)*VLOOKUP('Données projet'!$B$9,Paramètres!$A$1:$I$89,5,0)</f>
        <v>3.3992364478763198E-14</v>
      </c>
      <c r="P124" s="14">
        <f t="shared" si="87"/>
        <v>5.790027782444094E-13</v>
      </c>
      <c r="Q124" s="22">
        <f t="shared" si="107"/>
        <v>1.0676332069095257E-12</v>
      </c>
      <c r="R124" s="62">
        <f t="shared" si="55"/>
        <v>293.33333333333439</v>
      </c>
      <c r="S124" s="62">
        <f ca="1">AVERAGE(OFFSET($R$3,0,0,'Données projet'!$E$9+1,1))-AVERAGE(OFFSET($H$3,0,0,'Données projet'!$E$9+1,1))</f>
        <v>157.98488572680344</v>
      </c>
      <c r="T124" s="62">
        <f t="shared" si="88"/>
        <v>269.20989374735825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18.042603873957169</v>
      </c>
      <c r="AA124" s="23">
        <f>EXP(-LN(2)/25)*AA123+(1-EXP(-LN(2)/25))/(LN(2)/25)*Calculateur!V124*Calculateur!X124*VLOOKUP('Données projet'!$B$9,Paramètres!$A$1:$I$89,3,0)*0.475*44/12</f>
        <v>0.2681620198742557</v>
      </c>
      <c r="AB124" s="23">
        <f>EXP(-LN(2)/2)*AB123+(1-EXP(-LN(2)/2))/(LN(2)/2)*V124*Y124*VLOOKUP('Données projet'!$B$9,Paramètres!$A$1:$I$89,3,0)*0.475*44/12</f>
        <v>2.2137422178627571E-11</v>
      </c>
      <c r="AC124" s="24">
        <f t="shared" si="57"/>
        <v>18.310765893853564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3.4106051316484809E-13</v>
      </c>
      <c r="AJ124" s="14">
        <f>AI124*VLOOKUP('Données projet'!$B$10,Paramètres!$A$1:$I$89,3,0)*VLOOKUP('Données projet'!$B$10,Paramètres!$A$1:$I$89,5,0)</f>
        <v>1.5961632016114892E-13</v>
      </c>
      <c r="AK124" s="14">
        <f t="shared" si="89"/>
        <v>2.2708641912150958E-12</v>
      </c>
      <c r="AL124" s="22">
        <f t="shared" si="58"/>
        <v>4.2330868906469593E-12</v>
      </c>
      <c r="AM124" s="62">
        <f t="shared" si="59"/>
        <v>293.33333333333752</v>
      </c>
      <c r="AN124" s="62">
        <f ca="1">AVERAGE(OFFSET($AM$3,0,0,'Données projet'!$E$10+1,1))-AVERAGE(OFFSET($H$3,0,0,'Données projet'!$E$10+1,1))</f>
        <v>215.04236469150038</v>
      </c>
      <c r="AO124" s="62">
        <f t="shared" si="90"/>
        <v>160.72275701448416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2">
        <f t="shared" si="86"/>
        <v>20.405760140212255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70">
        <f t="shared" si="56"/>
        <v>455.93839891086952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5.6843418860808015E-14</v>
      </c>
      <c r="O125" s="14">
        <f>N125*VLOOKUP('Données projet'!$B$9,Paramètres!$A$1:$I$89,3,0)*VLOOKUP('Données projet'!$B$9,Paramètres!$A$1:$I$89,5,0)</f>
        <v>3.3992364478763198E-14</v>
      </c>
      <c r="P125" s="14">
        <f t="shared" si="87"/>
        <v>5.790027782444094E-13</v>
      </c>
      <c r="Q125" s="22">
        <f t="shared" si="107"/>
        <v>1.0676332069095257E-12</v>
      </c>
      <c r="R125" s="62">
        <f t="shared" si="55"/>
        <v>293.33333333333439</v>
      </c>
      <c r="S125" s="62">
        <f ca="1">AVERAGE(OFFSET($R$3,0,0,'Données projet'!$E$9+1,1))-AVERAGE(OFFSET($H$3,0,0,'Données projet'!$E$9+1,1))</f>
        <v>157.98488572680344</v>
      </c>
      <c r="T125" s="62">
        <f t="shared" si="88"/>
        <v>269.20989374735825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17.688799416890589</v>
      </c>
      <c r="AA125" s="23">
        <f>EXP(-LN(2)/25)*AA124+(1-EXP(-LN(2)/25))/(LN(2)/25)*Calculateur!V125*Calculateur!X125*VLOOKUP('Données projet'!$B$9,Paramètres!$A$1:$I$89,3,0)*0.475*44/12</f>
        <v>0.26082911533876646</v>
      </c>
      <c r="AB125" s="23">
        <f>EXP(-LN(2)/2)*AB124+(1-EXP(-LN(2)/2))/(LN(2)/2)*V125*Y125*VLOOKUP('Données projet'!$B$9,Paramètres!$A$1:$I$89,3,0)*0.475*44/12</f>
        <v>1.565352134049703E-11</v>
      </c>
      <c r="AC125" s="24">
        <f t="shared" si="57"/>
        <v>17.949628532245008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3.4106051316484809E-13</v>
      </c>
      <c r="AJ125" s="14">
        <f>AI125*VLOOKUP('Données projet'!$B$10,Paramètres!$A$1:$I$89,3,0)*VLOOKUP('Données projet'!$B$10,Paramètres!$A$1:$I$89,5,0)</f>
        <v>1.5961632016114892E-13</v>
      </c>
      <c r="AK125" s="14">
        <f t="shared" si="89"/>
        <v>2.2708641912150958E-12</v>
      </c>
      <c r="AL125" s="22">
        <f t="shared" si="58"/>
        <v>4.2330868906469593E-12</v>
      </c>
      <c r="AM125" s="62">
        <f t="shared" si="59"/>
        <v>293.33333333333752</v>
      </c>
      <c r="AN125" s="62">
        <f ca="1">AVERAGE(OFFSET($AM$3,0,0,'Données projet'!$E$10+1,1))-AVERAGE(OFFSET($H$3,0,0,'Données projet'!$E$10+1,1))</f>
        <v>215.04236469150038</v>
      </c>
      <c r="AO125" s="62">
        <f t="shared" si="90"/>
        <v>160.72275701448416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2">
        <f t="shared" si="86"/>
        <v>20.553481077376667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70">
        <f t="shared" si="56"/>
        <v>457.23719620976419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5.6843418860808015E-14</v>
      </c>
      <c r="O126" s="14">
        <f>N126*VLOOKUP('Données projet'!$B$9,Paramètres!$A$1:$I$89,3,0)*VLOOKUP('Données projet'!$B$9,Paramètres!$A$1:$I$89,5,0)</f>
        <v>3.3992364478763198E-14</v>
      </c>
      <c r="P126" s="14">
        <f t="shared" si="87"/>
        <v>5.790027782444094E-13</v>
      </c>
      <c r="Q126" s="22">
        <f t="shared" si="107"/>
        <v>1.0676332069095257E-12</v>
      </c>
      <c r="R126" s="62">
        <f t="shared" si="55"/>
        <v>293.33333333333439</v>
      </c>
      <c r="S126" s="62">
        <f ca="1">AVERAGE(OFFSET($R$3,0,0,'Données projet'!$E$9+1,1))-AVERAGE(OFFSET($H$3,0,0,'Données projet'!$E$9+1,1))</f>
        <v>157.98488572680344</v>
      </c>
      <c r="T126" s="62">
        <f t="shared" si="88"/>
        <v>269.20989374735825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17.341932849427675</v>
      </c>
      <c r="AA126" s="23">
        <f>EXP(-LN(2)/25)*AA125+(1-EXP(-LN(2)/25))/(LN(2)/25)*Calculateur!V126*Calculateur!X126*VLOOKUP('Données projet'!$B$9,Paramètres!$A$1:$I$89,3,0)*0.475*44/12</f>
        <v>0.25369672946342087</v>
      </c>
      <c r="AB126" s="23">
        <f>EXP(-LN(2)/2)*AB125+(1-EXP(-LN(2)/2))/(LN(2)/2)*V126*Y126*VLOOKUP('Données projet'!$B$9,Paramètres!$A$1:$I$89,3,0)*0.475*44/12</f>
        <v>1.1068711089313786E-11</v>
      </c>
      <c r="AC126" s="24">
        <f t="shared" si="57"/>
        <v>17.595629578902166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3.4106051316484809E-13</v>
      </c>
      <c r="AJ126" s="14">
        <f>AI126*VLOOKUP('Données projet'!$B$10,Paramètres!$A$1:$I$89,3,0)*VLOOKUP('Données projet'!$B$10,Paramètres!$A$1:$I$89,5,0)</f>
        <v>1.5961632016114892E-13</v>
      </c>
      <c r="AK126" s="14">
        <f t="shared" si="89"/>
        <v>2.2708641912150958E-12</v>
      </c>
      <c r="AL126" s="22">
        <f t="shared" si="58"/>
        <v>4.2330868906469593E-12</v>
      </c>
      <c r="AM126" s="62">
        <f t="shared" si="59"/>
        <v>293.33333333333752</v>
      </c>
      <c r="AN126" s="62">
        <f ca="1">AVERAGE(OFFSET($AM$3,0,0,'Données projet'!$E$10+1,1))-AVERAGE(OFFSET($H$3,0,0,'Données projet'!$E$10+1,1))</f>
        <v>215.04236469150038</v>
      </c>
      <c r="AO126" s="62">
        <f t="shared" si="90"/>
        <v>160.72275701448416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2">
        <f t="shared" si="86"/>
        <v>20.701062284590861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70">
        <f t="shared" si="56"/>
        <v>458.53575014566229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5.6843418860808015E-14</v>
      </c>
      <c r="O127" s="14">
        <f>N127*VLOOKUP('Données projet'!$B$9,Paramètres!$A$1:$I$89,3,0)*VLOOKUP('Données projet'!$B$9,Paramètres!$A$1:$I$89,5,0)</f>
        <v>3.3992364478763198E-14</v>
      </c>
      <c r="P127" s="14">
        <f t="shared" si="87"/>
        <v>5.790027782444094E-13</v>
      </c>
      <c r="Q127" s="22">
        <f t="shared" si="107"/>
        <v>1.0676332069095257E-12</v>
      </c>
      <c r="R127" s="62">
        <f t="shared" si="55"/>
        <v>293.33333333333439</v>
      </c>
      <c r="S127" s="62">
        <f ca="1">AVERAGE(OFFSET($R$3,0,0,'Données projet'!$E$9+1,1))-AVERAGE(OFFSET($H$3,0,0,'Données projet'!$E$9+1,1))</f>
        <v>157.98488572680344</v>
      </c>
      <c r="T127" s="62">
        <f t="shared" si="88"/>
        <v>269.20989374735825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17.001868123784991</v>
      </c>
      <c r="AA127" s="23">
        <f>EXP(-LN(2)/25)*AA126+(1-EXP(-LN(2)/25))/(LN(2)/25)*Calculateur!V127*Calculateur!X127*VLOOKUP('Données projet'!$B$9,Paramètres!$A$1:$I$89,3,0)*0.475*44/12</f>
        <v>0.24675937905491246</v>
      </c>
      <c r="AB127" s="23">
        <f>EXP(-LN(2)/2)*AB126+(1-EXP(-LN(2)/2))/(LN(2)/2)*V127*Y127*VLOOKUP('Données projet'!$B$9,Paramètres!$A$1:$I$89,3,0)*0.475*44/12</f>
        <v>7.8267606702485151E-12</v>
      </c>
      <c r="AC127" s="24">
        <f t="shared" si="57"/>
        <v>17.248627502847729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3.4106051316484809E-13</v>
      </c>
      <c r="AJ127" s="14">
        <f>AI127*VLOOKUP('Données projet'!$B$10,Paramètres!$A$1:$I$89,3,0)*VLOOKUP('Données projet'!$B$10,Paramètres!$A$1:$I$89,5,0)</f>
        <v>1.5961632016114892E-13</v>
      </c>
      <c r="AK127" s="14">
        <f t="shared" si="89"/>
        <v>2.2708641912150958E-12</v>
      </c>
      <c r="AL127" s="22">
        <f t="shared" si="58"/>
        <v>4.2330868906469593E-12</v>
      </c>
      <c r="AM127" s="62">
        <f t="shared" si="59"/>
        <v>293.33333333333752</v>
      </c>
      <c r="AN127" s="62">
        <f ca="1">AVERAGE(OFFSET($AM$3,0,0,'Données projet'!$E$10+1,1))-AVERAGE(OFFSET($H$3,0,0,'Données projet'!$E$10+1,1))</f>
        <v>215.04236469150038</v>
      </c>
      <c r="AO127" s="62">
        <f t="shared" si="90"/>
        <v>160.72275701448416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2">
        <f t="shared" si="86"/>
        <v>20.848505019312185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70">
        <f t="shared" si="56"/>
        <v>459.83406290863525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5.6843418860808015E-14</v>
      </c>
      <c r="O128" s="14">
        <f>N128*VLOOKUP('Données projet'!$B$9,Paramètres!$A$1:$I$89,3,0)*VLOOKUP('Données projet'!$B$9,Paramètres!$A$1:$I$89,5,0)</f>
        <v>3.3992364478763198E-14</v>
      </c>
      <c r="P128" s="14">
        <f t="shared" si="87"/>
        <v>5.790027782444094E-13</v>
      </c>
      <c r="Q128" s="22">
        <f t="shared" si="107"/>
        <v>1.0676332069095257E-12</v>
      </c>
      <c r="R128" s="62">
        <f t="shared" si="55"/>
        <v>293.33333333333439</v>
      </c>
      <c r="S128" s="62">
        <f ca="1">AVERAGE(OFFSET($R$3,0,0,'Données projet'!$E$9+1,1))-AVERAGE(OFFSET($H$3,0,0,'Données projet'!$E$9+1,1))</f>
        <v>157.98488572680344</v>
      </c>
      <c r="T128" s="62">
        <f t="shared" si="88"/>
        <v>269.20989374735825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16.668471859993158</v>
      </c>
      <c r="AA128" s="23">
        <f>EXP(-LN(2)/25)*AA127+(1-EXP(-LN(2)/25))/(LN(2)/25)*Calculateur!V128*Calculateur!X128*VLOOKUP('Données projet'!$B$9,Paramètres!$A$1:$I$89,3,0)*0.475*44/12</f>
        <v>0.24001173085814412</v>
      </c>
      <c r="AB128" s="23">
        <f>EXP(-LN(2)/2)*AB127+(1-EXP(-LN(2)/2))/(LN(2)/2)*V128*Y128*VLOOKUP('Données projet'!$B$9,Paramètres!$A$1:$I$89,3,0)*0.475*44/12</f>
        <v>5.5343555446568928E-12</v>
      </c>
      <c r="AC128" s="24">
        <f t="shared" si="57"/>
        <v>16.908483590856836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3.4106051316484809E-13</v>
      </c>
      <c r="AJ128" s="14">
        <f>AI128*VLOOKUP('Données projet'!$B$10,Paramètres!$A$1:$I$89,3,0)*VLOOKUP('Données projet'!$B$10,Paramètres!$A$1:$I$89,5,0)</f>
        <v>1.5961632016114892E-13</v>
      </c>
      <c r="AK128" s="14">
        <f t="shared" si="89"/>
        <v>2.2708641912150958E-12</v>
      </c>
      <c r="AL128" s="22">
        <f t="shared" si="58"/>
        <v>4.2330868906469593E-12</v>
      </c>
      <c r="AM128" s="62">
        <f t="shared" si="59"/>
        <v>293.33333333333752</v>
      </c>
      <c r="AN128" s="62">
        <f ca="1">AVERAGE(OFFSET($AM$3,0,0,'Données projet'!$E$10+1,1))-AVERAGE(OFFSET($H$3,0,0,'Données projet'!$E$10+1,1))</f>
        <v>215.04236469150038</v>
      </c>
      <c r="AO128" s="62">
        <f t="shared" si="90"/>
        <v>160.72275701448416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2">
        <f t="shared" si="86"/>
        <v>20.995810517717022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70">
        <f t="shared" si="56"/>
        <v>461.1321366516903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5.6843418860808015E-14</v>
      </c>
      <c r="O129" s="14">
        <f>N129*VLOOKUP('Données projet'!$B$9,Paramètres!$A$1:$I$89,3,0)*VLOOKUP('Données projet'!$B$9,Paramètres!$A$1:$I$89,5,0)</f>
        <v>3.3992364478763198E-14</v>
      </c>
      <c r="P129" s="14">
        <f t="shared" si="87"/>
        <v>5.790027782444094E-13</v>
      </c>
      <c r="Q129" s="22">
        <f t="shared" si="107"/>
        <v>1.0676332069095257E-12</v>
      </c>
      <c r="R129" s="62">
        <f t="shared" si="55"/>
        <v>293.33333333333439</v>
      </c>
      <c r="S129" s="62">
        <f ca="1">AVERAGE(OFFSET($R$3,0,0,'Données projet'!$E$9+1,1))-AVERAGE(OFFSET($H$3,0,0,'Données projet'!$E$9+1,1))</f>
        <v>157.98488572680344</v>
      </c>
      <c r="T129" s="62">
        <f t="shared" si="88"/>
        <v>269.20989374735825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16.341613293582643</v>
      </c>
      <c r="AA129" s="23">
        <f>EXP(-LN(2)/25)*AA128+(1-EXP(-LN(2)/25))/(LN(2)/25)*Calculateur!V129*Calculateur!X129*VLOOKUP('Données projet'!$B$9,Paramètres!$A$1:$I$89,3,0)*0.475*44/12</f>
        <v>0.23344859745615978</v>
      </c>
      <c r="AB129" s="23">
        <f>EXP(-LN(2)/2)*AB128+(1-EXP(-LN(2)/2))/(LN(2)/2)*V129*Y129*VLOOKUP('Données projet'!$B$9,Paramètres!$A$1:$I$89,3,0)*0.475*44/12</f>
        <v>3.9133803351242575E-12</v>
      </c>
      <c r="AC129" s="24">
        <f t="shared" si="57"/>
        <v>16.575061891042719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3.4106051316484809E-13</v>
      </c>
      <c r="AJ129" s="14">
        <f>AI129*VLOOKUP('Données projet'!$B$10,Paramètres!$A$1:$I$89,3,0)*VLOOKUP('Données projet'!$B$10,Paramètres!$A$1:$I$89,5,0)</f>
        <v>1.5961632016114892E-13</v>
      </c>
      <c r="AK129" s="14">
        <f t="shared" si="89"/>
        <v>2.2708641912150958E-12</v>
      </c>
      <c r="AL129" s="22">
        <f t="shared" si="58"/>
        <v>4.2330868906469593E-12</v>
      </c>
      <c r="AM129" s="62">
        <f t="shared" si="59"/>
        <v>293.33333333333752</v>
      </c>
      <c r="AN129" s="62">
        <f ca="1">AVERAGE(OFFSET($AM$3,0,0,'Données projet'!$E$10+1,1))-AVERAGE(OFFSET($H$3,0,0,'Données projet'!$E$10+1,1))</f>
        <v>215.04236469150038</v>
      </c>
      <c r="AO129" s="62">
        <f t="shared" si="90"/>
        <v>160.72275701448416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2">
        <f t="shared" si="86"/>
        <v>21.142979995226813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70">
        <f t="shared" si="56"/>
        <v>462.4299734916865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5.6843418860808015E-14</v>
      </c>
      <c r="O130" s="14">
        <f>N130*VLOOKUP('Données projet'!$B$9,Paramètres!$A$1:$I$89,3,0)*VLOOKUP('Données projet'!$B$9,Paramètres!$A$1:$I$89,5,0)</f>
        <v>3.3992364478763198E-14</v>
      </c>
      <c r="P130" s="14">
        <f t="shared" si="87"/>
        <v>5.790027782444094E-13</v>
      </c>
      <c r="Q130" s="22">
        <f t="shared" si="107"/>
        <v>1.0676332069095257E-12</v>
      </c>
      <c r="R130" s="62">
        <f t="shared" si="55"/>
        <v>293.33333333333439</v>
      </c>
      <c r="S130" s="62">
        <f ca="1">AVERAGE(OFFSET($R$3,0,0,'Données projet'!$E$9+1,1))-AVERAGE(OFFSET($H$3,0,0,'Données projet'!$E$9+1,1))</f>
        <v>157.98488572680344</v>
      </c>
      <c r="T130" s="62">
        <f t="shared" si="88"/>
        <v>269.20989374735825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16.021164224295397</v>
      </c>
      <c r="AA130" s="23">
        <f>EXP(-LN(2)/25)*AA129+(1-EXP(-LN(2)/25))/(LN(2)/25)*Calculateur!V130*Calculateur!X130*VLOOKUP('Données projet'!$B$9,Paramètres!$A$1:$I$89,3,0)*0.475*44/12</f>
        <v>0.2270649332821929</v>
      </c>
      <c r="AB130" s="23">
        <f>EXP(-LN(2)/2)*AB129+(1-EXP(-LN(2)/2))/(LN(2)/2)*V130*Y130*VLOOKUP('Données projet'!$B$9,Paramètres!$A$1:$I$89,3,0)*0.475*44/12</f>
        <v>2.7671777723284464E-12</v>
      </c>
      <c r="AC130" s="24">
        <f t="shared" si="57"/>
        <v>16.248229157580358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3.4106051316484809E-13</v>
      </c>
      <c r="AJ130" s="14">
        <f>AI130*VLOOKUP('Données projet'!$B$10,Paramètres!$A$1:$I$89,3,0)*VLOOKUP('Données projet'!$B$10,Paramètres!$A$1:$I$89,5,0)</f>
        <v>1.5961632016114892E-13</v>
      </c>
      <c r="AK130" s="14">
        <f t="shared" si="89"/>
        <v>2.2708641912150958E-12</v>
      </c>
      <c r="AL130" s="22">
        <f t="shared" si="58"/>
        <v>4.2330868906469593E-12</v>
      </c>
      <c r="AM130" s="62">
        <f t="shared" si="59"/>
        <v>293.33333333333752</v>
      </c>
      <c r="AN130" s="62">
        <f ca="1">AVERAGE(OFFSET($AM$3,0,0,'Données projet'!$E$10+1,1))-AVERAGE(OFFSET($H$3,0,0,'Données projet'!$E$10+1,1))</f>
        <v>215.04236469150038</v>
      </c>
      <c r="AO130" s="62">
        <f t="shared" si="90"/>
        <v>160.72275701448416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2">
        <f t="shared" si="86"/>
        <v>21.290014647017198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70">
        <f t="shared" si="56"/>
        <v>463.72757551022141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5.6843418860808015E-14</v>
      </c>
      <c r="O131" s="14">
        <f>N131*VLOOKUP('Données projet'!$B$9,Paramètres!$A$1:$I$89,3,0)*VLOOKUP('Données projet'!$B$9,Paramètres!$A$1:$I$89,5,0)</f>
        <v>3.3992364478763198E-14</v>
      </c>
      <c r="P131" s="14">
        <f t="shared" si="87"/>
        <v>5.790027782444094E-13</v>
      </c>
      <c r="Q131" s="22">
        <f t="shared" ref="Q131:Q153" si="108">(O131+P131)*0.475*44/12</f>
        <v>1.0676332069095257E-12</v>
      </c>
      <c r="R131" s="62">
        <f t="shared" ref="R131:R194" si="109">Q131+(I131+J131)*44/12</f>
        <v>293.33333333333439</v>
      </c>
      <c r="S131" s="62">
        <f ca="1">AVERAGE(OFFSET($R$3,0,0,'Données projet'!$E$9+1,1))-AVERAGE(OFFSET($H$3,0,0,'Données projet'!$E$9+1,1))</f>
        <v>157.98488572680344</v>
      </c>
      <c r="T131" s="62">
        <f t="shared" si="88"/>
        <v>269.20989374735825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15.706998965802242</v>
      </c>
      <c r="AA131" s="23">
        <f>EXP(-LN(2)/25)*AA130+(1-EXP(-LN(2)/25))/(LN(2)/25)*Calculateur!V131*Calculateur!X131*VLOOKUP('Données projet'!$B$9,Paramètres!$A$1:$I$89,3,0)*0.475*44/12</f>
        <v>0.22085583074076545</v>
      </c>
      <c r="AB131" s="23">
        <f>EXP(-LN(2)/2)*AB130+(1-EXP(-LN(2)/2))/(LN(2)/2)*V131*Y131*VLOOKUP('Données projet'!$B$9,Paramètres!$A$1:$I$89,3,0)*0.475*44/12</f>
        <v>1.9566901675621288E-12</v>
      </c>
      <c r="AC131" s="24">
        <f t="shared" si="57"/>
        <v>15.927854796544965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3.4106051316484809E-13</v>
      </c>
      <c r="AJ131" s="14">
        <f>AI131*VLOOKUP('Données projet'!$B$10,Paramètres!$A$1:$I$89,3,0)*VLOOKUP('Données projet'!$B$10,Paramètres!$A$1:$I$89,5,0)</f>
        <v>1.5961632016114892E-13</v>
      </c>
      <c r="AK131" s="14">
        <f t="shared" si="89"/>
        <v>2.2708641912150958E-12</v>
      </c>
      <c r="AL131" s="22">
        <f t="shared" si="58"/>
        <v>4.2330868906469593E-12</v>
      </c>
      <c r="AM131" s="62">
        <f t="shared" si="59"/>
        <v>293.33333333333752</v>
      </c>
      <c r="AN131" s="62">
        <f ca="1">AVERAGE(OFFSET($AM$3,0,0,'Données projet'!$E$10+1,1))-AVERAGE(OFFSET($H$3,0,0,'Données projet'!$E$10+1,1))</f>
        <v>215.04236469150038</v>
      </c>
      <c r="AO131" s="62">
        <f t="shared" si="90"/>
        <v>160.72275701448416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2">
        <f t="shared" si="86"/>
        <v>21.436915648510737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70">
        <f t="shared" ref="H132:H195" si="110">(B132+E132+F132)*44/12+(C132+D132)*0.475*44/12</f>
        <v>465.0249447544893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5.6843418860808015E-14</v>
      </c>
      <c r="O132" s="14">
        <f>N132*VLOOKUP('Données projet'!$B$9,Paramètres!$A$1:$I$89,3,0)*VLOOKUP('Données projet'!$B$9,Paramètres!$A$1:$I$89,5,0)</f>
        <v>3.3992364478763198E-14</v>
      </c>
      <c r="P132" s="14">
        <f t="shared" si="87"/>
        <v>5.790027782444094E-13</v>
      </c>
      <c r="Q132" s="22">
        <f t="shared" si="108"/>
        <v>1.0676332069095257E-12</v>
      </c>
      <c r="R132" s="62">
        <f t="shared" si="109"/>
        <v>293.33333333333439</v>
      </c>
      <c r="S132" s="62">
        <f ca="1">AVERAGE(OFFSET($R$3,0,0,'Données projet'!$E$9+1,1))-AVERAGE(OFFSET($H$3,0,0,'Données projet'!$E$9+1,1))</f>
        <v>157.98488572680344</v>
      </c>
      <c r="T132" s="62">
        <f t="shared" si="88"/>
        <v>269.20989374735825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15.398994296406251</v>
      </c>
      <c r="AA132" s="23">
        <f>EXP(-LN(2)/25)*AA131+(1-EXP(-LN(2)/25))/(LN(2)/25)*Calculateur!V132*Calculateur!X132*VLOOKUP('Données projet'!$B$9,Paramètres!$A$1:$I$89,3,0)*0.475*44/12</f>
        <v>0.21481651643485586</v>
      </c>
      <c r="AB132" s="23">
        <f>EXP(-LN(2)/2)*AB131+(1-EXP(-LN(2)/2))/(LN(2)/2)*V132*Y132*VLOOKUP('Données projet'!$B$9,Paramètres!$A$1:$I$89,3,0)*0.475*44/12</f>
        <v>1.3835888861642232E-12</v>
      </c>
      <c r="AC132" s="24">
        <f t="shared" ref="AC132:AC153" si="111">SUM(Z132:AB132)</f>
        <v>15.613810812842491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3.4106051316484809E-13</v>
      </c>
      <c r="AJ132" s="14">
        <f>AI132*VLOOKUP('Données projet'!$B$10,Paramètres!$A$1:$I$89,3,0)*VLOOKUP('Données projet'!$B$10,Paramètres!$A$1:$I$89,5,0)</f>
        <v>1.5961632016114892E-13</v>
      </c>
      <c r="AK132" s="14">
        <f t="shared" si="89"/>
        <v>2.2708641912150958E-12</v>
      </c>
      <c r="AL132" s="22">
        <f t="shared" ref="AL132:AL153" si="112">(AJ132+AK132)*0.475*44/12</f>
        <v>4.2330868906469593E-12</v>
      </c>
      <c r="AM132" s="62">
        <f t="shared" ref="AM132:AM195" si="113">AL132+(AD132+AE132)*44/12</f>
        <v>293.33333333333752</v>
      </c>
      <c r="AN132" s="62">
        <f ca="1">AVERAGE(OFFSET($AM$3,0,0,'Données projet'!$E$10+1,1))-AVERAGE(OFFSET($H$3,0,0,'Données projet'!$E$10+1,1))</f>
        <v>215.04236469150038</v>
      </c>
      <c r="AO132" s="62">
        <f t="shared" si="90"/>
        <v>160.72275701448416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2">
        <f t="shared" ref="D133:D196" si="140">IFERROR(EXP(-1.0587+0.8836*LN(C133)+0.284),0)</f>
        <v>21.583684155853874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70">
        <f t="shared" si="110"/>
        <v>466.32208323811199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5.6843418860808015E-14</v>
      </c>
      <c r="O133" s="14">
        <f>N133*VLOOKUP('Données projet'!$B$9,Paramètres!$A$1:$I$89,3,0)*VLOOKUP('Données projet'!$B$9,Paramètres!$A$1:$I$89,5,0)</f>
        <v>3.3992364478763198E-14</v>
      </c>
      <c r="P133" s="14">
        <f t="shared" ref="P133:P196" si="141">EXP(-1.0587+0.8836*LN(O133)+0.284)</f>
        <v>5.790027782444094E-13</v>
      </c>
      <c r="Q133" s="22">
        <f t="shared" si="108"/>
        <v>1.0676332069095257E-12</v>
      </c>
      <c r="R133" s="62">
        <f t="shared" si="109"/>
        <v>293.33333333333439</v>
      </c>
      <c r="S133" s="62">
        <f ca="1">AVERAGE(OFFSET($R$3,0,0,'Données projet'!$E$9+1,1))-AVERAGE(OFFSET($H$3,0,0,'Données projet'!$E$9+1,1))</f>
        <v>157.98488572680344</v>
      </c>
      <c r="T133" s="62">
        <f t="shared" ref="T133:T196" si="142">$T$3</f>
        <v>269.20989374735825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15.097029410712816</v>
      </c>
      <c r="AA133" s="23">
        <f>EXP(-LN(2)/25)*AA132+(1-EXP(-LN(2)/25))/(LN(2)/25)*Calculateur!V133*Calculateur!X133*VLOOKUP('Données projet'!$B$9,Paramètres!$A$1:$I$89,3,0)*0.475*44/12</f>
        <v>0.20894234749623511</v>
      </c>
      <c r="AB133" s="23">
        <f>EXP(-LN(2)/2)*AB132+(1-EXP(-LN(2)/2))/(LN(2)/2)*V133*Y133*VLOOKUP('Données projet'!$B$9,Paramètres!$A$1:$I$89,3,0)*0.475*44/12</f>
        <v>9.7834508378106438E-13</v>
      </c>
      <c r="AC133" s="24">
        <f t="shared" si="111"/>
        <v>15.305971758210029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3.4106051316484809E-13</v>
      </c>
      <c r="AJ133" s="14">
        <f>AI133*VLOOKUP('Données projet'!$B$10,Paramètres!$A$1:$I$89,3,0)*VLOOKUP('Données projet'!$B$10,Paramètres!$A$1:$I$89,5,0)</f>
        <v>1.5961632016114892E-13</v>
      </c>
      <c r="AK133" s="14">
        <f t="shared" ref="AK133:AK153" si="143">EXP(-1.0587+0.8836*LN(AJ133)+0.284)</f>
        <v>2.2708641912150958E-12</v>
      </c>
      <c r="AL133" s="22">
        <f t="shared" si="112"/>
        <v>4.2330868906469593E-12</v>
      </c>
      <c r="AM133" s="62">
        <f t="shared" si="113"/>
        <v>293.33333333333752</v>
      </c>
      <c r="AN133" s="62">
        <f ca="1">AVERAGE(OFFSET($AM$3,0,0,'Données projet'!$E$10+1,1))-AVERAGE(OFFSET($H$3,0,0,'Données projet'!$E$10+1,1))</f>
        <v>215.04236469150038</v>
      </c>
      <c r="AO133" s="62">
        <f t="shared" ref="AO133:AO196" si="144">$AO$3</f>
        <v>160.72275701448416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2">
        <f t="shared" si="140"/>
        <v>21.730321306378883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70">
        <f t="shared" si="110"/>
        <v>467.61899294194302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5.6843418860808015E-14</v>
      </c>
      <c r="O134" s="14">
        <f>N134*VLOOKUP('Données projet'!$B$9,Paramètres!$A$1:$I$89,3,0)*VLOOKUP('Données projet'!$B$9,Paramètres!$A$1:$I$89,5,0)</f>
        <v>3.3992364478763198E-14</v>
      </c>
      <c r="P134" s="14">
        <f t="shared" si="141"/>
        <v>5.790027782444094E-13</v>
      </c>
      <c r="Q134" s="22">
        <f t="shared" si="108"/>
        <v>1.0676332069095257E-12</v>
      </c>
      <c r="R134" s="62">
        <f t="shared" si="109"/>
        <v>293.33333333333439</v>
      </c>
      <c r="S134" s="62">
        <f ca="1">AVERAGE(OFFSET($R$3,0,0,'Données projet'!$E$9+1,1))-AVERAGE(OFFSET($H$3,0,0,'Données projet'!$E$9+1,1))</f>
        <v>157.98488572680344</v>
      </c>
      <c r="T134" s="62">
        <f t="shared" si="142"/>
        <v>269.20989374735825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14.800985872247436</v>
      </c>
      <c r="AA134" s="23">
        <f>EXP(-LN(2)/25)*AA133+(1-EXP(-LN(2)/25))/(LN(2)/25)*Calculateur!V134*Calculateur!X134*VLOOKUP('Données projet'!$B$9,Paramètres!$A$1:$I$89,3,0)*0.475*44/12</f>
        <v>0.20322880801615004</v>
      </c>
      <c r="AB134" s="23">
        <f>EXP(-LN(2)/2)*AB133+(1-EXP(-LN(2)/2))/(LN(2)/2)*V134*Y134*VLOOKUP('Données projet'!$B$9,Paramètres!$A$1:$I$89,3,0)*0.475*44/12</f>
        <v>6.917944430821116E-13</v>
      </c>
      <c r="AC134" s="24">
        <f t="shared" si="111"/>
        <v>15.004214680264276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3.4106051316484809E-13</v>
      </c>
      <c r="AJ134" s="14">
        <f>AI134*VLOOKUP('Données projet'!$B$10,Paramètres!$A$1:$I$89,3,0)*VLOOKUP('Données projet'!$B$10,Paramètres!$A$1:$I$89,5,0)</f>
        <v>1.5961632016114892E-13</v>
      </c>
      <c r="AK134" s="14">
        <f t="shared" si="143"/>
        <v>2.2708641912150958E-12</v>
      </c>
      <c r="AL134" s="22">
        <f t="shared" si="112"/>
        <v>4.2330868906469593E-12</v>
      </c>
      <c r="AM134" s="62">
        <f t="shared" si="113"/>
        <v>293.33333333333752</v>
      </c>
      <c r="AN134" s="62">
        <f ca="1">AVERAGE(OFFSET($AM$3,0,0,'Données projet'!$E$10+1,1))-AVERAGE(OFFSET($H$3,0,0,'Données projet'!$E$10+1,1))</f>
        <v>215.04236469150038</v>
      </c>
      <c r="AO134" s="62">
        <f t="shared" si="144"/>
        <v>160.72275701448416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2">
        <f t="shared" si="140"/>
        <v>21.876828219051234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70">
        <f t="shared" si="110"/>
        <v>468.91567581484742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5.6843418860808015E-14</v>
      </c>
      <c r="O135" s="14">
        <f>N135*VLOOKUP('Données projet'!$B$9,Paramètres!$A$1:$I$89,3,0)*VLOOKUP('Données projet'!$B$9,Paramètres!$A$1:$I$89,5,0)</f>
        <v>3.3992364478763198E-14</v>
      </c>
      <c r="P135" s="14">
        <f t="shared" si="141"/>
        <v>5.790027782444094E-13</v>
      </c>
      <c r="Q135" s="22">
        <f t="shared" si="108"/>
        <v>1.0676332069095257E-12</v>
      </c>
      <c r="R135" s="62">
        <f t="shared" si="109"/>
        <v>293.33333333333439</v>
      </c>
      <c r="S135" s="62">
        <f ca="1">AVERAGE(OFFSET($R$3,0,0,'Données projet'!$E$9+1,1))-AVERAGE(OFFSET($H$3,0,0,'Données projet'!$E$9+1,1))</f>
        <v>157.98488572680344</v>
      </c>
      <c r="T135" s="62">
        <f t="shared" si="142"/>
        <v>269.20989374735825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14.510747567002634</v>
      </c>
      <c r="AA135" s="23">
        <f>EXP(-LN(2)/25)*AA134+(1-EXP(-LN(2)/25))/(LN(2)/25)*Calculateur!V135*Calculateur!X135*VLOOKUP('Données projet'!$B$9,Paramètres!$A$1:$I$89,3,0)*0.475*44/12</f>
        <v>0.19767150557360988</v>
      </c>
      <c r="AB135" s="23">
        <f>EXP(-LN(2)/2)*AB134+(1-EXP(-LN(2)/2))/(LN(2)/2)*V135*Y135*VLOOKUP('Données projet'!$B$9,Paramètres!$A$1:$I$89,3,0)*0.475*44/12</f>
        <v>4.8917254189053219E-13</v>
      </c>
      <c r="AC135" s="24">
        <f t="shared" si="111"/>
        <v>14.708419072576731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3.4106051316484809E-13</v>
      </c>
      <c r="AJ135" s="14">
        <f>AI135*VLOOKUP('Données projet'!$B$10,Paramètres!$A$1:$I$89,3,0)*VLOOKUP('Données projet'!$B$10,Paramètres!$A$1:$I$89,5,0)</f>
        <v>1.5961632016114892E-13</v>
      </c>
      <c r="AK135" s="14">
        <f t="shared" si="143"/>
        <v>2.2708641912150958E-12</v>
      </c>
      <c r="AL135" s="22">
        <f t="shared" si="112"/>
        <v>4.2330868906469593E-12</v>
      </c>
      <c r="AM135" s="62">
        <f t="shared" si="113"/>
        <v>293.33333333333752</v>
      </c>
      <c r="AN135" s="62">
        <f ca="1">AVERAGE(OFFSET($AM$3,0,0,'Données projet'!$E$10+1,1))-AVERAGE(OFFSET($H$3,0,0,'Données projet'!$E$10+1,1))</f>
        <v>215.04236469150038</v>
      </c>
      <c r="AO135" s="62">
        <f t="shared" si="144"/>
        <v>160.72275701448416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2">
        <f t="shared" si="140"/>
        <v>22.023205994903051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70">
        <f t="shared" si="110"/>
        <v>470.21213377445594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5.6843418860808015E-14</v>
      </c>
      <c r="O136" s="14">
        <f>N136*VLOOKUP('Données projet'!$B$9,Paramètres!$A$1:$I$89,3,0)*VLOOKUP('Données projet'!$B$9,Paramètres!$A$1:$I$89,5,0)</f>
        <v>3.3992364478763198E-14</v>
      </c>
      <c r="P136" s="14">
        <f t="shared" si="141"/>
        <v>5.790027782444094E-13</v>
      </c>
      <c r="Q136" s="22">
        <f t="shared" si="108"/>
        <v>1.0676332069095257E-12</v>
      </c>
      <c r="R136" s="62">
        <f t="shared" si="109"/>
        <v>293.33333333333439</v>
      </c>
      <c r="S136" s="62">
        <f ca="1">AVERAGE(OFFSET($R$3,0,0,'Données projet'!$E$9+1,1))-AVERAGE(OFFSET($H$3,0,0,'Données projet'!$E$9+1,1))</f>
        <v>157.98488572680344</v>
      </c>
      <c r="T136" s="62">
        <f t="shared" si="142"/>
        <v>269.20989374735825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14.226200657895795</v>
      </c>
      <c r="AA136" s="23">
        <f>EXP(-LN(2)/25)*AA135+(1-EXP(-LN(2)/25))/(LN(2)/25)*Calculateur!V136*Calculateur!X136*VLOOKUP('Données projet'!$B$9,Paramètres!$A$1:$I$89,3,0)*0.475*44/12</f>
        <v>0.19226616785860681</v>
      </c>
      <c r="AB136" s="23">
        <f>EXP(-LN(2)/2)*AB135+(1-EXP(-LN(2)/2))/(LN(2)/2)*V136*Y136*VLOOKUP('Données projet'!$B$9,Paramètres!$A$1:$I$89,3,0)*0.475*44/12</f>
        <v>3.458972215410558E-13</v>
      </c>
      <c r="AC136" s="24">
        <f t="shared" si="111"/>
        <v>14.418466825754749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3.4106051316484809E-13</v>
      </c>
      <c r="AJ136" s="14">
        <f>AI136*VLOOKUP('Données projet'!$B$10,Paramètres!$A$1:$I$89,3,0)*VLOOKUP('Données projet'!$B$10,Paramètres!$A$1:$I$89,5,0)</f>
        <v>1.5961632016114892E-13</v>
      </c>
      <c r="AK136" s="14">
        <f t="shared" si="143"/>
        <v>2.2708641912150958E-12</v>
      </c>
      <c r="AL136" s="22">
        <f t="shared" si="112"/>
        <v>4.2330868906469593E-12</v>
      </c>
      <c r="AM136" s="62">
        <f t="shared" si="113"/>
        <v>293.33333333333752</v>
      </c>
      <c r="AN136" s="62">
        <f ca="1">AVERAGE(OFFSET($AM$3,0,0,'Données projet'!$E$10+1,1))-AVERAGE(OFFSET($H$3,0,0,'Données projet'!$E$10+1,1))</f>
        <v>215.04236469150038</v>
      </c>
      <c r="AO136" s="62">
        <f t="shared" si="144"/>
        <v>160.72275701448416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2">
        <f t="shared" si="140"/>
        <v>22.16945571745314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70">
        <f t="shared" si="110"/>
        <v>471.50836870789738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5.6843418860808015E-14</v>
      </c>
      <c r="O137" s="14">
        <f>N137*VLOOKUP('Données projet'!$B$9,Paramètres!$A$1:$I$89,3,0)*VLOOKUP('Données projet'!$B$9,Paramètres!$A$1:$I$89,5,0)</f>
        <v>3.3992364478763198E-14</v>
      </c>
      <c r="P137" s="14">
        <f t="shared" si="141"/>
        <v>5.790027782444094E-13</v>
      </c>
      <c r="Q137" s="22">
        <f t="shared" si="108"/>
        <v>1.0676332069095257E-12</v>
      </c>
      <c r="R137" s="62">
        <f t="shared" si="109"/>
        <v>293.33333333333439</v>
      </c>
      <c r="S137" s="62">
        <f ca="1">AVERAGE(OFFSET($R$3,0,0,'Données projet'!$E$9+1,1))-AVERAGE(OFFSET($H$3,0,0,'Données projet'!$E$9+1,1))</f>
        <v>157.98488572680344</v>
      </c>
      <c r="T137" s="62">
        <f t="shared" si="142"/>
        <v>269.20989374735825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13.947233540120065</v>
      </c>
      <c r="AA137" s="23">
        <f>EXP(-LN(2)/25)*AA136+(1-EXP(-LN(2)/25))/(LN(2)/25)*Calculateur!V137*Calculateur!X137*VLOOKUP('Données projet'!$B$9,Paramètres!$A$1:$I$89,3,0)*0.475*44/12</f>
        <v>0.18700863938767487</v>
      </c>
      <c r="AB137" s="23">
        <f>EXP(-LN(2)/2)*AB136+(1-EXP(-LN(2)/2))/(LN(2)/2)*V137*Y137*VLOOKUP('Données projet'!$B$9,Paramètres!$A$1:$I$89,3,0)*0.475*44/12</f>
        <v>2.445862709452661E-13</v>
      </c>
      <c r="AC137" s="24">
        <f t="shared" si="111"/>
        <v>14.134242179507986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3.4106051316484809E-13</v>
      </c>
      <c r="AJ137" s="14">
        <f>AI137*VLOOKUP('Données projet'!$B$10,Paramètres!$A$1:$I$89,3,0)*VLOOKUP('Données projet'!$B$10,Paramètres!$A$1:$I$89,5,0)</f>
        <v>1.5961632016114892E-13</v>
      </c>
      <c r="AK137" s="14">
        <f t="shared" si="143"/>
        <v>2.2708641912150958E-12</v>
      </c>
      <c r="AL137" s="22">
        <f t="shared" si="112"/>
        <v>4.2330868906469593E-12</v>
      </c>
      <c r="AM137" s="62">
        <f t="shared" si="113"/>
        <v>293.33333333333752</v>
      </c>
      <c r="AN137" s="62">
        <f ca="1">AVERAGE(OFFSET($AM$3,0,0,'Données projet'!$E$10+1,1))-AVERAGE(OFFSET($H$3,0,0,'Données projet'!$E$10+1,1))</f>
        <v>215.04236469150038</v>
      </c>
      <c r="AO137" s="62">
        <f t="shared" si="144"/>
        <v>160.72275701448416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2">
        <f t="shared" si="140"/>
        <v>22.31557845311416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70">
        <f t="shared" si="110"/>
        <v>472.80438247250697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5.6843418860808015E-14</v>
      </c>
      <c r="O138" s="14">
        <f>N138*VLOOKUP('Données projet'!$B$9,Paramètres!$A$1:$I$89,3,0)*VLOOKUP('Données projet'!$B$9,Paramètres!$A$1:$I$89,5,0)</f>
        <v>3.3992364478763198E-14</v>
      </c>
      <c r="P138" s="14">
        <f t="shared" si="141"/>
        <v>5.790027782444094E-13</v>
      </c>
      <c r="Q138" s="22">
        <f t="shared" si="108"/>
        <v>1.0676332069095257E-12</v>
      </c>
      <c r="R138" s="62">
        <f t="shared" si="109"/>
        <v>293.33333333333439</v>
      </c>
      <c r="S138" s="62">
        <f ca="1">AVERAGE(OFFSET($R$3,0,0,'Données projet'!$E$9+1,1))-AVERAGE(OFFSET($H$3,0,0,'Données projet'!$E$9+1,1))</f>
        <v>157.98488572680344</v>
      </c>
      <c r="T138" s="62">
        <f t="shared" si="142"/>
        <v>269.20989374735825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13.673736797370776</v>
      </c>
      <c r="AA138" s="23">
        <f>EXP(-LN(2)/25)*AA137+(1-EXP(-LN(2)/25))/(LN(2)/25)*Calculateur!V138*Calculateur!X138*VLOOKUP('Données projet'!$B$9,Paramètres!$A$1:$I$89,3,0)*0.475*44/12</f>
        <v>0.18189487830926196</v>
      </c>
      <c r="AB138" s="23">
        <f>EXP(-LN(2)/2)*AB137+(1-EXP(-LN(2)/2))/(LN(2)/2)*V138*Y138*VLOOKUP('Données projet'!$B$9,Paramètres!$A$1:$I$89,3,0)*0.475*44/12</f>
        <v>1.729486107705279E-13</v>
      </c>
      <c r="AC138" s="24">
        <f t="shared" si="111"/>
        <v>13.855631675680209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3.4106051316484809E-13</v>
      </c>
      <c r="AJ138" s="14">
        <f>AI138*VLOOKUP('Données projet'!$B$10,Paramètres!$A$1:$I$89,3,0)*VLOOKUP('Données projet'!$B$10,Paramètres!$A$1:$I$89,5,0)</f>
        <v>1.5961632016114892E-13</v>
      </c>
      <c r="AK138" s="14">
        <f t="shared" si="143"/>
        <v>2.2708641912150958E-12</v>
      </c>
      <c r="AL138" s="22">
        <f t="shared" si="112"/>
        <v>4.2330868906469593E-12</v>
      </c>
      <c r="AM138" s="62">
        <f t="shared" si="113"/>
        <v>293.33333333333752</v>
      </c>
      <c r="AN138" s="62">
        <f ca="1">AVERAGE(OFFSET($AM$3,0,0,'Données projet'!$E$10+1,1))-AVERAGE(OFFSET($H$3,0,0,'Données projet'!$E$10+1,1))</f>
        <v>215.04236469150038</v>
      </c>
      <c r="AO138" s="62">
        <f t="shared" si="144"/>
        <v>160.72275701448416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2">
        <f t="shared" si="140"/>
        <v>22.461575251587284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70">
        <f t="shared" si="110"/>
        <v>474.10017689651431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5.6843418860808015E-14</v>
      </c>
      <c r="O139" s="14">
        <f>N139*VLOOKUP('Données projet'!$B$9,Paramètres!$A$1:$I$89,3,0)*VLOOKUP('Données projet'!$B$9,Paramètres!$A$1:$I$89,5,0)</f>
        <v>3.3992364478763198E-14</v>
      </c>
      <c r="P139" s="14">
        <f t="shared" si="141"/>
        <v>5.790027782444094E-13</v>
      </c>
      <c r="Q139" s="22">
        <f t="shared" si="108"/>
        <v>1.0676332069095257E-12</v>
      </c>
      <c r="R139" s="62">
        <f t="shared" si="109"/>
        <v>293.33333333333439</v>
      </c>
      <c r="S139" s="62">
        <f ca="1">AVERAGE(OFFSET($R$3,0,0,'Données projet'!$E$9+1,1))-AVERAGE(OFFSET($H$3,0,0,'Données projet'!$E$9+1,1))</f>
        <v>157.98488572680344</v>
      </c>
      <c r="T139" s="62">
        <f t="shared" si="142"/>
        <v>269.20989374735825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13.405603158930258</v>
      </c>
      <c r="AA139" s="23">
        <f>EXP(-LN(2)/25)*AA138+(1-EXP(-LN(2)/25))/(LN(2)/25)*Calculateur!V139*Calculateur!X139*VLOOKUP('Données projet'!$B$9,Paramètres!$A$1:$I$89,3,0)*0.475*44/12</f>
        <v>0.17692095329645927</v>
      </c>
      <c r="AB139" s="23">
        <f>EXP(-LN(2)/2)*AB138+(1-EXP(-LN(2)/2))/(LN(2)/2)*V139*Y139*VLOOKUP('Données projet'!$B$9,Paramètres!$A$1:$I$89,3,0)*0.475*44/12</f>
        <v>1.2229313547263305E-13</v>
      </c>
      <c r="AC139" s="24">
        <f t="shared" si="111"/>
        <v>13.582524112226841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3.4106051316484809E-13</v>
      </c>
      <c r="AJ139" s="14">
        <f>AI139*VLOOKUP('Données projet'!$B$10,Paramètres!$A$1:$I$89,3,0)*VLOOKUP('Données projet'!$B$10,Paramètres!$A$1:$I$89,5,0)</f>
        <v>1.5961632016114892E-13</v>
      </c>
      <c r="AK139" s="14">
        <f t="shared" si="143"/>
        <v>2.2708641912150958E-12</v>
      </c>
      <c r="AL139" s="22">
        <f t="shared" si="112"/>
        <v>4.2330868906469593E-12</v>
      </c>
      <c r="AM139" s="62">
        <f t="shared" si="113"/>
        <v>293.33333333333752</v>
      </c>
      <c r="AN139" s="62">
        <f ca="1">AVERAGE(OFFSET($AM$3,0,0,'Données projet'!$E$10+1,1))-AVERAGE(OFFSET($H$3,0,0,'Données projet'!$E$10+1,1))</f>
        <v>215.04236469150038</v>
      </c>
      <c r="AO139" s="62">
        <f t="shared" si="144"/>
        <v>160.72275701448416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2">
        <f t="shared" si="140"/>
        <v>22.607447146245129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70">
        <f t="shared" si="110"/>
        <v>475.39575377971011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5.6843418860808015E-14</v>
      </c>
      <c r="O140" s="14">
        <f>N140*VLOOKUP('Données projet'!$B$9,Paramètres!$A$1:$I$89,3,0)*VLOOKUP('Données projet'!$B$9,Paramètres!$A$1:$I$89,5,0)</f>
        <v>3.3992364478763198E-14</v>
      </c>
      <c r="P140" s="14">
        <f t="shared" si="141"/>
        <v>5.790027782444094E-13</v>
      </c>
      <c r="Q140" s="22">
        <f t="shared" si="108"/>
        <v>1.0676332069095257E-12</v>
      </c>
      <c r="R140" s="62">
        <f t="shared" si="109"/>
        <v>293.33333333333439</v>
      </c>
      <c r="S140" s="62">
        <f ca="1">AVERAGE(OFFSET($R$3,0,0,'Données projet'!$E$9+1,1))-AVERAGE(OFFSET($H$3,0,0,'Données projet'!$E$9+1,1))</f>
        <v>157.98488572680344</v>
      </c>
      <c r="T140" s="62">
        <f t="shared" si="142"/>
        <v>269.20989374735825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13.142727457594189</v>
      </c>
      <c r="AA140" s="23">
        <f>EXP(-LN(2)/25)*AA139+(1-EXP(-LN(2)/25))/(LN(2)/25)*Calculateur!V140*Calculateur!X140*VLOOKUP('Données projet'!$B$9,Paramètres!$A$1:$I$89,3,0)*0.475*44/12</f>
        <v>0.172083040524699</v>
      </c>
      <c r="AB140" s="23">
        <f>EXP(-LN(2)/2)*AB139+(1-EXP(-LN(2)/2))/(LN(2)/2)*V140*Y140*VLOOKUP('Données projet'!$B$9,Paramètres!$A$1:$I$89,3,0)*0.475*44/12</f>
        <v>8.647430538526395E-14</v>
      </c>
      <c r="AC140" s="24">
        <f t="shared" si="111"/>
        <v>13.314810498118975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3.4106051316484809E-13</v>
      </c>
      <c r="AJ140" s="14">
        <f>AI140*VLOOKUP('Données projet'!$B$10,Paramètres!$A$1:$I$89,3,0)*VLOOKUP('Données projet'!$B$10,Paramètres!$A$1:$I$89,5,0)</f>
        <v>1.5961632016114892E-13</v>
      </c>
      <c r="AK140" s="14">
        <f t="shared" si="143"/>
        <v>2.2708641912150958E-12</v>
      </c>
      <c r="AL140" s="22">
        <f t="shared" si="112"/>
        <v>4.2330868906469593E-12</v>
      </c>
      <c r="AM140" s="62">
        <f t="shared" si="113"/>
        <v>293.33333333333752</v>
      </c>
      <c r="AN140" s="62">
        <f ca="1">AVERAGE(OFFSET($AM$3,0,0,'Données projet'!$E$10+1,1))-AVERAGE(OFFSET($H$3,0,0,'Données projet'!$E$10+1,1))</f>
        <v>215.04236469150038</v>
      </c>
      <c r="AO140" s="62">
        <f t="shared" si="144"/>
        <v>160.72275701448416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2">
        <f t="shared" si="140"/>
        <v>22.75319515450283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70">
        <f t="shared" si="110"/>
        <v>476.69111489409227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5.6843418860808015E-14</v>
      </c>
      <c r="O141" s="14">
        <f>N141*VLOOKUP('Données projet'!$B$9,Paramètres!$A$1:$I$89,3,0)*VLOOKUP('Données projet'!$B$9,Paramètres!$A$1:$I$89,5,0)</f>
        <v>3.3992364478763198E-14</v>
      </c>
      <c r="P141" s="14">
        <f t="shared" si="141"/>
        <v>5.790027782444094E-13</v>
      </c>
      <c r="Q141" s="22">
        <f t="shared" si="108"/>
        <v>1.0676332069095257E-12</v>
      </c>
      <c r="R141" s="62">
        <f t="shared" si="109"/>
        <v>293.33333333333439</v>
      </c>
      <c r="S141" s="62">
        <f ca="1">AVERAGE(OFFSET($R$3,0,0,'Données projet'!$E$9+1,1))-AVERAGE(OFFSET($H$3,0,0,'Données projet'!$E$9+1,1))</f>
        <v>157.98488572680344</v>
      </c>
      <c r="T141" s="62">
        <f t="shared" si="142"/>
        <v>269.20989374735825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12.885006588422975</v>
      </c>
      <c r="AA141" s="23">
        <f>EXP(-LN(2)/25)*AA140+(1-EXP(-LN(2)/25))/(LN(2)/25)*Calculateur!V141*Calculateur!X141*VLOOKUP('Données projet'!$B$9,Paramètres!$A$1:$I$89,3,0)*0.475*44/12</f>
        <v>0.1673774207320973</v>
      </c>
      <c r="AB141" s="23">
        <f>EXP(-LN(2)/2)*AB140+(1-EXP(-LN(2)/2))/(LN(2)/2)*V141*Y141*VLOOKUP('Données projet'!$B$9,Paramètres!$A$1:$I$89,3,0)*0.475*44/12</f>
        <v>6.1146567736316524E-14</v>
      </c>
      <c r="AC141" s="24">
        <f t="shared" si="111"/>
        <v>13.052384009155134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3.4106051316484809E-13</v>
      </c>
      <c r="AJ141" s="14">
        <f>AI141*VLOOKUP('Données projet'!$B$10,Paramètres!$A$1:$I$89,3,0)*VLOOKUP('Données projet'!$B$10,Paramètres!$A$1:$I$89,5,0)</f>
        <v>1.5961632016114892E-13</v>
      </c>
      <c r="AK141" s="14">
        <f t="shared" si="143"/>
        <v>2.2708641912150958E-12</v>
      </c>
      <c r="AL141" s="22">
        <f t="shared" si="112"/>
        <v>4.2330868906469593E-12</v>
      </c>
      <c r="AM141" s="62">
        <f t="shared" si="113"/>
        <v>293.33333333333752</v>
      </c>
      <c r="AN141" s="62">
        <f ca="1">AVERAGE(OFFSET($AM$3,0,0,'Données projet'!$E$10+1,1))-AVERAGE(OFFSET($H$3,0,0,'Données projet'!$E$10+1,1))</f>
        <v>215.04236469150038</v>
      </c>
      <c r="AO141" s="62">
        <f t="shared" si="144"/>
        <v>160.72275701448416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2">
        <f t="shared" si="140"/>
        <v>22.898820278178491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70">
        <f t="shared" si="110"/>
        <v>477.98626198449398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5.6843418860808015E-14</v>
      </c>
      <c r="O142" s="14">
        <f>N142*VLOOKUP('Données projet'!$B$9,Paramètres!$A$1:$I$89,3,0)*VLOOKUP('Données projet'!$B$9,Paramètres!$A$1:$I$89,5,0)</f>
        <v>3.3992364478763198E-14</v>
      </c>
      <c r="P142" s="14">
        <f t="shared" si="141"/>
        <v>5.790027782444094E-13</v>
      </c>
      <c r="Q142" s="22">
        <f t="shared" si="108"/>
        <v>1.0676332069095257E-12</v>
      </c>
      <c r="R142" s="62">
        <f t="shared" si="109"/>
        <v>293.33333333333439</v>
      </c>
      <c r="S142" s="62">
        <f ca="1">AVERAGE(OFFSET($R$3,0,0,'Données projet'!$E$9+1,1))-AVERAGE(OFFSET($H$3,0,0,'Données projet'!$E$9+1,1))</f>
        <v>157.98488572680344</v>
      </c>
      <c r="T142" s="62">
        <f t="shared" si="142"/>
        <v>269.20989374735825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12.632339468302</v>
      </c>
      <c r="AA142" s="23">
        <f>EXP(-LN(2)/25)*AA141+(1-EXP(-LN(2)/25))/(LN(2)/25)*Calculateur!V142*Calculateur!X142*VLOOKUP('Données projet'!$B$9,Paramètres!$A$1:$I$89,3,0)*0.475*44/12</f>
        <v>0.16280047636018208</v>
      </c>
      <c r="AB142" s="23">
        <f>EXP(-LN(2)/2)*AB141+(1-EXP(-LN(2)/2))/(LN(2)/2)*V142*Y142*VLOOKUP('Données projet'!$B$9,Paramètres!$A$1:$I$89,3,0)*0.475*44/12</f>
        <v>4.3237152692631975E-14</v>
      </c>
      <c r="AC142" s="24">
        <f t="shared" si="111"/>
        <v>12.795139944662225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3.4106051316484809E-13</v>
      </c>
      <c r="AJ142" s="14">
        <f>AI142*VLOOKUP('Données projet'!$B$10,Paramètres!$A$1:$I$89,3,0)*VLOOKUP('Données projet'!$B$10,Paramètres!$A$1:$I$89,5,0)</f>
        <v>1.5961632016114892E-13</v>
      </c>
      <c r="AK142" s="14">
        <f t="shared" si="143"/>
        <v>2.2708641912150958E-12</v>
      </c>
      <c r="AL142" s="22">
        <f t="shared" si="112"/>
        <v>4.2330868906469593E-12</v>
      </c>
      <c r="AM142" s="62">
        <f t="shared" si="113"/>
        <v>293.33333333333752</v>
      </c>
      <c r="AN142" s="62">
        <f ca="1">AVERAGE(OFFSET($AM$3,0,0,'Données projet'!$E$10+1,1))-AVERAGE(OFFSET($H$3,0,0,'Données projet'!$E$10+1,1))</f>
        <v>215.04236469150038</v>
      </c>
      <c r="AO142" s="62">
        <f t="shared" si="144"/>
        <v>160.72275701448416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2">
        <f t="shared" si="140"/>
        <v>23.044323503842559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70">
        <f t="shared" si="110"/>
        <v>479.28119676919226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5.6843418860808015E-14</v>
      </c>
      <c r="O143" s="14">
        <f>N143*VLOOKUP('Données projet'!$B$9,Paramètres!$A$1:$I$89,3,0)*VLOOKUP('Données projet'!$B$9,Paramètres!$A$1:$I$89,5,0)</f>
        <v>3.3992364478763198E-14</v>
      </c>
      <c r="P143" s="14">
        <f t="shared" si="141"/>
        <v>5.790027782444094E-13</v>
      </c>
      <c r="Q143" s="22">
        <f t="shared" si="108"/>
        <v>1.0676332069095257E-12</v>
      </c>
      <c r="R143" s="62">
        <f t="shared" si="109"/>
        <v>293.33333333333439</v>
      </c>
      <c r="S143" s="62">
        <f ca="1">AVERAGE(OFFSET($R$3,0,0,'Données projet'!$E$9+1,1))-AVERAGE(OFFSET($H$3,0,0,'Données projet'!$E$9+1,1))</f>
        <v>157.98488572680344</v>
      </c>
      <c r="T143" s="62">
        <f t="shared" si="142"/>
        <v>269.20989374735825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12.384626996294871</v>
      </c>
      <c r="AA143" s="23">
        <f>EXP(-LN(2)/25)*AA142+(1-EXP(-LN(2)/25))/(LN(2)/25)*Calculateur!V143*Calculateur!X143*VLOOKUP('Données projet'!$B$9,Paramètres!$A$1:$I$89,3,0)*0.475*44/12</f>
        <v>0.15834868877280794</v>
      </c>
      <c r="AB143" s="23">
        <f>EXP(-LN(2)/2)*AB142+(1-EXP(-LN(2)/2))/(LN(2)/2)*V143*Y143*VLOOKUP('Données projet'!$B$9,Paramètres!$A$1:$I$89,3,0)*0.475*44/12</f>
        <v>3.0573283868158262E-14</v>
      </c>
      <c r="AC143" s="24">
        <f t="shared" si="111"/>
        <v>12.542975685067709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3.4106051316484809E-13</v>
      </c>
      <c r="AJ143" s="14">
        <f>AI143*VLOOKUP('Données projet'!$B$10,Paramètres!$A$1:$I$89,3,0)*VLOOKUP('Données projet'!$B$10,Paramètres!$A$1:$I$89,5,0)</f>
        <v>1.5961632016114892E-13</v>
      </c>
      <c r="AK143" s="14">
        <f t="shared" si="143"/>
        <v>2.2708641912150958E-12</v>
      </c>
      <c r="AL143" s="22">
        <f t="shared" si="112"/>
        <v>4.2330868906469593E-12</v>
      </c>
      <c r="AM143" s="62">
        <f t="shared" si="113"/>
        <v>293.33333333333752</v>
      </c>
      <c r="AN143" s="62">
        <f ca="1">AVERAGE(OFFSET($AM$3,0,0,'Données projet'!$E$10+1,1))-AVERAGE(OFFSET($H$3,0,0,'Données projet'!$E$10+1,1))</f>
        <v>215.04236469150038</v>
      </c>
      <c r="AO143" s="62">
        <f t="shared" si="144"/>
        <v>160.72275701448416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2">
        <f t="shared" si="140"/>
        <v>23.189705803157228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70">
        <f t="shared" si="110"/>
        <v>480.57592094049863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5.6843418860808015E-14</v>
      </c>
      <c r="O144" s="14">
        <f>N144*VLOOKUP('Données projet'!$B$9,Paramètres!$A$1:$I$89,3,0)*VLOOKUP('Données projet'!$B$9,Paramètres!$A$1:$I$89,5,0)</f>
        <v>3.3992364478763198E-14</v>
      </c>
      <c r="P144" s="14">
        <f t="shared" si="141"/>
        <v>5.790027782444094E-13</v>
      </c>
      <c r="Q144" s="22">
        <f t="shared" si="108"/>
        <v>1.0676332069095257E-12</v>
      </c>
      <c r="R144" s="62">
        <f t="shared" si="109"/>
        <v>293.33333333333439</v>
      </c>
      <c r="S144" s="62">
        <f ca="1">AVERAGE(OFFSET($R$3,0,0,'Données projet'!$E$9+1,1))-AVERAGE(OFFSET($H$3,0,0,'Données projet'!$E$9+1,1))</f>
        <v>157.98488572680344</v>
      </c>
      <c r="T144" s="62">
        <f t="shared" si="142"/>
        <v>269.20989374735825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12.141772014774114</v>
      </c>
      <c r="AA144" s="23">
        <f>EXP(-LN(2)/25)*AA143+(1-EXP(-LN(2)/25))/(LN(2)/25)*Calculateur!V144*Calculateur!X144*VLOOKUP('Données projet'!$B$9,Paramètres!$A$1:$I$89,3,0)*0.475*44/12</f>
        <v>0.15401863555111989</v>
      </c>
      <c r="AB144" s="23">
        <f>EXP(-LN(2)/2)*AB143+(1-EXP(-LN(2)/2))/(LN(2)/2)*V144*Y144*VLOOKUP('Données projet'!$B$9,Paramètres!$A$1:$I$89,3,0)*0.475*44/12</f>
        <v>2.1618576346315987E-14</v>
      </c>
      <c r="AC144" s="24">
        <f t="shared" si="111"/>
        <v>12.295790650325255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3.4106051316484809E-13</v>
      </c>
      <c r="AJ144" s="14">
        <f>AI144*VLOOKUP('Données projet'!$B$10,Paramètres!$A$1:$I$89,3,0)*VLOOKUP('Données projet'!$B$10,Paramètres!$A$1:$I$89,5,0)</f>
        <v>1.5961632016114892E-13</v>
      </c>
      <c r="AK144" s="14">
        <f t="shared" si="143"/>
        <v>2.2708641912150958E-12</v>
      </c>
      <c r="AL144" s="22">
        <f t="shared" si="112"/>
        <v>4.2330868906469593E-12</v>
      </c>
      <c r="AM144" s="62">
        <f t="shared" si="113"/>
        <v>293.33333333333752</v>
      </c>
      <c r="AN144" s="62">
        <f ca="1">AVERAGE(OFFSET($AM$3,0,0,'Données projet'!$E$10+1,1))-AVERAGE(OFFSET($H$3,0,0,'Données projet'!$E$10+1,1))</f>
        <v>215.04236469150038</v>
      </c>
      <c r="AO144" s="62">
        <f t="shared" si="144"/>
        <v>160.72275701448416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2">
        <f t="shared" si="140"/>
        <v>23.334968133205699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70">
        <f t="shared" si="110"/>
        <v>481.87043616533305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5.6843418860808015E-14</v>
      </c>
      <c r="O145" s="14">
        <f>N145*VLOOKUP('Données projet'!$B$9,Paramètres!$A$1:$I$89,3,0)*VLOOKUP('Données projet'!$B$9,Paramètres!$A$1:$I$89,5,0)</f>
        <v>3.3992364478763198E-14</v>
      </c>
      <c r="P145" s="14">
        <f t="shared" si="141"/>
        <v>5.790027782444094E-13</v>
      </c>
      <c r="Q145" s="22">
        <f t="shared" si="108"/>
        <v>1.0676332069095257E-12</v>
      </c>
      <c r="R145" s="62">
        <f t="shared" si="109"/>
        <v>293.33333333333439</v>
      </c>
      <c r="S145" s="62">
        <f ca="1">AVERAGE(OFFSET($R$3,0,0,'Données projet'!$E$9+1,1))-AVERAGE(OFFSET($H$3,0,0,'Données projet'!$E$9+1,1))</f>
        <v>157.98488572680344</v>
      </c>
      <c r="T145" s="62">
        <f t="shared" si="142"/>
        <v>269.20989374735825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11.903679271314065</v>
      </c>
      <c r="AA145" s="23">
        <f>EXP(-LN(2)/25)*AA144+(1-EXP(-LN(2)/25))/(LN(2)/25)*Calculateur!V145*Calculateur!X145*VLOOKUP('Données projet'!$B$9,Paramètres!$A$1:$I$89,3,0)*0.475*44/12</f>
        <v>0.14980698786248647</v>
      </c>
      <c r="AB145" s="23">
        <f>EXP(-LN(2)/2)*AB144+(1-EXP(-LN(2)/2))/(LN(2)/2)*V145*Y145*VLOOKUP('Données projet'!$B$9,Paramètres!$A$1:$I$89,3,0)*0.475*44/12</f>
        <v>1.5286641934079131E-14</v>
      </c>
      <c r="AC145" s="24">
        <f t="shared" si="111"/>
        <v>12.053486259176568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3.4106051316484809E-13</v>
      </c>
      <c r="AJ145" s="14">
        <f>AI145*VLOOKUP('Données projet'!$B$10,Paramètres!$A$1:$I$89,3,0)*VLOOKUP('Données projet'!$B$10,Paramètres!$A$1:$I$89,5,0)</f>
        <v>1.5961632016114892E-13</v>
      </c>
      <c r="AK145" s="14">
        <f t="shared" si="143"/>
        <v>2.2708641912150958E-12</v>
      </c>
      <c r="AL145" s="22">
        <f t="shared" si="112"/>
        <v>4.2330868906469593E-12</v>
      </c>
      <c r="AM145" s="62">
        <f t="shared" si="113"/>
        <v>293.33333333333752</v>
      </c>
      <c r="AN145" s="62">
        <f ca="1">AVERAGE(OFFSET($AM$3,0,0,'Données projet'!$E$10+1,1))-AVERAGE(OFFSET($H$3,0,0,'Données projet'!$E$10+1,1))</f>
        <v>215.04236469150038</v>
      </c>
      <c r="AO145" s="62">
        <f t="shared" si="144"/>
        <v>160.72275701448416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2">
        <f t="shared" si="140"/>
        <v>23.480111436812148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70">
        <f t="shared" si="110"/>
        <v>483.16474408578097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5.6843418860808015E-14</v>
      </c>
      <c r="O146" s="14">
        <f>N146*VLOOKUP('Données projet'!$B$9,Paramètres!$A$1:$I$89,3,0)*VLOOKUP('Données projet'!$B$9,Paramètres!$A$1:$I$89,5,0)</f>
        <v>3.3992364478763198E-14</v>
      </c>
      <c r="P146" s="14">
        <f t="shared" si="141"/>
        <v>5.790027782444094E-13</v>
      </c>
      <c r="Q146" s="22">
        <f t="shared" si="108"/>
        <v>1.0676332069095257E-12</v>
      </c>
      <c r="R146" s="62">
        <f t="shared" si="109"/>
        <v>293.33333333333439</v>
      </c>
      <c r="S146" s="62">
        <f ca="1">AVERAGE(OFFSET($R$3,0,0,'Données projet'!$E$9+1,1))-AVERAGE(OFFSET($H$3,0,0,'Données projet'!$E$9+1,1))</f>
        <v>157.98488572680344</v>
      </c>
      <c r="T146" s="62">
        <f t="shared" si="142"/>
        <v>269.20989374735825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11.670255381331033</v>
      </c>
      <c r="AA146" s="23">
        <f>EXP(-LN(2)/25)*AA145+(1-EXP(-LN(2)/25))/(LN(2)/25)*Calculateur!V146*Calculateur!X146*VLOOKUP('Données projet'!$B$9,Paramètres!$A$1:$I$89,3,0)*0.475*44/12</f>
        <v>0.14571050790137968</v>
      </c>
      <c r="AB146" s="23">
        <f>EXP(-LN(2)/2)*AB145+(1-EXP(-LN(2)/2))/(LN(2)/2)*V146*Y146*VLOOKUP('Données projet'!$B$9,Paramètres!$A$1:$I$89,3,0)*0.475*44/12</f>
        <v>1.0809288173157994E-14</v>
      </c>
      <c r="AC146" s="24">
        <f t="shared" si="111"/>
        <v>11.815965889232423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3.4106051316484809E-13</v>
      </c>
      <c r="AJ146" s="14">
        <f>AI146*VLOOKUP('Données projet'!$B$10,Paramètres!$A$1:$I$89,3,0)*VLOOKUP('Données projet'!$B$10,Paramètres!$A$1:$I$89,5,0)</f>
        <v>1.5961632016114892E-13</v>
      </c>
      <c r="AK146" s="14">
        <f t="shared" si="143"/>
        <v>2.2708641912150958E-12</v>
      </c>
      <c r="AL146" s="22">
        <f t="shared" si="112"/>
        <v>4.2330868906469593E-12</v>
      </c>
      <c r="AM146" s="62">
        <f t="shared" si="113"/>
        <v>293.33333333333752</v>
      </c>
      <c r="AN146" s="62">
        <f ca="1">AVERAGE(OFFSET($AM$3,0,0,'Données projet'!$E$10+1,1))-AVERAGE(OFFSET($H$3,0,0,'Données projet'!$E$10+1,1))</f>
        <v>215.04236469150038</v>
      </c>
      <c r="AO146" s="62">
        <f t="shared" si="144"/>
        <v>160.72275701448416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2">
        <f t="shared" si="140"/>
        <v>23.625136642852276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70">
        <f t="shared" si="110"/>
        <v>484.45884631963418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5.6843418860808015E-14</v>
      </c>
      <c r="O147" s="14">
        <f>N147*VLOOKUP('Données projet'!$B$9,Paramètres!$A$1:$I$89,3,0)*VLOOKUP('Données projet'!$B$9,Paramètres!$A$1:$I$89,5,0)</f>
        <v>3.3992364478763198E-14</v>
      </c>
      <c r="P147" s="14">
        <f t="shared" si="141"/>
        <v>5.790027782444094E-13</v>
      </c>
      <c r="Q147" s="22">
        <f t="shared" si="108"/>
        <v>1.0676332069095257E-12</v>
      </c>
      <c r="R147" s="62">
        <f t="shared" si="109"/>
        <v>293.33333333333439</v>
      </c>
      <c r="S147" s="62">
        <f ca="1">AVERAGE(OFFSET($R$3,0,0,'Données projet'!$E$9+1,1))-AVERAGE(OFFSET($H$3,0,0,'Données projet'!$E$9+1,1))</f>
        <v>157.98488572680344</v>
      </c>
      <c r="T147" s="62">
        <f t="shared" si="142"/>
        <v>269.20989374735825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11.441408791456055</v>
      </c>
      <c r="AA147" s="23">
        <f>EXP(-LN(2)/25)*AA146+(1-EXP(-LN(2)/25))/(LN(2)/25)*Calculateur!V147*Calculateur!X147*VLOOKUP('Données projet'!$B$9,Paramètres!$A$1:$I$89,3,0)*0.475*44/12</f>
        <v>0.14172604640023387</v>
      </c>
      <c r="AB147" s="23">
        <f>EXP(-LN(2)/2)*AB146+(1-EXP(-LN(2)/2))/(LN(2)/2)*V147*Y147*VLOOKUP('Données projet'!$B$9,Paramètres!$A$1:$I$89,3,0)*0.475*44/12</f>
        <v>7.6433209670395655E-15</v>
      </c>
      <c r="AC147" s="24">
        <f t="shared" si="111"/>
        <v>11.583134837856296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3.4106051316484809E-13</v>
      </c>
      <c r="AJ147" s="14">
        <f>AI147*VLOOKUP('Données projet'!$B$10,Paramètres!$A$1:$I$89,3,0)*VLOOKUP('Données projet'!$B$10,Paramètres!$A$1:$I$89,5,0)</f>
        <v>1.5961632016114892E-13</v>
      </c>
      <c r="AK147" s="14">
        <f t="shared" si="143"/>
        <v>2.2708641912150958E-12</v>
      </c>
      <c r="AL147" s="22">
        <f t="shared" si="112"/>
        <v>4.2330868906469593E-12</v>
      </c>
      <c r="AM147" s="62">
        <f t="shared" si="113"/>
        <v>293.33333333333752</v>
      </c>
      <c r="AN147" s="62">
        <f ca="1">AVERAGE(OFFSET($AM$3,0,0,'Données projet'!$E$10+1,1))-AVERAGE(OFFSET($H$3,0,0,'Données projet'!$E$10+1,1))</f>
        <v>215.04236469150038</v>
      </c>
      <c r="AO147" s="62">
        <f t="shared" si="144"/>
        <v>160.72275701448416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2">
        <f t="shared" si="140"/>
        <v>23.770044666555076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70">
        <f t="shared" si="110"/>
        <v>485.75274446091657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5.6843418860808015E-14</v>
      </c>
      <c r="O148" s="14">
        <f>N148*VLOOKUP('Données projet'!$B$9,Paramètres!$A$1:$I$89,3,0)*VLOOKUP('Données projet'!$B$9,Paramètres!$A$1:$I$89,5,0)</f>
        <v>3.3992364478763198E-14</v>
      </c>
      <c r="P148" s="14">
        <f t="shared" si="141"/>
        <v>5.790027782444094E-13</v>
      </c>
      <c r="Q148" s="22">
        <f t="shared" si="108"/>
        <v>1.0676332069095257E-12</v>
      </c>
      <c r="R148" s="62">
        <f t="shared" si="109"/>
        <v>293.33333333333439</v>
      </c>
      <c r="S148" s="62">
        <f ca="1">AVERAGE(OFFSET($R$3,0,0,'Données projet'!$E$9+1,1))-AVERAGE(OFFSET($H$3,0,0,'Données projet'!$E$9+1,1))</f>
        <v>157.98488572680344</v>
      </c>
      <c r="T148" s="62">
        <f t="shared" si="142"/>
        <v>269.20989374735825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11.217049743625889</v>
      </c>
      <c r="AA148" s="23">
        <f>EXP(-LN(2)/25)*AA147+(1-EXP(-LN(2)/25))/(LN(2)/25)*Calculateur!V148*Calculateur!X148*VLOOKUP('Données projet'!$B$9,Paramètres!$A$1:$I$89,3,0)*0.475*44/12</f>
        <v>0.13785054020837062</v>
      </c>
      <c r="AB148" s="23">
        <f>EXP(-LN(2)/2)*AB147+(1-EXP(-LN(2)/2))/(LN(2)/2)*V148*Y148*VLOOKUP('Données projet'!$B$9,Paramètres!$A$1:$I$89,3,0)*0.475*44/12</f>
        <v>5.4046440865789969E-15</v>
      </c>
      <c r="AC148" s="24">
        <f t="shared" si="111"/>
        <v>11.354900283834265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3.4106051316484809E-13</v>
      </c>
      <c r="AJ148" s="14">
        <f>AI148*VLOOKUP('Données projet'!$B$10,Paramètres!$A$1:$I$89,3,0)*VLOOKUP('Données projet'!$B$10,Paramètres!$A$1:$I$89,5,0)</f>
        <v>1.5961632016114892E-13</v>
      </c>
      <c r="AK148" s="14">
        <f t="shared" si="143"/>
        <v>2.2708641912150958E-12</v>
      </c>
      <c r="AL148" s="22">
        <f t="shared" si="112"/>
        <v>4.2330868906469593E-12</v>
      </c>
      <c r="AM148" s="62">
        <f t="shared" si="113"/>
        <v>293.33333333333752</v>
      </c>
      <c r="AN148" s="62">
        <f ca="1">AVERAGE(OFFSET($AM$3,0,0,'Données projet'!$E$10+1,1))-AVERAGE(OFFSET($H$3,0,0,'Données projet'!$E$10+1,1))</f>
        <v>215.04236469150038</v>
      </c>
      <c r="AO148" s="62">
        <f t="shared" si="144"/>
        <v>160.72275701448416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2">
        <f t="shared" si="140"/>
        <v>23.914836409796042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70">
        <f t="shared" si="110"/>
        <v>487.04644008039458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5.6843418860808015E-14</v>
      </c>
      <c r="O149" s="14">
        <f>N149*VLOOKUP('Données projet'!$B$9,Paramètres!$A$1:$I$89,3,0)*VLOOKUP('Données projet'!$B$9,Paramètres!$A$1:$I$89,5,0)</f>
        <v>3.3992364478763198E-14</v>
      </c>
      <c r="P149" s="14">
        <f t="shared" si="141"/>
        <v>5.790027782444094E-13</v>
      </c>
      <c r="Q149" s="22">
        <f t="shared" si="108"/>
        <v>1.0676332069095257E-12</v>
      </c>
      <c r="R149" s="62">
        <f t="shared" si="109"/>
        <v>293.33333333333439</v>
      </c>
      <c r="S149" s="62">
        <f ca="1">AVERAGE(OFFSET($R$3,0,0,'Données projet'!$E$9+1,1))-AVERAGE(OFFSET($H$3,0,0,'Données projet'!$E$9+1,1))</f>
        <v>157.98488572680344</v>
      </c>
      <c r="T149" s="62">
        <f t="shared" si="142"/>
        <v>269.20989374735825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10.997090239878165</v>
      </c>
      <c r="AA149" s="23">
        <f>EXP(-LN(2)/25)*AA148+(1-EXP(-LN(2)/25))/(LN(2)/25)*Calculateur!V149*Calculateur!X149*VLOOKUP('Données projet'!$B$9,Paramètres!$A$1:$I$89,3,0)*0.475*44/12</f>
        <v>0.13408100993712788</v>
      </c>
      <c r="AB149" s="23">
        <f>EXP(-LN(2)/2)*AB148+(1-EXP(-LN(2)/2))/(LN(2)/2)*V149*Y149*VLOOKUP('Données projet'!$B$9,Paramètres!$A$1:$I$89,3,0)*0.475*44/12</f>
        <v>3.8216604835197828E-15</v>
      </c>
      <c r="AC149" s="24">
        <f t="shared" si="111"/>
        <v>11.131171249815297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3.4106051316484809E-13</v>
      </c>
      <c r="AJ149" s="14">
        <f>AI149*VLOOKUP('Données projet'!$B$10,Paramètres!$A$1:$I$89,3,0)*VLOOKUP('Données projet'!$B$10,Paramètres!$A$1:$I$89,5,0)</f>
        <v>1.5961632016114892E-13</v>
      </c>
      <c r="AK149" s="14">
        <f t="shared" si="143"/>
        <v>2.2708641912150958E-12</v>
      </c>
      <c r="AL149" s="22">
        <f t="shared" si="112"/>
        <v>4.2330868906469593E-12</v>
      </c>
      <c r="AM149" s="62">
        <f t="shared" si="113"/>
        <v>293.33333333333752</v>
      </c>
      <c r="AN149" s="62">
        <f ca="1">AVERAGE(OFFSET($AM$3,0,0,'Données projet'!$E$10+1,1))-AVERAGE(OFFSET($H$3,0,0,'Données projet'!$E$10+1,1))</f>
        <v>215.04236469150038</v>
      </c>
      <c r="AO149" s="62">
        <f t="shared" si="144"/>
        <v>160.72275701448416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2">
        <f t="shared" si="140"/>
        <v>24.059512761382056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70">
        <f t="shared" si="110"/>
        <v>488.33993472607352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5.6843418860808015E-14</v>
      </c>
      <c r="O150" s="14">
        <f>N150*VLOOKUP('Données projet'!$B$9,Paramètres!$A$1:$I$89,3,0)*VLOOKUP('Données projet'!$B$9,Paramètres!$A$1:$I$89,5,0)</f>
        <v>3.3992364478763198E-14</v>
      </c>
      <c r="P150" s="14">
        <f t="shared" si="141"/>
        <v>5.790027782444094E-13</v>
      </c>
      <c r="Q150" s="22">
        <f t="shared" si="108"/>
        <v>1.0676332069095257E-12</v>
      </c>
      <c r="R150" s="62">
        <f t="shared" si="109"/>
        <v>293.33333333333439</v>
      </c>
      <c r="S150" s="62">
        <f ca="1">AVERAGE(OFFSET($R$3,0,0,'Données projet'!$E$9+1,1))-AVERAGE(OFFSET($H$3,0,0,'Données projet'!$E$9+1,1))</f>
        <v>157.98488572680344</v>
      </c>
      <c r="T150" s="62">
        <f t="shared" si="142"/>
        <v>269.20989374735825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10.781444007836884</v>
      </c>
      <c r="AA150" s="23">
        <f>EXP(-LN(2)/25)*AA149+(1-EXP(-LN(2)/25))/(LN(2)/25)*Calculateur!V150*Calculateur!X150*VLOOKUP('Données projet'!$B$9,Paramètres!$A$1:$I$89,3,0)*0.475*44/12</f>
        <v>0.13041455766938326</v>
      </c>
      <c r="AB150" s="23">
        <f>EXP(-LN(2)/2)*AB149+(1-EXP(-LN(2)/2))/(LN(2)/2)*V150*Y150*VLOOKUP('Données projet'!$B$9,Paramètres!$A$1:$I$89,3,0)*0.475*44/12</f>
        <v>2.7023220432894984E-15</v>
      </c>
      <c r="AC150" s="24">
        <f t="shared" si="111"/>
        <v>10.91185856550627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3.4106051316484809E-13</v>
      </c>
      <c r="AJ150" s="14">
        <f>AI150*VLOOKUP('Données projet'!$B$10,Paramètres!$A$1:$I$89,3,0)*VLOOKUP('Données projet'!$B$10,Paramètres!$A$1:$I$89,5,0)</f>
        <v>1.5961632016114892E-13</v>
      </c>
      <c r="AK150" s="14">
        <f t="shared" si="143"/>
        <v>2.2708641912150958E-12</v>
      </c>
      <c r="AL150" s="22">
        <f t="shared" si="112"/>
        <v>4.2330868906469593E-12</v>
      </c>
      <c r="AM150" s="62">
        <f t="shared" si="113"/>
        <v>293.33333333333752</v>
      </c>
      <c r="AN150" s="62">
        <f ca="1">AVERAGE(OFFSET($AM$3,0,0,'Données projet'!$E$10+1,1))-AVERAGE(OFFSET($H$3,0,0,'Données projet'!$E$10+1,1))</f>
        <v>215.04236469150038</v>
      </c>
      <c r="AO150" s="62">
        <f t="shared" si="144"/>
        <v>160.72275701448416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2">
        <f t="shared" si="140"/>
        <v>24.204074597328436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70">
        <f t="shared" si="110"/>
        <v>489.63322992368012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5.6843418860808015E-14</v>
      </c>
      <c r="O151" s="14">
        <f>N151*VLOOKUP('Données projet'!$B$9,Paramètres!$A$1:$I$89,3,0)*VLOOKUP('Données projet'!$B$9,Paramètres!$A$1:$I$89,5,0)</f>
        <v>3.3992364478763198E-14</v>
      </c>
      <c r="P151" s="14">
        <f t="shared" si="141"/>
        <v>5.790027782444094E-13</v>
      </c>
      <c r="Q151" s="22">
        <f t="shared" si="108"/>
        <v>1.0676332069095257E-12</v>
      </c>
      <c r="R151" s="62">
        <f t="shared" si="109"/>
        <v>293.33333333333439</v>
      </c>
      <c r="S151" s="62">
        <f ca="1">AVERAGE(OFFSET($R$3,0,0,'Données projet'!$E$9+1,1))-AVERAGE(OFFSET($H$3,0,0,'Données projet'!$E$9+1,1))</f>
        <v>157.98488572680344</v>
      </c>
      <c r="T151" s="62">
        <f t="shared" si="142"/>
        <v>269.20989374735825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10.570026466874719</v>
      </c>
      <c r="AA151" s="23">
        <f>EXP(-LN(2)/25)*AA150+(1-EXP(-LN(2)/25))/(LN(2)/25)*Calculateur!V151*Calculateur!X151*VLOOKUP('Données projet'!$B$9,Paramètres!$A$1:$I$89,3,0)*0.475*44/12</f>
        <v>0.12684836473171046</v>
      </c>
      <c r="AB151" s="23">
        <f>EXP(-LN(2)/2)*AB150+(1-EXP(-LN(2)/2))/(LN(2)/2)*V151*Y151*VLOOKUP('Données projet'!$B$9,Paramètres!$A$1:$I$89,3,0)*0.475*44/12</f>
        <v>1.9108302417598914E-15</v>
      </c>
      <c r="AC151" s="24">
        <f t="shared" si="111"/>
        <v>10.696874831606431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3.4106051316484809E-13</v>
      </c>
      <c r="AJ151" s="14">
        <f>AI151*VLOOKUP('Données projet'!$B$10,Paramètres!$A$1:$I$89,3,0)*VLOOKUP('Données projet'!$B$10,Paramètres!$A$1:$I$89,5,0)</f>
        <v>1.5961632016114892E-13</v>
      </c>
      <c r="AK151" s="14">
        <f t="shared" si="143"/>
        <v>2.2708641912150958E-12</v>
      </c>
      <c r="AL151" s="22">
        <f t="shared" si="112"/>
        <v>4.2330868906469593E-12</v>
      </c>
      <c r="AM151" s="62">
        <f t="shared" si="113"/>
        <v>293.33333333333752</v>
      </c>
      <c r="AN151" s="62">
        <f ca="1">AVERAGE(OFFSET($AM$3,0,0,'Données projet'!$E$10+1,1))-AVERAGE(OFFSET($H$3,0,0,'Données projet'!$E$10+1,1))</f>
        <v>215.04236469150038</v>
      </c>
      <c r="AO151" s="62">
        <f t="shared" si="144"/>
        <v>160.72275701448416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2">
        <f t="shared" si="140"/>
        <v>24.348522781128061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70">
        <f t="shared" si="110"/>
        <v>490.92632717713116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5.6843418860808015E-14</v>
      </c>
      <c r="O152" s="14">
        <f>N152*VLOOKUP('Données projet'!$B$9,Paramètres!$A$1:$I$89,3,0)*VLOOKUP('Données projet'!$B$9,Paramètres!$A$1:$I$89,5,0)</f>
        <v>3.3992364478763198E-14</v>
      </c>
      <c r="P152" s="14">
        <f t="shared" si="141"/>
        <v>5.790027782444094E-13</v>
      </c>
      <c r="Q152" s="22">
        <f t="shared" si="108"/>
        <v>1.0676332069095257E-12</v>
      </c>
      <c r="R152" s="62">
        <f t="shared" si="109"/>
        <v>293.33333333333439</v>
      </c>
      <c r="S152" s="62">
        <f ca="1">AVERAGE(OFFSET($R$3,0,0,'Données projet'!$E$9+1,1))-AVERAGE(OFFSET($H$3,0,0,'Données projet'!$E$9+1,1))</f>
        <v>157.98488572680344</v>
      </c>
      <c r="T152" s="62">
        <f t="shared" si="142"/>
        <v>269.20989374735825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10.362754694938854</v>
      </c>
      <c r="AA152" s="23">
        <f>EXP(-LN(2)/25)*AA151+(1-EXP(-LN(2)/25))/(LN(2)/25)*Calculateur!V152*Calculateur!X152*VLOOKUP('Données projet'!$B$9,Paramètres!$A$1:$I$89,3,0)*0.475*44/12</f>
        <v>0.12337968952745626</v>
      </c>
      <c r="AB152" s="23">
        <f>EXP(-LN(2)/2)*AB151+(1-EXP(-LN(2)/2))/(LN(2)/2)*V152*Y152*VLOOKUP('Données projet'!$B$9,Paramètres!$A$1:$I$89,3,0)*0.475*44/12</f>
        <v>1.3511610216447492E-15</v>
      </c>
      <c r="AC152" s="24">
        <f t="shared" si="111"/>
        <v>10.486134384466311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3.4106051316484809E-13</v>
      </c>
      <c r="AJ152" s="14">
        <f>AI152*VLOOKUP('Données projet'!$B$10,Paramètres!$A$1:$I$89,3,0)*VLOOKUP('Données projet'!$B$10,Paramètres!$A$1:$I$89,5,0)</f>
        <v>1.5961632016114892E-13</v>
      </c>
      <c r="AK152" s="14">
        <f t="shared" si="143"/>
        <v>2.2708641912150958E-12</v>
      </c>
      <c r="AL152" s="22">
        <f t="shared" si="112"/>
        <v>4.2330868906469593E-12</v>
      </c>
      <c r="AM152" s="62">
        <f t="shared" si="113"/>
        <v>293.33333333333752</v>
      </c>
      <c r="AN152" s="62">
        <f ca="1">AVERAGE(OFFSET($AM$3,0,0,'Données projet'!$E$10+1,1))-AVERAGE(OFFSET($H$3,0,0,'Données projet'!$E$10+1,1))</f>
        <v>215.04236469150038</v>
      </c>
      <c r="AO152" s="62">
        <f t="shared" si="144"/>
        <v>160.72275701448416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2">
        <f t="shared" si="140"/>
        <v>24.492858164013278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70">
        <f t="shared" si="110"/>
        <v>492.21922796898957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5.6843418860808015E-14</v>
      </c>
      <c r="O153" s="14">
        <f>N153*VLOOKUP('Données projet'!$B$9,Paramètres!$A$1:$I$89,3,0)*VLOOKUP('Données projet'!$B$9,Paramètres!$A$1:$I$89,5,0)</f>
        <v>3.3992364478763198E-14</v>
      </c>
      <c r="P153" s="14">
        <f t="shared" si="141"/>
        <v>5.790027782444094E-13</v>
      </c>
      <c r="Q153" s="22">
        <f t="shared" si="108"/>
        <v>1.0676332069095257E-12</v>
      </c>
      <c r="R153" s="62">
        <f t="shared" si="109"/>
        <v>293.33333333333439</v>
      </c>
      <c r="S153" s="62">
        <f ca="1">AVERAGE(OFFSET($R$3,0,0,'Données projet'!$E$9+1,1))-AVERAGE(OFFSET($H$3,0,0,'Données projet'!$E$9+1,1))</f>
        <v>157.98488572680344</v>
      </c>
      <c r="T153" s="62">
        <f t="shared" si="142"/>
        <v>269.20989374735825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10.159547396027353</v>
      </c>
      <c r="AA153" s="23">
        <f>EXP(-LN(2)/25)*AA152+(1-EXP(-LN(2)/25))/(LN(2)/25)*Calculateur!V153*Calculateur!X153*VLOOKUP('Données projet'!$B$9,Paramètres!$A$1:$I$89,3,0)*0.475*44/12</f>
        <v>0.12000586542907209</v>
      </c>
      <c r="AB153" s="23">
        <f>EXP(-LN(2)/2)*AB152+(1-EXP(-LN(2)/2))/(LN(2)/2)*V153*Y153*VLOOKUP('Données projet'!$B$9,Paramètres!$A$1:$I$89,3,0)*0.475*44/12</f>
        <v>9.5541512087994569E-16</v>
      </c>
      <c r="AC153" s="24">
        <f t="shared" si="111"/>
        <v>10.279553261456426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3.4106051316484809E-13</v>
      </c>
      <c r="AJ153" s="14">
        <f>AI153*VLOOKUP('Données projet'!$B$10,Paramètres!$A$1:$I$89,3,0)*VLOOKUP('Données projet'!$B$10,Paramètres!$A$1:$I$89,5,0)</f>
        <v>1.5961632016114892E-13</v>
      </c>
      <c r="AK153" s="14">
        <f t="shared" si="143"/>
        <v>2.2708641912150958E-12</v>
      </c>
      <c r="AL153" s="22">
        <f t="shared" si="112"/>
        <v>4.2330868906469593E-12</v>
      </c>
      <c r="AM153" s="62">
        <f t="shared" si="113"/>
        <v>293.33333333333752</v>
      </c>
      <c r="AN153" s="62">
        <f ca="1">AVERAGE(OFFSET($AM$3,0,0,'Données projet'!$E$10+1,1))-AVERAGE(OFFSET($H$3,0,0,'Données projet'!$E$10+1,1))</f>
        <v>215.04236469150038</v>
      </c>
      <c r="AO153" s="62">
        <f t="shared" si="144"/>
        <v>160.72275701448416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2">
        <f t="shared" si="140"/>
        <v>24.637081585210503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70">
        <f t="shared" si="110"/>
        <v>493.51193376090805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5.6843418860808015E-14</v>
      </c>
      <c r="O154" s="14">
        <f>N154*VLOOKUP('Données projet'!$B$9,Paramètres!$A$1:$I$89,3,0)*VLOOKUP('Données projet'!$B$9,Paramètres!$A$1:$I$89,5,0)</f>
        <v>3.3992364478763198E-14</v>
      </c>
      <c r="P154" s="14">
        <f t="shared" si="141"/>
        <v>5.790027782444094E-13</v>
      </c>
      <c r="Q154" s="22">
        <f t="shared" ref="Q154:Q203" si="162">(O154+P154)*0.475*44/12</f>
        <v>1.0676332069095257E-12</v>
      </c>
      <c r="R154" s="62">
        <f t="shared" si="109"/>
        <v>293.33333333333439</v>
      </c>
      <c r="S154" s="62">
        <f ca="1">AVERAGE(OFFSET($R$3,0,0,'Données projet'!$E$9+1,1))-AVERAGE(OFFSET($H$3,0,0,'Données projet'!$E$9+1,1))</f>
        <v>157.98488572680344</v>
      </c>
      <c r="T154" s="62">
        <f t="shared" si="142"/>
        <v>269.20989374735825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9.9603248683032941</v>
      </c>
      <c r="AA154" s="23">
        <f>EXP(-LN(2)/25)*AA153+(1-EXP(-LN(2)/25))/(LN(2)/25)*Calculateur!V154*Calculateur!X154*VLOOKUP('Données projet'!$B$9,Paramètres!$A$1:$I$89,3,0)*0.475*44/12</f>
        <v>0.11672429872807992</v>
      </c>
      <c r="AB154" s="23">
        <f>EXP(-LN(2)/2)*AB153+(1-EXP(-LN(2)/2))/(LN(2)/2)*V154*Y154*VLOOKUP('Données projet'!$B$9,Paramètres!$A$1:$I$89,3,0)*0.475*44/12</f>
        <v>6.7558051082237461E-16</v>
      </c>
      <c r="AC154" s="24">
        <f t="shared" ref="AC154:AC203" si="163">SUM(Z154:AB154)</f>
        <v>10.077049167031374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3.4106051316484809E-13</v>
      </c>
      <c r="AJ154" s="14">
        <f>AI154*VLOOKUP('Données projet'!$B$10,Paramètres!$A$1:$I$89,3,0)*VLOOKUP('Données projet'!$B$10,Paramètres!$A$1:$I$89,5,0)</f>
        <v>1.5961632016114892E-13</v>
      </c>
      <c r="AK154" s="14">
        <f t="shared" ref="AK154:AK203" si="164">EXP(-1.0587+0.8836*LN(AJ154)+0.284)</f>
        <v>2.2708641912150958E-12</v>
      </c>
      <c r="AL154" s="22">
        <f t="shared" ref="AL154:AL203" si="165">(AJ154+AK154)*0.475*44/12</f>
        <v>4.2330868906469593E-12</v>
      </c>
      <c r="AM154" s="62">
        <f t="shared" si="113"/>
        <v>293.33333333333752</v>
      </c>
      <c r="AN154" s="62">
        <f ca="1">AVERAGE(OFFSET($AM$3,0,0,'Données projet'!$E$10+1,1))-AVERAGE(OFFSET($H$3,0,0,'Données projet'!$E$10+1,1))</f>
        <v>215.04236469150038</v>
      </c>
      <c r="AO154" s="62">
        <f t="shared" si="144"/>
        <v>160.72275701448416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2">
        <f t="shared" si="140"/>
        <v>24.781193872187931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70">
        <f t="shared" si="110"/>
        <v>494.80444599406042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5.6843418860808015E-14</v>
      </c>
      <c r="O155" s="14">
        <f>N155*VLOOKUP('Données projet'!$B$9,Paramètres!$A$1:$I$89,3,0)*VLOOKUP('Données projet'!$B$9,Paramètres!$A$1:$I$89,5,0)</f>
        <v>3.3992364478763198E-14</v>
      </c>
      <c r="P155" s="14">
        <f t="shared" si="141"/>
        <v>5.790027782444094E-13</v>
      </c>
      <c r="Q155" s="22">
        <f t="shared" si="162"/>
        <v>1.0676332069095257E-12</v>
      </c>
      <c r="R155" s="62">
        <f t="shared" si="109"/>
        <v>293.33333333333439</v>
      </c>
      <c r="S155" s="62">
        <f ca="1">AVERAGE(OFFSET($R$3,0,0,'Données projet'!$E$9+1,1))-AVERAGE(OFFSET($H$3,0,0,'Données projet'!$E$9+1,1))</f>
        <v>157.98488572680344</v>
      </c>
      <c r="T155" s="62">
        <f t="shared" si="142"/>
        <v>269.20989374735825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9.7650089728341598</v>
      </c>
      <c r="AA155" s="23">
        <f>EXP(-LN(2)/25)*AA154+(1-EXP(-LN(2)/25))/(LN(2)/25)*Calculateur!V155*Calculateur!X155*VLOOKUP('Données projet'!$B$9,Paramètres!$A$1:$I$89,3,0)*0.475*44/12</f>
        <v>0.11353246664109648</v>
      </c>
      <c r="AB155" s="23">
        <f>EXP(-LN(2)/2)*AB154+(1-EXP(-LN(2)/2))/(LN(2)/2)*V155*Y155*VLOOKUP('Données projet'!$B$9,Paramètres!$A$1:$I$89,3,0)*0.475*44/12</f>
        <v>4.7770756043997284E-16</v>
      </c>
      <c r="AC155" s="24">
        <f t="shared" si="163"/>
        <v>9.8785414394752564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3.4106051316484809E-13</v>
      </c>
      <c r="AJ155" s="14">
        <f>AI155*VLOOKUP('Données projet'!$B$10,Paramètres!$A$1:$I$89,3,0)*VLOOKUP('Données projet'!$B$10,Paramètres!$A$1:$I$89,5,0)</f>
        <v>1.5961632016114892E-13</v>
      </c>
      <c r="AK155" s="14">
        <f t="shared" si="164"/>
        <v>2.2708641912150958E-12</v>
      </c>
      <c r="AL155" s="22">
        <f t="shared" si="165"/>
        <v>4.2330868906469593E-12</v>
      </c>
      <c r="AM155" s="62">
        <f t="shared" si="113"/>
        <v>293.33333333333752</v>
      </c>
      <c r="AN155" s="62">
        <f ca="1">AVERAGE(OFFSET($AM$3,0,0,'Données projet'!$E$10+1,1))-AVERAGE(OFFSET($H$3,0,0,'Données projet'!$E$10+1,1))</f>
        <v>215.04236469150038</v>
      </c>
      <c r="AO155" s="62">
        <f t="shared" si="144"/>
        <v>160.72275701448416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2">
        <f t="shared" si="140"/>
        <v>24.925195840896507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70">
        <f t="shared" si="110"/>
        <v>496.09676608956119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5.6843418860808015E-14</v>
      </c>
      <c r="O156" s="14">
        <f>N156*VLOOKUP('Données projet'!$B$9,Paramètres!$A$1:$I$89,3,0)*VLOOKUP('Données projet'!$B$9,Paramètres!$A$1:$I$89,5,0)</f>
        <v>3.3992364478763198E-14</v>
      </c>
      <c r="P156" s="14">
        <f t="shared" si="141"/>
        <v>5.790027782444094E-13</v>
      </c>
      <c r="Q156" s="22">
        <f t="shared" si="162"/>
        <v>1.0676332069095257E-12</v>
      </c>
      <c r="R156" s="62">
        <f t="shared" si="109"/>
        <v>293.33333333333439</v>
      </c>
      <c r="S156" s="62">
        <f ca="1">AVERAGE(OFFSET($R$3,0,0,'Données projet'!$E$9+1,1))-AVERAGE(OFFSET($H$3,0,0,'Données projet'!$E$9+1,1))</f>
        <v>157.98488572680344</v>
      </c>
      <c r="T156" s="62">
        <f t="shared" si="142"/>
        <v>269.20989374735825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9.5735231029442431</v>
      </c>
      <c r="AA156" s="23">
        <f>EXP(-LN(2)/25)*AA155+(1-EXP(-LN(2)/25))/(LN(2)/25)*Calculateur!V156*Calculateur!X156*VLOOKUP('Données projet'!$B$9,Paramètres!$A$1:$I$89,3,0)*0.475*44/12</f>
        <v>0.11042791537038275</v>
      </c>
      <c r="AB156" s="23">
        <f>EXP(-LN(2)/2)*AB155+(1-EXP(-LN(2)/2))/(LN(2)/2)*V156*Y156*VLOOKUP('Données projet'!$B$9,Paramètres!$A$1:$I$89,3,0)*0.475*44/12</f>
        <v>3.377902554111873E-16</v>
      </c>
      <c r="AC156" s="24">
        <f t="shared" si="163"/>
        <v>9.6839510183146267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3.4106051316484809E-13</v>
      </c>
      <c r="AJ156" s="14">
        <f>AI156*VLOOKUP('Données projet'!$B$10,Paramètres!$A$1:$I$89,3,0)*VLOOKUP('Données projet'!$B$10,Paramètres!$A$1:$I$89,5,0)</f>
        <v>1.5961632016114892E-13</v>
      </c>
      <c r="AK156" s="14">
        <f t="shared" si="164"/>
        <v>2.2708641912150958E-12</v>
      </c>
      <c r="AL156" s="22">
        <f t="shared" si="165"/>
        <v>4.2330868906469593E-12</v>
      </c>
      <c r="AM156" s="62">
        <f t="shared" si="113"/>
        <v>293.33333333333752</v>
      </c>
      <c r="AN156" s="62">
        <f ca="1">AVERAGE(OFFSET($AM$3,0,0,'Données projet'!$E$10+1,1))-AVERAGE(OFFSET($H$3,0,0,'Données projet'!$E$10+1,1))</f>
        <v>215.04236469150038</v>
      </c>
      <c r="AO156" s="62">
        <f t="shared" si="144"/>
        <v>160.72275701448416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2">
        <f t="shared" si="140"/>
        <v>25.069088296004431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70">
        <f t="shared" si="110"/>
        <v>497.38889544887417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5.6843418860808015E-14</v>
      </c>
      <c r="O157" s="14">
        <f>N157*VLOOKUP('Données projet'!$B$9,Paramètres!$A$1:$I$89,3,0)*VLOOKUP('Données projet'!$B$9,Paramètres!$A$1:$I$89,5,0)</f>
        <v>3.3992364478763198E-14</v>
      </c>
      <c r="P157" s="14">
        <f t="shared" si="141"/>
        <v>5.790027782444094E-13</v>
      </c>
      <c r="Q157" s="22">
        <f t="shared" si="162"/>
        <v>1.0676332069095257E-12</v>
      </c>
      <c r="R157" s="62">
        <f t="shared" si="109"/>
        <v>293.33333333333439</v>
      </c>
      <c r="S157" s="62">
        <f ca="1">AVERAGE(OFFSET($R$3,0,0,'Données projet'!$E$9+1,1))-AVERAGE(OFFSET($H$3,0,0,'Données projet'!$E$9+1,1))</f>
        <v>157.98488572680344</v>
      </c>
      <c r="T157" s="62">
        <f t="shared" si="142"/>
        <v>269.20989374735825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9.3857921541680192</v>
      </c>
      <c r="AA157" s="23">
        <f>EXP(-LN(2)/25)*AA156+(1-EXP(-LN(2)/25))/(LN(2)/25)*Calculateur!V157*Calculateur!X157*VLOOKUP('Données projet'!$B$9,Paramètres!$A$1:$I$89,3,0)*0.475*44/12</f>
        <v>0.10740825821742796</v>
      </c>
      <c r="AB157" s="23">
        <f>EXP(-LN(2)/2)*AB156+(1-EXP(-LN(2)/2))/(LN(2)/2)*V157*Y157*VLOOKUP('Données projet'!$B$9,Paramètres!$A$1:$I$89,3,0)*0.475*44/12</f>
        <v>2.3885378021998642E-16</v>
      </c>
      <c r="AC157" s="24">
        <f t="shared" si="163"/>
        <v>9.4932004123854465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3.4106051316484809E-13</v>
      </c>
      <c r="AJ157" s="14">
        <f>AI157*VLOOKUP('Données projet'!$B$10,Paramètres!$A$1:$I$89,3,0)*VLOOKUP('Données projet'!$B$10,Paramètres!$A$1:$I$89,5,0)</f>
        <v>1.5961632016114892E-13</v>
      </c>
      <c r="AK157" s="14">
        <f t="shared" si="164"/>
        <v>2.2708641912150958E-12</v>
      </c>
      <c r="AL157" s="22">
        <f t="shared" si="165"/>
        <v>4.2330868906469593E-12</v>
      </c>
      <c r="AM157" s="62">
        <f t="shared" si="113"/>
        <v>293.33333333333752</v>
      </c>
      <c r="AN157" s="62">
        <f ca="1">AVERAGE(OFFSET($AM$3,0,0,'Données projet'!$E$10+1,1))-AVERAGE(OFFSET($H$3,0,0,'Données projet'!$E$10+1,1))</f>
        <v>215.04236469150038</v>
      </c>
      <c r="AO157" s="62">
        <f t="shared" si="144"/>
        <v>160.72275701448416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2">
        <f t="shared" si="140"/>
        <v>25.212872031125453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70">
        <f t="shared" si="110"/>
        <v>498.68083545420996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5.6843418860808015E-14</v>
      </c>
      <c r="O158" s="14">
        <f>N158*VLOOKUP('Données projet'!$B$9,Paramètres!$A$1:$I$89,3,0)*VLOOKUP('Données projet'!$B$9,Paramètres!$A$1:$I$89,5,0)</f>
        <v>3.3992364478763198E-14</v>
      </c>
      <c r="P158" s="14">
        <f t="shared" si="141"/>
        <v>5.790027782444094E-13</v>
      </c>
      <c r="Q158" s="22">
        <f t="shared" si="162"/>
        <v>1.0676332069095257E-12</v>
      </c>
      <c r="R158" s="62">
        <f t="shared" si="109"/>
        <v>293.33333333333439</v>
      </c>
      <c r="S158" s="62">
        <f ca="1">AVERAGE(OFFSET($R$3,0,0,'Données projet'!$E$9+1,1))-AVERAGE(OFFSET($H$3,0,0,'Données projet'!$E$9+1,1))</f>
        <v>157.98488572680344</v>
      </c>
      <c r="T158" s="62">
        <f t="shared" si="142"/>
        <v>269.20989374735825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9.2017424947927253</v>
      </c>
      <c r="AA158" s="23">
        <f>EXP(-LN(2)/25)*AA157+(1-EXP(-LN(2)/25))/(LN(2)/25)*Calculateur!V158*Calculateur!X158*VLOOKUP('Données projet'!$B$9,Paramètres!$A$1:$I$89,3,0)*0.475*44/12</f>
        <v>0.10447117374811757</v>
      </c>
      <c r="AB158" s="23">
        <f>EXP(-LN(2)/2)*AB157+(1-EXP(-LN(2)/2))/(LN(2)/2)*V158*Y158*VLOOKUP('Données projet'!$B$9,Paramètres!$A$1:$I$89,3,0)*0.475*44/12</f>
        <v>1.6889512770559365E-16</v>
      </c>
      <c r="AC158" s="24">
        <f t="shared" si="163"/>
        <v>9.3062136685408436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3.4106051316484809E-13</v>
      </c>
      <c r="AJ158" s="14">
        <f>AI158*VLOOKUP('Données projet'!$B$10,Paramètres!$A$1:$I$89,3,0)*VLOOKUP('Données projet'!$B$10,Paramètres!$A$1:$I$89,5,0)</f>
        <v>1.5961632016114892E-13</v>
      </c>
      <c r="AK158" s="14">
        <f t="shared" si="164"/>
        <v>2.2708641912150958E-12</v>
      </c>
      <c r="AL158" s="22">
        <f t="shared" si="165"/>
        <v>4.2330868906469593E-12</v>
      </c>
      <c r="AM158" s="62">
        <f t="shared" si="113"/>
        <v>293.33333333333752</v>
      </c>
      <c r="AN158" s="62">
        <f ca="1">AVERAGE(OFFSET($AM$3,0,0,'Données projet'!$E$10+1,1))-AVERAGE(OFFSET($H$3,0,0,'Données projet'!$E$10+1,1))</f>
        <v>215.04236469150038</v>
      </c>
      <c r="AO158" s="62">
        <f t="shared" si="144"/>
        <v>160.72275701448416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2">
        <f t="shared" si="140"/>
        <v>25.356547829040952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70">
        <f t="shared" si="110"/>
        <v>499.97258746891276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5.6843418860808015E-14</v>
      </c>
      <c r="O159" s="14">
        <f>N159*VLOOKUP('Données projet'!$B$9,Paramètres!$A$1:$I$89,3,0)*VLOOKUP('Données projet'!$B$9,Paramètres!$A$1:$I$89,5,0)</f>
        <v>3.3992364478763198E-14</v>
      </c>
      <c r="P159" s="14">
        <f t="shared" si="141"/>
        <v>5.790027782444094E-13</v>
      </c>
      <c r="Q159" s="22">
        <f t="shared" si="162"/>
        <v>1.0676332069095257E-12</v>
      </c>
      <c r="R159" s="62">
        <f t="shared" si="109"/>
        <v>293.33333333333439</v>
      </c>
      <c r="S159" s="62">
        <f ca="1">AVERAGE(OFFSET($R$3,0,0,'Données projet'!$E$9+1,1))-AVERAGE(OFFSET($H$3,0,0,'Données projet'!$E$9+1,1))</f>
        <v>157.98488572680344</v>
      </c>
      <c r="T159" s="62">
        <f t="shared" si="142"/>
        <v>269.20989374735825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9.0213019369785723</v>
      </c>
      <c r="AA159" s="23">
        <f>EXP(-LN(2)/25)*AA158+(1-EXP(-LN(2)/25))/(LN(2)/25)*Calculateur!V159*Calculateur!X159*VLOOKUP('Données projet'!$B$9,Paramètres!$A$1:$I$89,3,0)*0.475*44/12</f>
        <v>0.10161440400807503</v>
      </c>
      <c r="AB159" s="23">
        <f>EXP(-LN(2)/2)*AB158+(1-EXP(-LN(2)/2))/(LN(2)/2)*V159*Y159*VLOOKUP('Données projet'!$B$9,Paramètres!$A$1:$I$89,3,0)*0.475*44/12</f>
        <v>1.1942689010999321E-16</v>
      </c>
      <c r="AC159" s="24">
        <f t="shared" si="163"/>
        <v>9.1229163409866469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3.4106051316484809E-13</v>
      </c>
      <c r="AJ159" s="14">
        <f>AI159*VLOOKUP('Données projet'!$B$10,Paramètres!$A$1:$I$89,3,0)*VLOOKUP('Données projet'!$B$10,Paramètres!$A$1:$I$89,5,0)</f>
        <v>1.5961632016114892E-13</v>
      </c>
      <c r="AK159" s="14">
        <f t="shared" si="164"/>
        <v>2.2708641912150958E-12</v>
      </c>
      <c r="AL159" s="22">
        <f t="shared" si="165"/>
        <v>4.2330868906469593E-12</v>
      </c>
      <c r="AM159" s="62">
        <f t="shared" si="113"/>
        <v>293.33333333333752</v>
      </c>
      <c r="AN159" s="62">
        <f ca="1">AVERAGE(OFFSET($AM$3,0,0,'Données projet'!$E$10+1,1))-AVERAGE(OFFSET($H$3,0,0,'Données projet'!$E$10+1,1))</f>
        <v>215.04236469150038</v>
      </c>
      <c r="AO159" s="62">
        <f t="shared" si="144"/>
        <v>160.72275701448416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2">
        <f t="shared" si="140"/>
        <v>25.500116461916356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70">
        <f t="shared" si="110"/>
        <v>501.2641528378374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5.6843418860808015E-14</v>
      </c>
      <c r="O160" s="14">
        <f>N160*VLOOKUP('Données projet'!$B$9,Paramètres!$A$1:$I$89,3,0)*VLOOKUP('Données projet'!$B$9,Paramètres!$A$1:$I$89,5,0)</f>
        <v>3.3992364478763198E-14</v>
      </c>
      <c r="P160" s="14">
        <f t="shared" si="141"/>
        <v>5.790027782444094E-13</v>
      </c>
      <c r="Q160" s="22">
        <f t="shared" si="162"/>
        <v>1.0676332069095257E-12</v>
      </c>
      <c r="R160" s="62">
        <f t="shared" si="109"/>
        <v>293.33333333333439</v>
      </c>
      <c r="S160" s="62">
        <f ca="1">AVERAGE(OFFSET($R$3,0,0,'Données projet'!$E$9+1,1))-AVERAGE(OFFSET($H$3,0,0,'Données projet'!$E$9+1,1))</f>
        <v>157.98488572680344</v>
      </c>
      <c r="T160" s="62">
        <f t="shared" si="142"/>
        <v>269.20989374735825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8.8443997084452821</v>
      </c>
      <c r="AA160" s="23">
        <f>EXP(-LN(2)/25)*AA159+(1-EXP(-LN(2)/25))/(LN(2)/25)*Calculateur!V160*Calculateur!X160*VLOOKUP('Données projet'!$B$9,Paramètres!$A$1:$I$89,3,0)*0.475*44/12</f>
        <v>9.8835752786804953E-2</v>
      </c>
      <c r="AB160" s="23">
        <f>EXP(-LN(2)/2)*AB159+(1-EXP(-LN(2)/2))/(LN(2)/2)*V160*Y160*VLOOKUP('Données projet'!$B$9,Paramètres!$A$1:$I$89,3,0)*0.475*44/12</f>
        <v>8.4447563852796826E-17</v>
      </c>
      <c r="AC160" s="24">
        <f t="shared" si="163"/>
        <v>8.9432354612320868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3.4106051316484809E-13</v>
      </c>
      <c r="AJ160" s="14">
        <f>AI160*VLOOKUP('Données projet'!$B$10,Paramètres!$A$1:$I$89,3,0)*VLOOKUP('Données projet'!$B$10,Paramètres!$A$1:$I$89,5,0)</f>
        <v>1.5961632016114892E-13</v>
      </c>
      <c r="AK160" s="14">
        <f t="shared" si="164"/>
        <v>2.2708641912150958E-12</v>
      </c>
      <c r="AL160" s="22">
        <f t="shared" si="165"/>
        <v>4.2330868906469593E-12</v>
      </c>
      <c r="AM160" s="62">
        <f t="shared" si="113"/>
        <v>293.33333333333752</v>
      </c>
      <c r="AN160" s="62">
        <f ca="1">AVERAGE(OFFSET($AM$3,0,0,'Données projet'!$E$10+1,1))-AVERAGE(OFFSET($H$3,0,0,'Données projet'!$E$10+1,1))</f>
        <v>215.04236469150038</v>
      </c>
      <c r="AO160" s="62">
        <f t="shared" si="144"/>
        <v>160.72275701448416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2">
        <f t="shared" si="140"/>
        <v>25.643578691511777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70">
        <f t="shared" si="110"/>
        <v>502.55553288771608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5.6843418860808015E-14</v>
      </c>
      <c r="O161" s="14">
        <f>N161*VLOOKUP('Données projet'!$B$9,Paramètres!$A$1:$I$89,3,0)*VLOOKUP('Données projet'!$B$9,Paramètres!$A$1:$I$89,5,0)</f>
        <v>3.3992364478763198E-14</v>
      </c>
      <c r="P161" s="14">
        <f t="shared" si="141"/>
        <v>5.790027782444094E-13</v>
      </c>
      <c r="Q161" s="22">
        <f t="shared" si="162"/>
        <v>1.0676332069095257E-12</v>
      </c>
      <c r="R161" s="62">
        <f t="shared" si="109"/>
        <v>293.33333333333439</v>
      </c>
      <c r="S161" s="62">
        <f ca="1">AVERAGE(OFFSET($R$3,0,0,'Données projet'!$E$9+1,1))-AVERAGE(OFFSET($H$3,0,0,'Données projet'!$E$9+1,1))</f>
        <v>157.98488572680344</v>
      </c>
      <c r="T161" s="62">
        <f t="shared" si="142"/>
        <v>269.20989374735825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8.6709664247138249</v>
      </c>
      <c r="AA161" s="23">
        <f>EXP(-LN(2)/25)*AA160+(1-EXP(-LN(2)/25))/(LN(2)/25)*Calculateur!V161*Calculateur!X161*VLOOKUP('Données projet'!$B$9,Paramètres!$A$1:$I$89,3,0)*0.475*44/12</f>
        <v>9.613308392930342E-2</v>
      </c>
      <c r="AB161" s="23">
        <f>EXP(-LN(2)/2)*AB160+(1-EXP(-LN(2)/2))/(LN(2)/2)*V161*Y161*VLOOKUP('Données projet'!$B$9,Paramètres!$A$1:$I$89,3,0)*0.475*44/12</f>
        <v>5.9713445054996605E-17</v>
      </c>
      <c r="AC161" s="24">
        <f t="shared" si="163"/>
        <v>8.7670995086431276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3.4106051316484809E-13</v>
      </c>
      <c r="AJ161" s="14">
        <f>AI161*VLOOKUP('Données projet'!$B$10,Paramètres!$A$1:$I$89,3,0)*VLOOKUP('Données projet'!$B$10,Paramètres!$A$1:$I$89,5,0)</f>
        <v>1.5961632016114892E-13</v>
      </c>
      <c r="AK161" s="14">
        <f t="shared" si="164"/>
        <v>2.2708641912150958E-12</v>
      </c>
      <c r="AL161" s="22">
        <f t="shared" si="165"/>
        <v>4.2330868906469593E-12</v>
      </c>
      <c r="AM161" s="62">
        <f t="shared" si="113"/>
        <v>293.33333333333752</v>
      </c>
      <c r="AN161" s="62">
        <f ca="1">AVERAGE(OFFSET($AM$3,0,0,'Données projet'!$E$10+1,1))-AVERAGE(OFFSET($H$3,0,0,'Données projet'!$E$10+1,1))</f>
        <v>215.04236469150038</v>
      </c>
      <c r="AO161" s="62">
        <f t="shared" si="144"/>
        <v>160.72275701448416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2">
        <f t="shared" si="140"/>
        <v>25.786935269387101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70">
        <f t="shared" si="110"/>
        <v>503.84672892751564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5.6843418860808015E-14</v>
      </c>
      <c r="O162" s="14">
        <f>N162*VLOOKUP('Données projet'!$B$9,Paramètres!$A$1:$I$89,3,0)*VLOOKUP('Données projet'!$B$9,Paramètres!$A$1:$I$89,5,0)</f>
        <v>3.3992364478763198E-14</v>
      </c>
      <c r="P162" s="14">
        <f t="shared" si="141"/>
        <v>5.790027782444094E-13</v>
      </c>
      <c r="Q162" s="22">
        <f t="shared" si="162"/>
        <v>1.0676332069095257E-12</v>
      </c>
      <c r="R162" s="62">
        <f t="shared" si="109"/>
        <v>293.33333333333439</v>
      </c>
      <c r="S162" s="62">
        <f ca="1">AVERAGE(OFFSET($R$3,0,0,'Données projet'!$E$9+1,1))-AVERAGE(OFFSET($H$3,0,0,'Données projet'!$E$9+1,1))</f>
        <v>157.98488572680344</v>
      </c>
      <c r="T162" s="62">
        <f t="shared" si="142"/>
        <v>269.20989374735825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8.5009340618924831</v>
      </c>
      <c r="AA162" s="23">
        <f>EXP(-LN(2)/25)*AA161+(1-EXP(-LN(2)/25))/(LN(2)/25)*Calculateur!V162*Calculateur!X162*VLOOKUP('Données projet'!$B$9,Paramètres!$A$1:$I$89,3,0)*0.475*44/12</f>
        <v>9.3504319693837448E-2</v>
      </c>
      <c r="AB162" s="23">
        <f>EXP(-LN(2)/2)*AB161+(1-EXP(-LN(2)/2))/(LN(2)/2)*V162*Y162*VLOOKUP('Données projet'!$B$9,Paramètres!$A$1:$I$89,3,0)*0.475*44/12</f>
        <v>4.2223781926398413E-17</v>
      </c>
      <c r="AC162" s="24">
        <f t="shared" si="163"/>
        <v>8.5944383815863201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3.4106051316484809E-13</v>
      </c>
      <c r="AJ162" s="14">
        <f>AI162*VLOOKUP('Données projet'!$B$10,Paramètres!$A$1:$I$89,3,0)*VLOOKUP('Données projet'!$B$10,Paramètres!$A$1:$I$89,5,0)</f>
        <v>1.5961632016114892E-13</v>
      </c>
      <c r="AK162" s="14">
        <f t="shared" si="164"/>
        <v>2.2708641912150958E-12</v>
      </c>
      <c r="AL162" s="22">
        <f t="shared" si="165"/>
        <v>4.2330868906469593E-12</v>
      </c>
      <c r="AM162" s="62">
        <f t="shared" si="113"/>
        <v>293.33333333333752</v>
      </c>
      <c r="AN162" s="62">
        <f ca="1">AVERAGE(OFFSET($AM$3,0,0,'Données projet'!$E$10+1,1))-AVERAGE(OFFSET($H$3,0,0,'Données projet'!$E$10+1,1))</f>
        <v>215.04236469150038</v>
      </c>
      <c r="AO162" s="62">
        <f t="shared" si="144"/>
        <v>160.72275701448416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2">
        <f t="shared" si="140"/>
        <v>25.930186937101919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70">
        <f t="shared" si="110"/>
        <v>505.13774224878563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5.6843418860808015E-14</v>
      </c>
      <c r="O163" s="14">
        <f>N163*VLOOKUP('Données projet'!$B$9,Paramètres!$A$1:$I$89,3,0)*VLOOKUP('Données projet'!$B$9,Paramètres!$A$1:$I$89,5,0)</f>
        <v>3.3992364478763198E-14</v>
      </c>
      <c r="P163" s="14">
        <f t="shared" si="141"/>
        <v>5.790027782444094E-13</v>
      </c>
      <c r="Q163" s="22">
        <f t="shared" si="162"/>
        <v>1.0676332069095257E-12</v>
      </c>
      <c r="R163" s="62">
        <f t="shared" si="109"/>
        <v>293.33333333333439</v>
      </c>
      <c r="S163" s="62">
        <f ca="1">AVERAGE(OFFSET($R$3,0,0,'Données projet'!$E$9+1,1))-AVERAGE(OFFSET($H$3,0,0,'Données projet'!$E$9+1,1))</f>
        <v>157.98488572680344</v>
      </c>
      <c r="T163" s="62">
        <f t="shared" si="142"/>
        <v>269.20989374735825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8.3342359299965665</v>
      </c>
      <c r="AA163" s="23">
        <f>EXP(-LN(2)/25)*AA162+(1-EXP(-LN(2)/25))/(LN(2)/25)*Calculateur!V163*Calculateur!X163*VLOOKUP('Données projet'!$B$9,Paramètres!$A$1:$I$89,3,0)*0.475*44/12</f>
        <v>9.0947439154630993E-2</v>
      </c>
      <c r="AB163" s="23">
        <f>EXP(-LN(2)/2)*AB162+(1-EXP(-LN(2)/2))/(LN(2)/2)*V163*Y163*VLOOKUP('Données projet'!$B$9,Paramètres!$A$1:$I$89,3,0)*0.475*44/12</f>
        <v>2.9856722527498303E-17</v>
      </c>
      <c r="AC163" s="24">
        <f t="shared" si="163"/>
        <v>8.4251833691511973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3.4106051316484809E-13</v>
      </c>
      <c r="AJ163" s="14">
        <f>AI163*VLOOKUP('Données projet'!$B$10,Paramètres!$A$1:$I$89,3,0)*VLOOKUP('Données projet'!$B$10,Paramètres!$A$1:$I$89,5,0)</f>
        <v>1.5961632016114892E-13</v>
      </c>
      <c r="AK163" s="14">
        <f t="shared" si="164"/>
        <v>2.2708641912150958E-12</v>
      </c>
      <c r="AL163" s="22">
        <f t="shared" si="165"/>
        <v>4.2330868906469593E-12</v>
      </c>
      <c r="AM163" s="62">
        <f t="shared" si="113"/>
        <v>293.33333333333752</v>
      </c>
      <c r="AN163" s="62">
        <f ca="1">AVERAGE(OFFSET($AM$3,0,0,'Données projet'!$E$10+1,1))-AVERAGE(OFFSET($H$3,0,0,'Données projet'!$E$10+1,1))</f>
        <v>215.04236469150038</v>
      </c>
      <c r="AO163" s="62">
        <f t="shared" si="144"/>
        <v>160.72275701448416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2">
        <f t="shared" si="140"/>
        <v>26.073334426410252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70">
        <f t="shared" si="110"/>
        <v>506.42857412599761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5.6843418860808015E-14</v>
      </c>
      <c r="O164" s="14">
        <f>N164*VLOOKUP('Données projet'!$B$9,Paramètres!$A$1:$I$89,3,0)*VLOOKUP('Données projet'!$B$9,Paramètres!$A$1:$I$89,5,0)</f>
        <v>3.3992364478763198E-14</v>
      </c>
      <c r="P164" s="14">
        <f t="shared" si="141"/>
        <v>5.790027782444094E-13</v>
      </c>
      <c r="Q164" s="22">
        <f t="shared" si="162"/>
        <v>1.0676332069095257E-12</v>
      </c>
      <c r="R164" s="62">
        <f t="shared" si="109"/>
        <v>293.33333333333439</v>
      </c>
      <c r="S164" s="62">
        <f ca="1">AVERAGE(OFFSET($R$3,0,0,'Données projet'!$E$9+1,1))-AVERAGE(OFFSET($H$3,0,0,'Données projet'!$E$9+1,1))</f>
        <v>157.98488572680344</v>
      </c>
      <c r="T164" s="62">
        <f t="shared" si="142"/>
        <v>269.20989374735825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8.1708066467913092</v>
      </c>
      <c r="AA164" s="23">
        <f>EXP(-LN(2)/25)*AA163+(1-EXP(-LN(2)/25))/(LN(2)/25)*Calculateur!V164*Calculateur!X164*VLOOKUP('Données projet'!$B$9,Paramètres!$A$1:$I$89,3,0)*0.475*44/12</f>
        <v>8.8460476648229647E-2</v>
      </c>
      <c r="AB164" s="23">
        <f>EXP(-LN(2)/2)*AB163+(1-EXP(-LN(2)/2))/(LN(2)/2)*V164*Y164*VLOOKUP('Données projet'!$B$9,Paramètres!$A$1:$I$89,3,0)*0.475*44/12</f>
        <v>2.1111890963199206E-17</v>
      </c>
      <c r="AC164" s="24">
        <f t="shared" si="163"/>
        <v>8.2592671234395389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3.4106051316484809E-13</v>
      </c>
      <c r="AJ164" s="14">
        <f>AI164*VLOOKUP('Données projet'!$B$10,Paramètres!$A$1:$I$89,3,0)*VLOOKUP('Données projet'!$B$10,Paramètres!$A$1:$I$89,5,0)</f>
        <v>1.5961632016114892E-13</v>
      </c>
      <c r="AK164" s="14">
        <f t="shared" si="164"/>
        <v>2.2708641912150958E-12</v>
      </c>
      <c r="AL164" s="22">
        <f t="shared" si="165"/>
        <v>4.2330868906469593E-12</v>
      </c>
      <c r="AM164" s="62">
        <f t="shared" si="113"/>
        <v>293.33333333333752</v>
      </c>
      <c r="AN164" s="62">
        <f ca="1">AVERAGE(OFFSET($AM$3,0,0,'Données projet'!$E$10+1,1))-AVERAGE(OFFSET($H$3,0,0,'Données projet'!$E$10+1,1))</f>
        <v>215.04236469150038</v>
      </c>
      <c r="AO164" s="62">
        <f t="shared" si="144"/>
        <v>160.72275701448416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2">
        <f t="shared" si="140"/>
        <v>26.216378459450194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70">
        <f t="shared" si="110"/>
        <v>507.71922581687556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5.6843418860808015E-14</v>
      </c>
      <c r="O165" s="14">
        <f>N165*VLOOKUP('Données projet'!$B$9,Paramètres!$A$1:$I$89,3,0)*VLOOKUP('Données projet'!$B$9,Paramètres!$A$1:$I$89,5,0)</f>
        <v>3.3992364478763198E-14</v>
      </c>
      <c r="P165" s="14">
        <f t="shared" si="141"/>
        <v>5.790027782444094E-13</v>
      </c>
      <c r="Q165" s="22">
        <f t="shared" si="162"/>
        <v>1.0676332069095257E-12</v>
      </c>
      <c r="R165" s="62">
        <f t="shared" si="109"/>
        <v>293.33333333333439</v>
      </c>
      <c r="S165" s="62">
        <f ca="1">AVERAGE(OFFSET($R$3,0,0,'Données projet'!$E$9+1,1))-AVERAGE(OFFSET($H$3,0,0,'Données projet'!$E$9+1,1))</f>
        <v>157.98488572680344</v>
      </c>
      <c r="T165" s="62">
        <f t="shared" si="142"/>
        <v>269.20989374735825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8.0105821121476861</v>
      </c>
      <c r="AA165" s="23">
        <f>EXP(-LN(2)/25)*AA164+(1-EXP(-LN(2)/25))/(LN(2)/25)*Calculateur!V165*Calculateur!X165*VLOOKUP('Données projet'!$B$9,Paramètres!$A$1:$I$89,3,0)*0.475*44/12</f>
        <v>8.6041520262349513E-2</v>
      </c>
      <c r="AB165" s="23">
        <f>EXP(-LN(2)/2)*AB164+(1-EXP(-LN(2)/2))/(LN(2)/2)*V165*Y165*VLOOKUP('Données projet'!$B$9,Paramètres!$A$1:$I$89,3,0)*0.475*44/12</f>
        <v>1.4928361263749151E-17</v>
      </c>
      <c r="AC165" s="24">
        <f t="shared" si="163"/>
        <v>8.0966236324100365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3.4106051316484809E-13</v>
      </c>
      <c r="AJ165" s="14">
        <f>AI165*VLOOKUP('Données projet'!$B$10,Paramètres!$A$1:$I$89,3,0)*VLOOKUP('Données projet'!$B$10,Paramètres!$A$1:$I$89,5,0)</f>
        <v>1.5961632016114892E-13</v>
      </c>
      <c r="AK165" s="14">
        <f t="shared" si="164"/>
        <v>2.2708641912150958E-12</v>
      </c>
      <c r="AL165" s="22">
        <f t="shared" si="165"/>
        <v>4.2330868906469593E-12</v>
      </c>
      <c r="AM165" s="62">
        <f t="shared" si="113"/>
        <v>293.33333333333752</v>
      </c>
      <c r="AN165" s="62">
        <f ca="1">AVERAGE(OFFSET($AM$3,0,0,'Données projet'!$E$10+1,1))-AVERAGE(OFFSET($H$3,0,0,'Données projet'!$E$10+1,1))</f>
        <v>215.04236469150038</v>
      </c>
      <c r="AO165" s="62">
        <f t="shared" si="144"/>
        <v>160.72275701448416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2">
        <f t="shared" si="140"/>
        <v>26.359319748929014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70">
        <f t="shared" si="110"/>
        <v>509.00969856271774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5.6843418860808015E-14</v>
      </c>
      <c r="O166" s="14">
        <f>N166*VLOOKUP('Données projet'!$B$9,Paramètres!$A$1:$I$89,3,0)*VLOOKUP('Données projet'!$B$9,Paramètres!$A$1:$I$89,5,0)</f>
        <v>3.3992364478763198E-14</v>
      </c>
      <c r="P166" s="14">
        <f t="shared" si="141"/>
        <v>5.790027782444094E-13</v>
      </c>
      <c r="Q166" s="22">
        <f t="shared" si="162"/>
        <v>1.0676332069095257E-12</v>
      </c>
      <c r="R166" s="62">
        <f t="shared" si="109"/>
        <v>293.33333333333439</v>
      </c>
      <c r="S166" s="62">
        <f ca="1">AVERAGE(OFFSET($R$3,0,0,'Données projet'!$E$9+1,1))-AVERAGE(OFFSET($H$3,0,0,'Données projet'!$E$9+1,1))</f>
        <v>157.98488572680344</v>
      </c>
      <c r="T166" s="62">
        <f t="shared" si="142"/>
        <v>269.20989374735825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7.8534994829011087</v>
      </c>
      <c r="AA166" s="23">
        <f>EXP(-LN(2)/25)*AA165+(1-EXP(-LN(2)/25))/(LN(2)/25)*Calculateur!V166*Calculateur!X166*VLOOKUP('Données projet'!$B$9,Paramètres!$A$1:$I$89,3,0)*0.475*44/12</f>
        <v>8.3688710366048663E-2</v>
      </c>
      <c r="AB166" s="23">
        <f>EXP(-LN(2)/2)*AB165+(1-EXP(-LN(2)/2))/(LN(2)/2)*V166*Y166*VLOOKUP('Données projet'!$B$9,Paramètres!$A$1:$I$89,3,0)*0.475*44/12</f>
        <v>1.0555945481599603E-17</v>
      </c>
      <c r="AC166" s="24">
        <f t="shared" si="163"/>
        <v>7.9371881932671577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3.4106051316484809E-13</v>
      </c>
      <c r="AJ166" s="14">
        <f>AI166*VLOOKUP('Données projet'!$B$10,Paramètres!$A$1:$I$89,3,0)*VLOOKUP('Données projet'!$B$10,Paramètres!$A$1:$I$89,5,0)</f>
        <v>1.5961632016114892E-13</v>
      </c>
      <c r="AK166" s="14">
        <f t="shared" si="164"/>
        <v>2.2708641912150958E-12</v>
      </c>
      <c r="AL166" s="22">
        <f t="shared" si="165"/>
        <v>4.2330868906469593E-12</v>
      </c>
      <c r="AM166" s="62">
        <f t="shared" si="113"/>
        <v>293.33333333333752</v>
      </c>
      <c r="AN166" s="62">
        <f ca="1">AVERAGE(OFFSET($AM$3,0,0,'Données projet'!$E$10+1,1))-AVERAGE(OFFSET($H$3,0,0,'Données projet'!$E$10+1,1))</f>
        <v>215.04236469150038</v>
      </c>
      <c r="AO166" s="62">
        <f t="shared" si="144"/>
        <v>160.72275701448416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2">
        <f t="shared" si="140"/>
        <v>26.502158998303084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70">
        <f t="shared" si="110"/>
        <v>510.299993588711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5.6843418860808015E-14</v>
      </c>
      <c r="O167" s="14">
        <f>N167*VLOOKUP('Données projet'!$B$9,Paramètres!$A$1:$I$89,3,0)*VLOOKUP('Données projet'!$B$9,Paramètres!$A$1:$I$89,5,0)</f>
        <v>3.3992364478763198E-14</v>
      </c>
      <c r="P167" s="14">
        <f t="shared" si="141"/>
        <v>5.790027782444094E-13</v>
      </c>
      <c r="Q167" s="22">
        <f t="shared" si="162"/>
        <v>1.0676332069095257E-12</v>
      </c>
      <c r="R167" s="62">
        <f t="shared" si="109"/>
        <v>293.33333333333439</v>
      </c>
      <c r="S167" s="62">
        <f ca="1">AVERAGE(OFFSET($R$3,0,0,'Données projet'!$E$9+1,1))-AVERAGE(OFFSET($H$3,0,0,'Données projet'!$E$9+1,1))</f>
        <v>157.98488572680344</v>
      </c>
      <c r="T167" s="62">
        <f t="shared" si="142"/>
        <v>269.20989374735825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7.6994971482031129</v>
      </c>
      <c r="AA167" s="23">
        <f>EXP(-LN(2)/25)*AA166+(1-EXP(-LN(2)/25))/(LN(2)/25)*Calculateur!V167*Calculateur!X167*VLOOKUP('Données projet'!$B$9,Paramètres!$A$1:$I$89,3,0)*0.475*44/12</f>
        <v>8.1400238180091053E-2</v>
      </c>
      <c r="AB167" s="23">
        <f>EXP(-LN(2)/2)*AB166+(1-EXP(-LN(2)/2))/(LN(2)/2)*V167*Y167*VLOOKUP('Données projet'!$B$9,Paramètres!$A$1:$I$89,3,0)*0.475*44/12</f>
        <v>7.4641806318745757E-18</v>
      </c>
      <c r="AC167" s="24">
        <f t="shared" si="163"/>
        <v>7.7808973863832041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3.4106051316484809E-13</v>
      </c>
      <c r="AJ167" s="14">
        <f>AI167*VLOOKUP('Données projet'!$B$10,Paramètres!$A$1:$I$89,3,0)*VLOOKUP('Données projet'!$B$10,Paramètres!$A$1:$I$89,5,0)</f>
        <v>1.5961632016114892E-13</v>
      </c>
      <c r="AK167" s="14">
        <f t="shared" si="164"/>
        <v>2.2708641912150958E-12</v>
      </c>
      <c r="AL167" s="22">
        <f t="shared" si="165"/>
        <v>4.2330868906469593E-12</v>
      </c>
      <c r="AM167" s="62">
        <f t="shared" si="113"/>
        <v>293.33333333333752</v>
      </c>
      <c r="AN167" s="62">
        <f ca="1">AVERAGE(OFFSET($AM$3,0,0,'Données projet'!$E$10+1,1))-AVERAGE(OFFSET($H$3,0,0,'Données projet'!$E$10+1,1))</f>
        <v>215.04236469150038</v>
      </c>
      <c r="AO167" s="62">
        <f t="shared" si="144"/>
        <v>160.72275701448416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2">
        <f t="shared" si="140"/>
        <v>26.644896901954041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70">
        <f t="shared" si="110"/>
        <v>511.59011210423637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5.6843418860808015E-14</v>
      </c>
      <c r="O168" s="14">
        <f>N168*VLOOKUP('Données projet'!$B$9,Paramètres!$A$1:$I$89,3,0)*VLOOKUP('Données projet'!$B$9,Paramètres!$A$1:$I$89,5,0)</f>
        <v>3.3992364478763198E-14</v>
      </c>
      <c r="P168" s="14">
        <f t="shared" si="141"/>
        <v>5.790027782444094E-13</v>
      </c>
      <c r="Q168" s="22">
        <f t="shared" si="162"/>
        <v>1.0676332069095257E-12</v>
      </c>
      <c r="R168" s="62">
        <f t="shared" si="109"/>
        <v>293.33333333333439</v>
      </c>
      <c r="S168" s="62">
        <f ca="1">AVERAGE(OFFSET($R$3,0,0,'Données projet'!$E$9+1,1))-AVERAGE(OFFSET($H$3,0,0,'Données projet'!$E$9+1,1))</f>
        <v>157.98488572680344</v>
      </c>
      <c r="T168" s="62">
        <f t="shared" si="142"/>
        <v>269.20989374735825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7.5485147053563963</v>
      </c>
      <c r="AA168" s="23">
        <f>EXP(-LN(2)/25)*AA167+(1-EXP(-LN(2)/25))/(LN(2)/25)*Calculateur!V168*Calculateur!X168*VLOOKUP('Données projet'!$B$9,Paramètres!$A$1:$I$89,3,0)*0.475*44/12</f>
        <v>7.9174344386403986E-2</v>
      </c>
      <c r="AB168" s="23">
        <f>EXP(-LN(2)/2)*AB167+(1-EXP(-LN(2)/2))/(LN(2)/2)*V168*Y168*VLOOKUP('Données projet'!$B$9,Paramètres!$A$1:$I$89,3,0)*0.475*44/12</f>
        <v>5.2779727407998016E-18</v>
      </c>
      <c r="AC168" s="24">
        <f t="shared" si="163"/>
        <v>7.6276890497428003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3.4106051316484809E-13</v>
      </c>
      <c r="AJ168" s="14">
        <f>AI168*VLOOKUP('Données projet'!$B$10,Paramètres!$A$1:$I$89,3,0)*VLOOKUP('Données projet'!$B$10,Paramètres!$A$1:$I$89,5,0)</f>
        <v>1.5961632016114892E-13</v>
      </c>
      <c r="AK168" s="14">
        <f t="shared" si="164"/>
        <v>2.2708641912150958E-12</v>
      </c>
      <c r="AL168" s="22">
        <f t="shared" si="165"/>
        <v>4.2330868906469593E-12</v>
      </c>
      <c r="AM168" s="62">
        <f t="shared" si="113"/>
        <v>293.33333333333752</v>
      </c>
      <c r="AN168" s="62">
        <f ca="1">AVERAGE(OFFSET($AM$3,0,0,'Données projet'!$E$10+1,1))-AVERAGE(OFFSET($H$3,0,0,'Données projet'!$E$10+1,1))</f>
        <v>215.04236469150038</v>
      </c>
      <c r="AO168" s="62">
        <f t="shared" si="144"/>
        <v>160.72275701448416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2">
        <f t="shared" si="140"/>
        <v>26.787534145359764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70">
        <f t="shared" si="110"/>
        <v>512.88005530316809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5.6843418860808015E-14</v>
      </c>
      <c r="O169" s="14">
        <f>N169*VLOOKUP('Données projet'!$B$9,Paramètres!$A$1:$I$89,3,0)*VLOOKUP('Données projet'!$B$9,Paramètres!$A$1:$I$89,5,0)</f>
        <v>3.3992364478763198E-14</v>
      </c>
      <c r="P169" s="14">
        <f t="shared" si="141"/>
        <v>5.790027782444094E-13</v>
      </c>
      <c r="Q169" s="22">
        <f t="shared" si="162"/>
        <v>1.0676332069095257E-12</v>
      </c>
      <c r="R169" s="62">
        <f t="shared" si="109"/>
        <v>293.33333333333439</v>
      </c>
      <c r="S169" s="62">
        <f ca="1">AVERAGE(OFFSET($R$3,0,0,'Données projet'!$E$9+1,1))-AVERAGE(OFFSET($H$3,0,0,'Données projet'!$E$9+1,1))</f>
        <v>157.98488572680344</v>
      </c>
      <c r="T169" s="62">
        <f t="shared" si="142"/>
        <v>269.20989374735825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7.4004929361237064</v>
      </c>
      <c r="AA169" s="23">
        <f>EXP(-LN(2)/25)*AA168+(1-EXP(-LN(2)/25))/(LN(2)/25)*Calculateur!V169*Calculateur!X169*VLOOKUP('Données projet'!$B$9,Paramètres!$A$1:$I$89,3,0)*0.475*44/12</f>
        <v>7.7009317775559957E-2</v>
      </c>
      <c r="AB169" s="23">
        <f>EXP(-LN(2)/2)*AB168+(1-EXP(-LN(2)/2))/(LN(2)/2)*V169*Y169*VLOOKUP('Données projet'!$B$9,Paramètres!$A$1:$I$89,3,0)*0.475*44/12</f>
        <v>3.7320903159372878E-18</v>
      </c>
      <c r="AC169" s="24">
        <f t="shared" si="163"/>
        <v>7.4775022538992664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3.4106051316484809E-13</v>
      </c>
      <c r="AJ169" s="14">
        <f>AI169*VLOOKUP('Données projet'!$B$10,Paramètres!$A$1:$I$89,3,0)*VLOOKUP('Données projet'!$B$10,Paramètres!$A$1:$I$89,5,0)</f>
        <v>1.5961632016114892E-13</v>
      </c>
      <c r="AK169" s="14">
        <f t="shared" si="164"/>
        <v>2.2708641912150958E-12</v>
      </c>
      <c r="AL169" s="22">
        <f t="shared" si="165"/>
        <v>4.2330868906469593E-12</v>
      </c>
      <c r="AM169" s="62">
        <f t="shared" si="113"/>
        <v>293.33333333333752</v>
      </c>
      <c r="AN169" s="62">
        <f ca="1">AVERAGE(OFFSET($AM$3,0,0,'Données projet'!$E$10+1,1))-AVERAGE(OFFSET($H$3,0,0,'Données projet'!$E$10+1,1))</f>
        <v>215.04236469150038</v>
      </c>
      <c r="AO169" s="62">
        <f t="shared" si="144"/>
        <v>160.72275701448416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2">
        <f t="shared" si="140"/>
        <v>26.930071405261604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70">
        <f t="shared" si="110"/>
        <v>514.16982436416379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5.6843418860808015E-14</v>
      </c>
      <c r="O170" s="14">
        <f>N170*VLOOKUP('Données projet'!$B$9,Paramètres!$A$1:$I$89,3,0)*VLOOKUP('Données projet'!$B$9,Paramètres!$A$1:$I$89,5,0)</f>
        <v>3.3992364478763198E-14</v>
      </c>
      <c r="P170" s="14">
        <f t="shared" si="141"/>
        <v>5.790027782444094E-13</v>
      </c>
      <c r="Q170" s="22">
        <f t="shared" si="162"/>
        <v>1.0676332069095257E-12</v>
      </c>
      <c r="R170" s="62">
        <f t="shared" si="109"/>
        <v>293.33333333333439</v>
      </c>
      <c r="S170" s="62">
        <f ca="1">AVERAGE(OFFSET($R$3,0,0,'Données projet'!$E$9+1,1))-AVERAGE(OFFSET($H$3,0,0,'Données projet'!$E$9+1,1))</f>
        <v>157.98488572680344</v>
      </c>
      <c r="T170" s="62">
        <f t="shared" si="142"/>
        <v>269.20989374735825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7.2553737835013052</v>
      </c>
      <c r="AA170" s="23">
        <f>EXP(-LN(2)/25)*AA169+(1-EXP(-LN(2)/25))/(LN(2)/25)*Calculateur!V170*Calculateur!X170*VLOOKUP('Données projet'!$B$9,Paramètres!$A$1:$I$89,3,0)*0.475*44/12</f>
        <v>7.4903493931243251E-2</v>
      </c>
      <c r="AB170" s="23">
        <f>EXP(-LN(2)/2)*AB169+(1-EXP(-LN(2)/2))/(LN(2)/2)*V170*Y170*VLOOKUP('Données projet'!$B$9,Paramètres!$A$1:$I$89,3,0)*0.475*44/12</f>
        <v>2.6389863703999008E-18</v>
      </c>
      <c r="AC170" s="24">
        <f t="shared" si="163"/>
        <v>7.3302772774325486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3.4106051316484809E-13</v>
      </c>
      <c r="AJ170" s="14">
        <f>AI170*VLOOKUP('Données projet'!$B$10,Paramètres!$A$1:$I$89,3,0)*VLOOKUP('Données projet'!$B$10,Paramètres!$A$1:$I$89,5,0)</f>
        <v>1.5961632016114892E-13</v>
      </c>
      <c r="AK170" s="14">
        <f t="shared" si="164"/>
        <v>2.2708641912150958E-12</v>
      </c>
      <c r="AL170" s="22">
        <f t="shared" si="165"/>
        <v>4.2330868906469593E-12</v>
      </c>
      <c r="AM170" s="62">
        <f t="shared" si="113"/>
        <v>293.33333333333752</v>
      </c>
      <c r="AN170" s="62">
        <f ca="1">AVERAGE(OFFSET($AM$3,0,0,'Données projet'!$E$10+1,1))-AVERAGE(OFFSET($H$3,0,0,'Données projet'!$E$10+1,1))</f>
        <v>215.04236469150038</v>
      </c>
      <c r="AO170" s="62">
        <f t="shared" si="144"/>
        <v>160.72275701448416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2">
        <f t="shared" si="140"/>
        <v>27.072509349827431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70">
        <f t="shared" si="110"/>
        <v>515.45942045094921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5.6843418860808015E-14</v>
      </c>
      <c r="O171" s="14">
        <f>N171*VLOOKUP('Données projet'!$B$9,Paramètres!$A$1:$I$89,3,0)*VLOOKUP('Données projet'!$B$9,Paramètres!$A$1:$I$89,5,0)</f>
        <v>3.3992364478763198E-14</v>
      </c>
      <c r="P171" s="14">
        <f t="shared" si="141"/>
        <v>5.790027782444094E-13</v>
      </c>
      <c r="Q171" s="22">
        <f t="shared" si="162"/>
        <v>1.0676332069095257E-12</v>
      </c>
      <c r="R171" s="62">
        <f t="shared" si="109"/>
        <v>293.33333333333439</v>
      </c>
      <c r="S171" s="62">
        <f ca="1">AVERAGE(OFFSET($R$3,0,0,'Données projet'!$E$9+1,1))-AVERAGE(OFFSET($H$3,0,0,'Données projet'!$E$9+1,1))</f>
        <v>157.98488572680344</v>
      </c>
      <c r="T171" s="62">
        <f t="shared" si="142"/>
        <v>269.20989374735825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7.113100328947886</v>
      </c>
      <c r="AA171" s="23">
        <f>EXP(-LN(2)/25)*AA170+(1-EXP(-LN(2)/25))/(LN(2)/25)*Calculateur!V171*Calculateur!X171*VLOOKUP('Données projet'!$B$9,Paramètres!$A$1:$I$89,3,0)*0.475*44/12</f>
        <v>7.2855253950689855E-2</v>
      </c>
      <c r="AB171" s="23">
        <f>EXP(-LN(2)/2)*AB170+(1-EXP(-LN(2)/2))/(LN(2)/2)*V171*Y171*VLOOKUP('Données projet'!$B$9,Paramètres!$A$1:$I$89,3,0)*0.475*44/12</f>
        <v>1.8660451579686439E-18</v>
      </c>
      <c r="AC171" s="24">
        <f t="shared" si="163"/>
        <v>7.1859555828985755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3.4106051316484809E-13</v>
      </c>
      <c r="AJ171" s="14">
        <f>AI171*VLOOKUP('Données projet'!$B$10,Paramètres!$A$1:$I$89,3,0)*VLOOKUP('Données projet'!$B$10,Paramètres!$A$1:$I$89,5,0)</f>
        <v>1.5961632016114892E-13</v>
      </c>
      <c r="AK171" s="14">
        <f t="shared" si="164"/>
        <v>2.2708641912150958E-12</v>
      </c>
      <c r="AL171" s="22">
        <f t="shared" si="165"/>
        <v>4.2330868906469593E-12</v>
      </c>
      <c r="AM171" s="62">
        <f t="shared" si="113"/>
        <v>293.33333333333752</v>
      </c>
      <c r="AN171" s="62">
        <f ca="1">AVERAGE(OFFSET($AM$3,0,0,'Données projet'!$E$10+1,1))-AVERAGE(OFFSET($H$3,0,0,'Données projet'!$E$10+1,1))</f>
        <v>215.04236469150038</v>
      </c>
      <c r="AO171" s="62">
        <f t="shared" si="144"/>
        <v>160.72275701448416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2">
        <f t="shared" si="140"/>
        <v>27.214848638810537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70">
        <f t="shared" si="110"/>
        <v>516.74884471259475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5.6843418860808015E-14</v>
      </c>
      <c r="O172" s="14">
        <f>N172*VLOOKUP('Données projet'!$B$9,Paramètres!$A$1:$I$89,3,0)*VLOOKUP('Données projet'!$B$9,Paramètres!$A$1:$I$89,5,0)</f>
        <v>3.3992364478763198E-14</v>
      </c>
      <c r="P172" s="14">
        <f t="shared" si="141"/>
        <v>5.790027782444094E-13</v>
      </c>
      <c r="Q172" s="22">
        <f t="shared" si="162"/>
        <v>1.0676332069095257E-12</v>
      </c>
      <c r="R172" s="62">
        <f t="shared" si="109"/>
        <v>293.33333333333439</v>
      </c>
      <c r="S172" s="62">
        <f ca="1">AVERAGE(OFFSET($R$3,0,0,'Données projet'!$E$9+1,1))-AVERAGE(OFFSET($H$3,0,0,'Données projet'!$E$9+1,1))</f>
        <v>157.98488572680344</v>
      </c>
      <c r="T172" s="62">
        <f t="shared" si="142"/>
        <v>269.20989374735825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6.9736167700600209</v>
      </c>
      <c r="AA172" s="23">
        <f>EXP(-LN(2)/25)*AA171+(1-EXP(-LN(2)/25))/(LN(2)/25)*Calculateur!V172*Calculateur!X172*VLOOKUP('Données projet'!$B$9,Paramètres!$A$1:$I$89,3,0)*0.475*44/12</f>
        <v>7.0863023200116948E-2</v>
      </c>
      <c r="AB172" s="23">
        <f>EXP(-LN(2)/2)*AB171+(1-EXP(-LN(2)/2))/(LN(2)/2)*V172*Y172*VLOOKUP('Données projet'!$B$9,Paramètres!$A$1:$I$89,3,0)*0.475*44/12</f>
        <v>1.3194931851999504E-18</v>
      </c>
      <c r="AC172" s="24">
        <f t="shared" si="163"/>
        <v>7.0444797932601375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3.4106051316484809E-13</v>
      </c>
      <c r="AJ172" s="14">
        <f>AI172*VLOOKUP('Données projet'!$B$10,Paramètres!$A$1:$I$89,3,0)*VLOOKUP('Données projet'!$B$10,Paramètres!$A$1:$I$89,5,0)</f>
        <v>1.5961632016114892E-13</v>
      </c>
      <c r="AK172" s="14">
        <f t="shared" si="164"/>
        <v>2.2708641912150958E-12</v>
      </c>
      <c r="AL172" s="22">
        <f t="shared" si="165"/>
        <v>4.2330868906469593E-12</v>
      </c>
      <c r="AM172" s="62">
        <f t="shared" si="113"/>
        <v>293.33333333333752</v>
      </c>
      <c r="AN172" s="62">
        <f ca="1">AVERAGE(OFFSET($AM$3,0,0,'Données projet'!$E$10+1,1))-AVERAGE(OFFSET($H$3,0,0,'Données projet'!$E$10+1,1))</f>
        <v>215.04236469150038</v>
      </c>
      <c r="AO172" s="62">
        <f t="shared" si="144"/>
        <v>160.72275701448416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2">
        <f t="shared" si="140"/>
        <v>27.35708992370472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70">
        <f t="shared" si="110"/>
        <v>518.03809828378553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5.6843418860808015E-14</v>
      </c>
      <c r="O173" s="14">
        <f>N173*VLOOKUP('Données projet'!$B$9,Paramètres!$A$1:$I$89,3,0)*VLOOKUP('Données projet'!$B$9,Paramètres!$A$1:$I$89,5,0)</f>
        <v>3.3992364478763198E-14</v>
      </c>
      <c r="P173" s="14">
        <f t="shared" si="141"/>
        <v>5.790027782444094E-13</v>
      </c>
      <c r="Q173" s="22">
        <f t="shared" si="162"/>
        <v>1.0676332069095257E-12</v>
      </c>
      <c r="R173" s="62">
        <f t="shared" si="109"/>
        <v>293.33333333333439</v>
      </c>
      <c r="S173" s="62">
        <f ca="1">AVERAGE(OFFSET($R$3,0,0,'Données projet'!$E$9+1,1))-AVERAGE(OFFSET($H$3,0,0,'Données projet'!$E$9+1,1))</f>
        <v>157.98488572680344</v>
      </c>
      <c r="T173" s="62">
        <f t="shared" si="142"/>
        <v>269.20989374735825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6.8368683986853771</v>
      </c>
      <c r="AA173" s="23">
        <f>EXP(-LN(2)/25)*AA172+(1-EXP(-LN(2)/25))/(LN(2)/25)*Calculateur!V173*Calculateur!X173*VLOOKUP('Données projet'!$B$9,Paramètres!$A$1:$I$89,3,0)*0.475*44/12</f>
        <v>6.8925270104185324E-2</v>
      </c>
      <c r="AB173" s="23">
        <f>EXP(-LN(2)/2)*AB172+(1-EXP(-LN(2)/2))/(LN(2)/2)*V173*Y173*VLOOKUP('Données projet'!$B$9,Paramètres!$A$1:$I$89,3,0)*0.475*44/12</f>
        <v>9.3302257898432196E-19</v>
      </c>
      <c r="AC173" s="24">
        <f t="shared" si="163"/>
        <v>6.9057936687895625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3.4106051316484809E-13</v>
      </c>
      <c r="AJ173" s="14">
        <f>AI173*VLOOKUP('Données projet'!$B$10,Paramètres!$A$1:$I$89,3,0)*VLOOKUP('Données projet'!$B$10,Paramètres!$A$1:$I$89,5,0)</f>
        <v>1.5961632016114892E-13</v>
      </c>
      <c r="AK173" s="14">
        <f t="shared" si="164"/>
        <v>2.2708641912150958E-12</v>
      </c>
      <c r="AL173" s="22">
        <f t="shared" si="165"/>
        <v>4.2330868906469593E-12</v>
      </c>
      <c r="AM173" s="62">
        <f t="shared" si="113"/>
        <v>293.33333333333752</v>
      </c>
      <c r="AN173" s="62">
        <f ca="1">AVERAGE(OFFSET($AM$3,0,0,'Données projet'!$E$10+1,1))-AVERAGE(OFFSET($H$3,0,0,'Données projet'!$E$10+1,1))</f>
        <v>215.04236469150038</v>
      </c>
      <c r="AO173" s="62">
        <f t="shared" si="144"/>
        <v>160.72275701448416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2">
        <f t="shared" si="140"/>
        <v>27.499233847895834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70">
        <f t="shared" si="110"/>
        <v>519.32718228508497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5.6843418860808015E-14</v>
      </c>
      <c r="O174" s="14">
        <f>N174*VLOOKUP('Données projet'!$B$9,Paramètres!$A$1:$I$89,3,0)*VLOOKUP('Données projet'!$B$9,Paramètres!$A$1:$I$89,5,0)</f>
        <v>3.3992364478763198E-14</v>
      </c>
      <c r="P174" s="14">
        <f t="shared" si="141"/>
        <v>5.790027782444094E-13</v>
      </c>
      <c r="Q174" s="22">
        <f t="shared" si="162"/>
        <v>1.0676332069095257E-12</v>
      </c>
      <c r="R174" s="62">
        <f t="shared" si="109"/>
        <v>293.33333333333439</v>
      </c>
      <c r="S174" s="62">
        <f ca="1">AVERAGE(OFFSET($R$3,0,0,'Données projet'!$E$9+1,1))-AVERAGE(OFFSET($H$3,0,0,'Données projet'!$E$9+1,1))</f>
        <v>157.98488572680344</v>
      </c>
      <c r="T174" s="62">
        <f t="shared" si="142"/>
        <v>269.20989374735825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6.7028015794651195</v>
      </c>
      <c r="AA174" s="23">
        <f>EXP(-LN(2)/25)*AA173+(1-EXP(-LN(2)/25))/(LN(2)/25)*Calculateur!V174*Calculateur!X174*VLOOKUP('Données projet'!$B$9,Paramètres!$A$1:$I$89,3,0)*0.475*44/12</f>
        <v>6.7040504968563952E-2</v>
      </c>
      <c r="AB174" s="23">
        <f>EXP(-LN(2)/2)*AB173+(1-EXP(-LN(2)/2))/(LN(2)/2)*V174*Y174*VLOOKUP('Données projet'!$B$9,Paramètres!$A$1:$I$89,3,0)*0.475*44/12</f>
        <v>6.597465925999752E-19</v>
      </c>
      <c r="AC174" s="24">
        <f t="shared" si="163"/>
        <v>6.7698420844336837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3.4106051316484809E-13</v>
      </c>
      <c r="AJ174" s="14">
        <f>AI174*VLOOKUP('Données projet'!$B$10,Paramètres!$A$1:$I$89,3,0)*VLOOKUP('Données projet'!$B$10,Paramètres!$A$1:$I$89,5,0)</f>
        <v>1.5961632016114892E-13</v>
      </c>
      <c r="AK174" s="14">
        <f t="shared" si="164"/>
        <v>2.2708641912150958E-12</v>
      </c>
      <c r="AL174" s="22">
        <f t="shared" si="165"/>
        <v>4.2330868906469593E-12</v>
      </c>
      <c r="AM174" s="62">
        <f t="shared" si="113"/>
        <v>293.33333333333752</v>
      </c>
      <c r="AN174" s="62">
        <f ca="1">AVERAGE(OFFSET($AM$3,0,0,'Données projet'!$E$10+1,1))-AVERAGE(OFFSET($H$3,0,0,'Données projet'!$E$10+1,1))</f>
        <v>215.04236469150038</v>
      </c>
      <c r="AO174" s="62">
        <f t="shared" si="144"/>
        <v>160.72275701448416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2">
        <f t="shared" si="140"/>
        <v>27.641281046809208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70">
        <f t="shared" si="110"/>
        <v>520.61609782319238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5.6843418860808015E-14</v>
      </c>
      <c r="O175" s="14">
        <f>N175*VLOOKUP('Données projet'!$B$9,Paramètres!$A$1:$I$89,3,0)*VLOOKUP('Données projet'!$B$9,Paramètres!$A$1:$I$89,5,0)</f>
        <v>3.3992364478763198E-14</v>
      </c>
      <c r="P175" s="14">
        <f t="shared" si="141"/>
        <v>5.790027782444094E-13</v>
      </c>
      <c r="Q175" s="22">
        <f t="shared" si="162"/>
        <v>1.0676332069095257E-12</v>
      </c>
      <c r="R175" s="62">
        <f t="shared" si="109"/>
        <v>293.33333333333439</v>
      </c>
      <c r="S175" s="62">
        <f ca="1">AVERAGE(OFFSET($R$3,0,0,'Données projet'!$E$9+1,1))-AVERAGE(OFFSET($H$3,0,0,'Données projet'!$E$9+1,1))</f>
        <v>157.98488572680344</v>
      </c>
      <c r="T175" s="62">
        <f t="shared" si="142"/>
        <v>269.20989374735825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6.5713637287970856</v>
      </c>
      <c r="AA175" s="23">
        <f>EXP(-LN(2)/25)*AA174+(1-EXP(-LN(2)/25))/(LN(2)/25)*Calculateur!V175*Calculateur!X175*VLOOKUP('Données projet'!$B$9,Paramètres!$A$1:$I$89,3,0)*0.475*44/12</f>
        <v>6.5207278834691643E-2</v>
      </c>
      <c r="AB175" s="23">
        <f>EXP(-LN(2)/2)*AB174+(1-EXP(-LN(2)/2))/(LN(2)/2)*V175*Y175*VLOOKUP('Données projet'!$B$9,Paramètres!$A$1:$I$89,3,0)*0.475*44/12</f>
        <v>4.6651128949216098E-19</v>
      </c>
      <c r="AC175" s="24">
        <f t="shared" si="163"/>
        <v>6.636571007631777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3.4106051316484809E-13</v>
      </c>
      <c r="AJ175" s="14">
        <f>AI175*VLOOKUP('Données projet'!$B$10,Paramètres!$A$1:$I$89,3,0)*VLOOKUP('Données projet'!$B$10,Paramètres!$A$1:$I$89,5,0)</f>
        <v>1.5961632016114892E-13</v>
      </c>
      <c r="AK175" s="14">
        <f t="shared" si="164"/>
        <v>2.2708641912150958E-12</v>
      </c>
      <c r="AL175" s="22">
        <f t="shared" si="165"/>
        <v>4.2330868906469593E-12</v>
      </c>
      <c r="AM175" s="62">
        <f t="shared" si="113"/>
        <v>293.33333333333752</v>
      </c>
      <c r="AN175" s="62">
        <f ca="1">AVERAGE(OFFSET($AM$3,0,0,'Données projet'!$E$10+1,1))-AVERAGE(OFFSET($H$3,0,0,'Données projet'!$E$10+1,1))</f>
        <v>215.04236469150038</v>
      </c>
      <c r="AO175" s="62">
        <f t="shared" si="144"/>
        <v>160.72275701448416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2">
        <f t="shared" si="140"/>
        <v>27.783232148054115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70">
        <f t="shared" si="110"/>
        <v>521.90484599119395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5.6843418860808015E-14</v>
      </c>
      <c r="O176" s="14">
        <f>N176*VLOOKUP('Données projet'!$B$9,Paramètres!$A$1:$I$89,3,0)*VLOOKUP('Données projet'!$B$9,Paramètres!$A$1:$I$89,5,0)</f>
        <v>3.3992364478763198E-14</v>
      </c>
      <c r="P176" s="14">
        <f t="shared" si="141"/>
        <v>5.790027782444094E-13</v>
      </c>
      <c r="Q176" s="22">
        <f t="shared" si="162"/>
        <v>1.0676332069095257E-12</v>
      </c>
      <c r="R176" s="62">
        <f t="shared" si="109"/>
        <v>293.33333333333439</v>
      </c>
      <c r="S176" s="62">
        <f ca="1">AVERAGE(OFFSET($R$3,0,0,'Données projet'!$E$9+1,1))-AVERAGE(OFFSET($H$3,0,0,'Données projet'!$E$9+1,1))</f>
        <v>157.98488572680344</v>
      </c>
      <c r="T176" s="62">
        <f t="shared" si="142"/>
        <v>269.20989374735825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6.4425032942114786</v>
      </c>
      <c r="AA176" s="23">
        <f>EXP(-LN(2)/25)*AA175+(1-EXP(-LN(2)/25))/(LN(2)/25)*Calculateur!V176*Calculateur!X176*VLOOKUP('Données projet'!$B$9,Paramètres!$A$1:$I$89,3,0)*0.475*44/12</f>
        <v>6.3424182365855244E-2</v>
      </c>
      <c r="AB176" s="23">
        <f>EXP(-LN(2)/2)*AB175+(1-EXP(-LN(2)/2))/(LN(2)/2)*V176*Y176*VLOOKUP('Données projet'!$B$9,Paramètres!$A$1:$I$89,3,0)*0.475*44/12</f>
        <v>3.298732962999876E-19</v>
      </c>
      <c r="AC176" s="24">
        <f t="shared" si="163"/>
        <v>6.5059274765773338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3.4106051316484809E-13</v>
      </c>
      <c r="AJ176" s="14">
        <f>AI176*VLOOKUP('Données projet'!$B$10,Paramètres!$A$1:$I$89,3,0)*VLOOKUP('Données projet'!$B$10,Paramètres!$A$1:$I$89,5,0)</f>
        <v>1.5961632016114892E-13</v>
      </c>
      <c r="AK176" s="14">
        <f t="shared" si="164"/>
        <v>2.2708641912150958E-12</v>
      </c>
      <c r="AL176" s="22">
        <f t="shared" si="165"/>
        <v>4.2330868906469593E-12</v>
      </c>
      <c r="AM176" s="62">
        <f t="shared" si="113"/>
        <v>293.33333333333752</v>
      </c>
      <c r="AN176" s="62">
        <f ca="1">AVERAGE(OFFSET($AM$3,0,0,'Données projet'!$E$10+1,1))-AVERAGE(OFFSET($H$3,0,0,'Données projet'!$E$10+1,1))</f>
        <v>215.04236469150038</v>
      </c>
      <c r="AO176" s="62">
        <f t="shared" si="144"/>
        <v>160.72275701448416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2">
        <f t="shared" si="140"/>
        <v>27.925087771564392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70">
        <f t="shared" si="110"/>
        <v>523.1934278688077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5.6843418860808015E-14</v>
      </c>
      <c r="O177" s="14">
        <f>N177*VLOOKUP('Données projet'!$B$9,Paramètres!$A$1:$I$89,3,0)*VLOOKUP('Données projet'!$B$9,Paramètres!$A$1:$I$89,5,0)</f>
        <v>3.3992364478763198E-14</v>
      </c>
      <c r="P177" s="14">
        <f t="shared" si="141"/>
        <v>5.790027782444094E-13</v>
      </c>
      <c r="Q177" s="22">
        <f t="shared" si="162"/>
        <v>1.0676332069095257E-12</v>
      </c>
      <c r="R177" s="62">
        <f t="shared" si="109"/>
        <v>293.33333333333439</v>
      </c>
      <c r="S177" s="62">
        <f ca="1">AVERAGE(OFFSET($R$3,0,0,'Données projet'!$E$9+1,1))-AVERAGE(OFFSET($H$3,0,0,'Données projet'!$E$9+1,1))</f>
        <v>157.98488572680344</v>
      </c>
      <c r="T177" s="62">
        <f t="shared" si="142"/>
        <v>269.20989374735825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6.316169734150991</v>
      </c>
      <c r="AA177" s="23">
        <f>EXP(-LN(2)/25)*AA176+(1-EXP(-LN(2)/25))/(LN(2)/25)*Calculateur!V177*Calculateur!X177*VLOOKUP('Données projet'!$B$9,Paramètres!$A$1:$I$89,3,0)*0.475*44/12</f>
        <v>6.1689844763728137E-2</v>
      </c>
      <c r="AB177" s="23">
        <f>EXP(-LN(2)/2)*AB176+(1-EXP(-LN(2)/2))/(LN(2)/2)*V177*Y177*VLOOKUP('Données projet'!$B$9,Paramètres!$A$1:$I$89,3,0)*0.475*44/12</f>
        <v>2.3325564474608049E-19</v>
      </c>
      <c r="AC177" s="24">
        <f t="shared" si="163"/>
        <v>6.3778595789147188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3.4106051316484809E-13</v>
      </c>
      <c r="AJ177" s="14">
        <f>AI177*VLOOKUP('Données projet'!$B$10,Paramètres!$A$1:$I$89,3,0)*VLOOKUP('Données projet'!$B$10,Paramètres!$A$1:$I$89,5,0)</f>
        <v>1.5961632016114892E-13</v>
      </c>
      <c r="AK177" s="14">
        <f t="shared" si="164"/>
        <v>2.2708641912150958E-12</v>
      </c>
      <c r="AL177" s="22">
        <f t="shared" si="165"/>
        <v>4.2330868906469593E-12</v>
      </c>
      <c r="AM177" s="62">
        <f t="shared" si="113"/>
        <v>293.33333333333752</v>
      </c>
      <c r="AN177" s="62">
        <f ca="1">AVERAGE(OFFSET($AM$3,0,0,'Données projet'!$E$10+1,1))-AVERAGE(OFFSET($H$3,0,0,'Données projet'!$E$10+1,1))</f>
        <v>215.04236469150038</v>
      </c>
      <c r="AO177" s="62">
        <f t="shared" si="144"/>
        <v>160.72275701448416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2">
        <f t="shared" si="140"/>
        <v>28.066848529735836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70">
        <f t="shared" si="110"/>
        <v>524.48184452262296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5.6843418860808015E-14</v>
      </c>
      <c r="O178" s="14">
        <f>N178*VLOOKUP('Données projet'!$B$9,Paramètres!$A$1:$I$89,3,0)*VLOOKUP('Données projet'!$B$9,Paramètres!$A$1:$I$89,5,0)</f>
        <v>3.3992364478763198E-14</v>
      </c>
      <c r="P178" s="14">
        <f t="shared" si="141"/>
        <v>5.790027782444094E-13</v>
      </c>
      <c r="Q178" s="22">
        <f t="shared" si="162"/>
        <v>1.0676332069095257E-12</v>
      </c>
      <c r="R178" s="62">
        <f t="shared" si="109"/>
        <v>293.33333333333439</v>
      </c>
      <c r="S178" s="62">
        <f ca="1">AVERAGE(OFFSET($R$3,0,0,'Données projet'!$E$9+1,1))-AVERAGE(OFFSET($H$3,0,0,'Données projet'!$E$9+1,1))</f>
        <v>157.98488572680344</v>
      </c>
      <c r="T178" s="62">
        <f t="shared" si="142"/>
        <v>269.20989374735825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6.1923134981474268</v>
      </c>
      <c r="AA178" s="23">
        <f>EXP(-LN(2)/25)*AA177+(1-EXP(-LN(2)/25))/(LN(2)/25)*Calculateur!V178*Calculateur!X178*VLOOKUP('Données projet'!$B$9,Paramètres!$A$1:$I$89,3,0)*0.475*44/12</f>
        <v>6.000293271453605E-2</v>
      </c>
      <c r="AB178" s="23">
        <f>EXP(-LN(2)/2)*AB177+(1-EXP(-LN(2)/2))/(LN(2)/2)*V178*Y178*VLOOKUP('Données projet'!$B$9,Paramètres!$A$1:$I$89,3,0)*0.475*44/12</f>
        <v>1.649366481499938E-19</v>
      </c>
      <c r="AC178" s="24">
        <f t="shared" si="163"/>
        <v>6.2523164308619625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3.4106051316484809E-13</v>
      </c>
      <c r="AJ178" s="14">
        <f>AI178*VLOOKUP('Données projet'!$B$10,Paramètres!$A$1:$I$89,3,0)*VLOOKUP('Données projet'!$B$10,Paramètres!$A$1:$I$89,5,0)</f>
        <v>1.5961632016114892E-13</v>
      </c>
      <c r="AK178" s="14">
        <f t="shared" si="164"/>
        <v>2.2708641912150958E-12</v>
      </c>
      <c r="AL178" s="22">
        <f t="shared" si="165"/>
        <v>4.2330868906469593E-12</v>
      </c>
      <c r="AM178" s="62">
        <f t="shared" si="113"/>
        <v>293.33333333333752</v>
      </c>
      <c r="AN178" s="62">
        <f ca="1">AVERAGE(OFFSET($AM$3,0,0,'Données projet'!$E$10+1,1))-AVERAGE(OFFSET($H$3,0,0,'Données projet'!$E$10+1,1))</f>
        <v>215.04236469150038</v>
      </c>
      <c r="AO178" s="62">
        <f t="shared" si="144"/>
        <v>160.72275701448416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2">
        <f t="shared" si="140"/>
        <v>28.208515027560498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70">
        <f t="shared" si="110"/>
        <v>525.77009700633425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5.6843418860808015E-14</v>
      </c>
      <c r="O179" s="14">
        <f>N179*VLOOKUP('Données projet'!$B$9,Paramètres!$A$1:$I$89,3,0)*VLOOKUP('Données projet'!$B$9,Paramètres!$A$1:$I$89,5,0)</f>
        <v>3.3992364478763198E-14</v>
      </c>
      <c r="P179" s="14">
        <f t="shared" si="141"/>
        <v>5.790027782444094E-13</v>
      </c>
      <c r="Q179" s="22">
        <f t="shared" si="162"/>
        <v>1.0676332069095257E-12</v>
      </c>
      <c r="R179" s="62">
        <f t="shared" si="109"/>
        <v>293.33333333333439</v>
      </c>
      <c r="S179" s="62">
        <f ca="1">AVERAGE(OFFSET($R$3,0,0,'Données projet'!$E$9+1,1))-AVERAGE(OFFSET($H$3,0,0,'Données projet'!$E$9+1,1))</f>
        <v>157.98488572680344</v>
      </c>
      <c r="T179" s="62">
        <f t="shared" si="142"/>
        <v>269.20989374735825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6.0708860073870481</v>
      </c>
      <c r="AA179" s="23">
        <f>EXP(-LN(2)/25)*AA178+(1-EXP(-LN(2)/25))/(LN(2)/25)*Calculateur!V179*Calculateur!X179*VLOOKUP('Données projet'!$B$9,Paramètres!$A$1:$I$89,3,0)*0.475*44/12</f>
        <v>5.8362149364039967E-2</v>
      </c>
      <c r="AB179" s="23">
        <f>EXP(-LN(2)/2)*AB178+(1-EXP(-LN(2)/2))/(LN(2)/2)*V179*Y179*VLOOKUP('Données projet'!$B$9,Paramètres!$A$1:$I$89,3,0)*0.475*44/12</f>
        <v>1.1662782237304025E-19</v>
      </c>
      <c r="AC179" s="24">
        <f t="shared" si="163"/>
        <v>6.1292481567510881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3.4106051316484809E-13</v>
      </c>
      <c r="AJ179" s="14">
        <f>AI179*VLOOKUP('Données projet'!$B$10,Paramètres!$A$1:$I$89,3,0)*VLOOKUP('Données projet'!$B$10,Paramètres!$A$1:$I$89,5,0)</f>
        <v>1.5961632016114892E-13</v>
      </c>
      <c r="AK179" s="14">
        <f t="shared" si="164"/>
        <v>2.2708641912150958E-12</v>
      </c>
      <c r="AL179" s="22">
        <f t="shared" si="165"/>
        <v>4.2330868906469593E-12</v>
      </c>
      <c r="AM179" s="62">
        <f t="shared" si="113"/>
        <v>293.33333333333752</v>
      </c>
      <c r="AN179" s="62">
        <f ca="1">AVERAGE(OFFSET($AM$3,0,0,'Données projet'!$E$10+1,1))-AVERAGE(OFFSET($H$3,0,0,'Données projet'!$E$10+1,1))</f>
        <v>215.04236469150038</v>
      </c>
      <c r="AO179" s="62">
        <f t="shared" si="144"/>
        <v>160.72275701448416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2">
        <f t="shared" si="140"/>
        <v>28.350087862757654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70">
        <f t="shared" si="110"/>
        <v>527.05818636096933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5.6843418860808015E-14</v>
      </c>
      <c r="O180" s="14">
        <f>N180*VLOOKUP('Données projet'!$B$9,Paramètres!$A$1:$I$89,3,0)*VLOOKUP('Données projet'!$B$9,Paramètres!$A$1:$I$89,5,0)</f>
        <v>3.3992364478763198E-14</v>
      </c>
      <c r="P180" s="14">
        <f t="shared" si="141"/>
        <v>5.790027782444094E-13</v>
      </c>
      <c r="Q180" s="22">
        <f t="shared" si="162"/>
        <v>1.0676332069095257E-12</v>
      </c>
      <c r="R180" s="62">
        <f t="shared" si="109"/>
        <v>293.33333333333439</v>
      </c>
      <c r="S180" s="62">
        <f ca="1">AVERAGE(OFFSET($R$3,0,0,'Données projet'!$E$9+1,1))-AVERAGE(OFFSET($H$3,0,0,'Données projet'!$E$9+1,1))</f>
        <v>157.98488572680344</v>
      </c>
      <c r="T180" s="62">
        <f t="shared" si="142"/>
        <v>269.20989374735825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5.9518396356570245</v>
      </c>
      <c r="AA180" s="23">
        <f>EXP(-LN(2)/25)*AA179+(1-EXP(-LN(2)/25))/(LN(2)/25)*Calculateur!V180*Calculateur!X180*VLOOKUP('Données projet'!$B$9,Paramètres!$A$1:$I$89,3,0)*0.475*44/12</f>
        <v>5.6766233320548247E-2</v>
      </c>
      <c r="AB180" s="23">
        <f>EXP(-LN(2)/2)*AB179+(1-EXP(-LN(2)/2))/(LN(2)/2)*V180*Y180*VLOOKUP('Données projet'!$B$9,Paramètres!$A$1:$I$89,3,0)*0.475*44/12</f>
        <v>8.24683240749969E-20</v>
      </c>
      <c r="AC180" s="24">
        <f t="shared" si="163"/>
        <v>6.0086058689775728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3.4106051316484809E-13</v>
      </c>
      <c r="AJ180" s="14">
        <f>AI180*VLOOKUP('Données projet'!$B$10,Paramètres!$A$1:$I$89,3,0)*VLOOKUP('Données projet'!$B$10,Paramètres!$A$1:$I$89,5,0)</f>
        <v>1.5961632016114892E-13</v>
      </c>
      <c r="AK180" s="14">
        <f t="shared" si="164"/>
        <v>2.2708641912150958E-12</v>
      </c>
      <c r="AL180" s="22">
        <f t="shared" si="165"/>
        <v>4.2330868906469593E-12</v>
      </c>
      <c r="AM180" s="62">
        <f t="shared" si="113"/>
        <v>293.33333333333752</v>
      </c>
      <c r="AN180" s="62">
        <f ca="1">AVERAGE(OFFSET($AM$3,0,0,'Données projet'!$E$10+1,1))-AVERAGE(OFFSET($H$3,0,0,'Données projet'!$E$10+1,1))</f>
        <v>215.04236469150038</v>
      </c>
      <c r="AO180" s="62">
        <f t="shared" si="144"/>
        <v>160.72275701448416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2">
        <f t="shared" si="140"/>
        <v>28.491567625901897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70">
        <f t="shared" si="110"/>
        <v>528.34611361511224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5.6843418860808015E-14</v>
      </c>
      <c r="O181" s="14">
        <f>N181*VLOOKUP('Données projet'!$B$9,Paramètres!$A$1:$I$89,3,0)*VLOOKUP('Données projet'!$B$9,Paramètres!$A$1:$I$89,5,0)</f>
        <v>3.3992364478763198E-14</v>
      </c>
      <c r="P181" s="14">
        <f t="shared" si="141"/>
        <v>5.790027782444094E-13</v>
      </c>
      <c r="Q181" s="22">
        <f t="shared" si="162"/>
        <v>1.0676332069095257E-12</v>
      </c>
      <c r="R181" s="62">
        <f t="shared" si="109"/>
        <v>293.33333333333439</v>
      </c>
      <c r="S181" s="62">
        <f ca="1">AVERAGE(OFFSET($R$3,0,0,'Données projet'!$E$9+1,1))-AVERAGE(OFFSET($H$3,0,0,'Données projet'!$E$9+1,1))</f>
        <v>157.98488572680344</v>
      </c>
      <c r="T181" s="62">
        <f t="shared" si="142"/>
        <v>269.20989374735825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5.8351276906655096</v>
      </c>
      <c r="AA181" s="23">
        <f>EXP(-LN(2)/25)*AA180+(1-EXP(-LN(2)/25))/(LN(2)/25)*Calculateur!V181*Calculateur!X181*VLOOKUP('Données projet'!$B$9,Paramètres!$A$1:$I$89,3,0)*0.475*44/12</f>
        <v>5.5213957685191384E-2</v>
      </c>
      <c r="AB181" s="23">
        <f>EXP(-LN(2)/2)*AB180+(1-EXP(-LN(2)/2))/(LN(2)/2)*V181*Y181*VLOOKUP('Données projet'!$B$9,Paramètres!$A$1:$I$89,3,0)*0.475*44/12</f>
        <v>5.8313911186520123E-20</v>
      </c>
      <c r="AC181" s="24">
        <f t="shared" si="163"/>
        <v>5.8903416483507014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3.4106051316484809E-13</v>
      </c>
      <c r="AJ181" s="14">
        <f>AI181*VLOOKUP('Données projet'!$B$10,Paramètres!$A$1:$I$89,3,0)*VLOOKUP('Données projet'!$B$10,Paramètres!$A$1:$I$89,5,0)</f>
        <v>1.5961632016114892E-13</v>
      </c>
      <c r="AK181" s="14">
        <f t="shared" si="164"/>
        <v>2.2708641912150958E-12</v>
      </c>
      <c r="AL181" s="22">
        <f t="shared" si="165"/>
        <v>4.2330868906469593E-12</v>
      </c>
      <c r="AM181" s="62">
        <f t="shared" si="113"/>
        <v>293.33333333333752</v>
      </c>
      <c r="AN181" s="62">
        <f ca="1">AVERAGE(OFFSET($AM$3,0,0,'Données projet'!$E$10+1,1))-AVERAGE(OFFSET($H$3,0,0,'Données projet'!$E$10+1,1))</f>
        <v>215.04236469150038</v>
      </c>
      <c r="AO181" s="62">
        <f t="shared" si="144"/>
        <v>160.72275701448416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2">
        <f t="shared" si="140"/>
        <v>28.632954900548057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70">
        <f t="shared" si="110"/>
        <v>529.63387978512094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5.6843418860808015E-14</v>
      </c>
      <c r="O182" s="14">
        <f>N182*VLOOKUP('Données projet'!$B$9,Paramètres!$A$1:$I$89,3,0)*VLOOKUP('Données projet'!$B$9,Paramètres!$A$1:$I$89,5,0)</f>
        <v>3.3992364478763198E-14</v>
      </c>
      <c r="P182" s="14">
        <f t="shared" si="141"/>
        <v>5.790027782444094E-13</v>
      </c>
      <c r="Q182" s="22">
        <f t="shared" si="162"/>
        <v>1.0676332069095257E-12</v>
      </c>
      <c r="R182" s="62">
        <f t="shared" si="109"/>
        <v>293.33333333333439</v>
      </c>
      <c r="S182" s="62">
        <f ca="1">AVERAGE(OFFSET($R$3,0,0,'Données projet'!$E$9+1,1))-AVERAGE(OFFSET($H$3,0,0,'Données projet'!$E$9+1,1))</f>
        <v>157.98488572680344</v>
      </c>
      <c r="T182" s="62">
        <f t="shared" si="142"/>
        <v>269.20989374735825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5.7207043957280206</v>
      </c>
      <c r="AA182" s="23">
        <f>EXP(-LN(2)/25)*AA181+(1-EXP(-LN(2)/25))/(LN(2)/25)*Calculateur!V182*Calculateur!X182*VLOOKUP('Données projet'!$B$9,Paramètres!$A$1:$I$89,3,0)*0.475*44/12</f>
        <v>5.3704129108713985E-2</v>
      </c>
      <c r="AB182" s="23">
        <f>EXP(-LN(2)/2)*AB181+(1-EXP(-LN(2)/2))/(LN(2)/2)*V182*Y182*VLOOKUP('Données projet'!$B$9,Paramètres!$A$1:$I$89,3,0)*0.475*44/12</f>
        <v>4.123416203749845E-20</v>
      </c>
      <c r="AC182" s="24">
        <f t="shared" si="163"/>
        <v>5.7744085248367343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3.4106051316484809E-13</v>
      </c>
      <c r="AJ182" s="14">
        <f>AI182*VLOOKUP('Données projet'!$B$10,Paramètres!$A$1:$I$89,3,0)*VLOOKUP('Données projet'!$B$10,Paramètres!$A$1:$I$89,5,0)</f>
        <v>1.5961632016114892E-13</v>
      </c>
      <c r="AK182" s="14">
        <f t="shared" si="164"/>
        <v>2.2708641912150958E-12</v>
      </c>
      <c r="AL182" s="22">
        <f t="shared" si="165"/>
        <v>4.2330868906469593E-12</v>
      </c>
      <c r="AM182" s="62">
        <f t="shared" si="113"/>
        <v>293.33333333333752</v>
      </c>
      <c r="AN182" s="62">
        <f ca="1">AVERAGE(OFFSET($AM$3,0,0,'Données projet'!$E$10+1,1))-AVERAGE(OFFSET($H$3,0,0,'Données projet'!$E$10+1,1))</f>
        <v>215.04236469150038</v>
      </c>
      <c r="AO182" s="62">
        <f t="shared" si="144"/>
        <v>160.72275701448416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2">
        <f t="shared" si="140"/>
        <v>28.774250263353558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70">
        <f t="shared" si="110"/>
        <v>530.92148587534052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5.6843418860808015E-14</v>
      </c>
      <c r="O183" s="14">
        <f>N183*VLOOKUP('Données projet'!$B$9,Paramètres!$A$1:$I$89,3,0)*VLOOKUP('Données projet'!$B$9,Paramètres!$A$1:$I$89,5,0)</f>
        <v>3.3992364478763198E-14</v>
      </c>
      <c r="P183" s="14">
        <f t="shared" si="141"/>
        <v>5.790027782444094E-13</v>
      </c>
      <c r="Q183" s="22">
        <f t="shared" si="162"/>
        <v>1.0676332069095257E-12</v>
      </c>
      <c r="R183" s="62">
        <f t="shared" si="109"/>
        <v>293.33333333333439</v>
      </c>
      <c r="S183" s="62">
        <f ca="1">AVERAGE(OFFSET($R$3,0,0,'Données projet'!$E$9+1,1))-AVERAGE(OFFSET($H$3,0,0,'Données projet'!$E$9+1,1))</f>
        <v>157.98488572680344</v>
      </c>
      <c r="T183" s="62">
        <f t="shared" si="142"/>
        <v>269.20989374735825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5.6085248718129375</v>
      </c>
      <c r="AA183" s="23">
        <f>EXP(-LN(2)/25)*AA182+(1-EXP(-LN(2)/25))/(LN(2)/25)*Calculateur!V183*Calculateur!X183*VLOOKUP('Données projet'!$B$9,Paramètres!$A$1:$I$89,3,0)*0.475*44/12</f>
        <v>5.2235586874058791E-2</v>
      </c>
      <c r="AB183" s="23">
        <f>EXP(-LN(2)/2)*AB182+(1-EXP(-LN(2)/2))/(LN(2)/2)*V183*Y183*VLOOKUP('Données projet'!$B$9,Paramètres!$A$1:$I$89,3,0)*0.475*44/12</f>
        <v>2.9156955593260061E-20</v>
      </c>
      <c r="AC183" s="24">
        <f t="shared" si="163"/>
        <v>5.6607604586869966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3.4106051316484809E-13</v>
      </c>
      <c r="AJ183" s="14">
        <f>AI183*VLOOKUP('Données projet'!$B$10,Paramètres!$A$1:$I$89,3,0)*VLOOKUP('Données projet'!$B$10,Paramètres!$A$1:$I$89,5,0)</f>
        <v>1.5961632016114892E-13</v>
      </c>
      <c r="AK183" s="14">
        <f t="shared" si="164"/>
        <v>2.2708641912150958E-12</v>
      </c>
      <c r="AL183" s="22">
        <f t="shared" si="165"/>
        <v>4.2330868906469593E-12</v>
      </c>
      <c r="AM183" s="62">
        <f t="shared" si="113"/>
        <v>293.33333333333752</v>
      </c>
      <c r="AN183" s="62">
        <f ca="1">AVERAGE(OFFSET($AM$3,0,0,'Données projet'!$E$10+1,1))-AVERAGE(OFFSET($H$3,0,0,'Données projet'!$E$10+1,1))</f>
        <v>215.04236469150038</v>
      </c>
      <c r="AO183" s="62">
        <f t="shared" si="144"/>
        <v>160.72275701448416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2">
        <f t="shared" si="140"/>
        <v>28.915454284197654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70">
        <f t="shared" si="110"/>
        <v>532.20893287831063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5.6843418860808015E-14</v>
      </c>
      <c r="O184" s="14">
        <f>N184*VLOOKUP('Données projet'!$B$9,Paramètres!$A$1:$I$89,3,0)*VLOOKUP('Données projet'!$B$9,Paramètres!$A$1:$I$89,5,0)</f>
        <v>3.3992364478763198E-14</v>
      </c>
      <c r="P184" s="14">
        <f t="shared" si="141"/>
        <v>5.790027782444094E-13</v>
      </c>
      <c r="Q184" s="22">
        <f t="shared" si="162"/>
        <v>1.0676332069095257E-12</v>
      </c>
      <c r="R184" s="62">
        <f t="shared" si="109"/>
        <v>293.33333333333439</v>
      </c>
      <c r="S184" s="62">
        <f ca="1">AVERAGE(OFFSET($R$3,0,0,'Données projet'!$E$9+1,1))-AVERAGE(OFFSET($H$3,0,0,'Données projet'!$E$9+1,1))</f>
        <v>157.98488572680344</v>
      </c>
      <c r="T184" s="62">
        <f t="shared" si="142"/>
        <v>269.20989374735825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5.4985451199390756</v>
      </c>
      <c r="AA184" s="23">
        <f>EXP(-LN(2)/25)*AA183+(1-EXP(-LN(2)/25))/(LN(2)/25)*Calculateur!V184*Calculateur!X184*VLOOKUP('Données projet'!$B$9,Paramètres!$A$1:$I$89,3,0)*0.475*44/12</f>
        <v>5.0807202004037523E-2</v>
      </c>
      <c r="AB184" s="23">
        <f>EXP(-LN(2)/2)*AB183+(1-EXP(-LN(2)/2))/(LN(2)/2)*V184*Y184*VLOOKUP('Données projet'!$B$9,Paramètres!$A$1:$I$89,3,0)*0.475*44/12</f>
        <v>2.0617081018749225E-20</v>
      </c>
      <c r="AC184" s="24">
        <f t="shared" si="163"/>
        <v>5.5493523219431129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3.4106051316484809E-13</v>
      </c>
      <c r="AJ184" s="14">
        <f>AI184*VLOOKUP('Données projet'!$B$10,Paramètres!$A$1:$I$89,3,0)*VLOOKUP('Données projet'!$B$10,Paramètres!$A$1:$I$89,5,0)</f>
        <v>1.5961632016114892E-13</v>
      </c>
      <c r="AK184" s="14">
        <f t="shared" si="164"/>
        <v>2.2708641912150958E-12</v>
      </c>
      <c r="AL184" s="22">
        <f t="shared" si="165"/>
        <v>4.2330868906469593E-12</v>
      </c>
      <c r="AM184" s="62">
        <f t="shared" si="113"/>
        <v>293.33333333333752</v>
      </c>
      <c r="AN184" s="62">
        <f ca="1">AVERAGE(OFFSET($AM$3,0,0,'Données projet'!$E$10+1,1))-AVERAGE(OFFSET($H$3,0,0,'Données projet'!$E$10+1,1))</f>
        <v>215.04236469150038</v>
      </c>
      <c r="AO184" s="62">
        <f t="shared" si="144"/>
        <v>160.72275701448416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2">
        <f t="shared" si="140"/>
        <v>29.056567526298124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70">
        <f t="shared" si="110"/>
        <v>533.49622177496894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5.6843418860808015E-14</v>
      </c>
      <c r="O185" s="14">
        <f>N185*VLOOKUP('Données projet'!$B$9,Paramètres!$A$1:$I$89,3,0)*VLOOKUP('Données projet'!$B$9,Paramètres!$A$1:$I$89,5,0)</f>
        <v>3.3992364478763198E-14</v>
      </c>
      <c r="P185" s="14">
        <f t="shared" si="141"/>
        <v>5.790027782444094E-13</v>
      </c>
      <c r="Q185" s="22">
        <f t="shared" si="162"/>
        <v>1.0676332069095257E-12</v>
      </c>
      <c r="R185" s="62">
        <f t="shared" si="109"/>
        <v>293.33333333333439</v>
      </c>
      <c r="S185" s="62">
        <f ca="1">AVERAGE(OFFSET($R$3,0,0,'Données projet'!$E$9+1,1))-AVERAGE(OFFSET($H$3,0,0,'Données projet'!$E$9+1,1))</f>
        <v>157.98488572680344</v>
      </c>
      <c r="T185" s="62">
        <f t="shared" si="142"/>
        <v>269.20989374735825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5.3907220039184347</v>
      </c>
      <c r="AA185" s="23">
        <f>EXP(-LN(2)/25)*AA184+(1-EXP(-LN(2)/25))/(LN(2)/25)*Calculateur!V185*Calculateur!X185*VLOOKUP('Données projet'!$B$9,Paramètres!$A$1:$I$89,3,0)*0.475*44/12</f>
        <v>4.9417876393402484E-2</v>
      </c>
      <c r="AB185" s="23">
        <f>EXP(-LN(2)/2)*AB184+(1-EXP(-LN(2)/2))/(LN(2)/2)*V185*Y185*VLOOKUP('Données projet'!$B$9,Paramètres!$A$1:$I$89,3,0)*0.475*44/12</f>
        <v>1.4578477796630031E-20</v>
      </c>
      <c r="AC185" s="24">
        <f t="shared" si="163"/>
        <v>5.440139880311837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3.4106051316484809E-13</v>
      </c>
      <c r="AJ185" s="14">
        <f>AI185*VLOOKUP('Données projet'!$B$10,Paramètres!$A$1:$I$89,3,0)*VLOOKUP('Données projet'!$B$10,Paramètres!$A$1:$I$89,5,0)</f>
        <v>1.5961632016114892E-13</v>
      </c>
      <c r="AK185" s="14">
        <f t="shared" si="164"/>
        <v>2.2708641912150958E-12</v>
      </c>
      <c r="AL185" s="22">
        <f t="shared" si="165"/>
        <v>4.2330868906469593E-12</v>
      </c>
      <c r="AM185" s="62">
        <f t="shared" si="113"/>
        <v>293.33333333333752</v>
      </c>
      <c r="AN185" s="62">
        <f ca="1">AVERAGE(OFFSET($AM$3,0,0,'Données projet'!$E$10+1,1))-AVERAGE(OFFSET($H$3,0,0,'Données projet'!$E$10+1,1))</f>
        <v>215.04236469150038</v>
      </c>
      <c r="AO185" s="62">
        <f t="shared" si="144"/>
        <v>160.72275701448416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2">
        <f t="shared" si="140"/>
        <v>29.197590546325394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70">
        <f t="shared" si="110"/>
        <v>534.78335353484977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5.6843418860808015E-14</v>
      </c>
      <c r="O186" s="14">
        <f>N186*VLOOKUP('Données projet'!$B$9,Paramètres!$A$1:$I$89,3,0)*VLOOKUP('Données projet'!$B$9,Paramètres!$A$1:$I$89,5,0)</f>
        <v>3.3992364478763198E-14</v>
      </c>
      <c r="P186" s="14">
        <f t="shared" si="141"/>
        <v>5.790027782444094E-13</v>
      </c>
      <c r="Q186" s="22">
        <f t="shared" si="162"/>
        <v>1.0676332069095257E-12</v>
      </c>
      <c r="R186" s="62">
        <f t="shared" si="109"/>
        <v>293.33333333333439</v>
      </c>
      <c r="S186" s="62">
        <f ca="1">AVERAGE(OFFSET($R$3,0,0,'Données projet'!$E$9+1,1))-AVERAGE(OFFSET($H$3,0,0,'Données projet'!$E$9+1,1))</f>
        <v>157.98488572680344</v>
      </c>
      <c r="T186" s="62">
        <f t="shared" si="142"/>
        <v>269.20989374735825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5.2850132334373523</v>
      </c>
      <c r="AA186" s="23">
        <f>EXP(-LN(2)/25)*AA185+(1-EXP(-LN(2)/25))/(LN(2)/25)*Calculateur!V186*Calculateur!X186*VLOOKUP('Données projet'!$B$9,Paramètres!$A$1:$I$89,3,0)*0.475*44/12</f>
        <v>4.8066541964651717E-2</v>
      </c>
      <c r="AB186" s="23">
        <f>EXP(-LN(2)/2)*AB185+(1-EXP(-LN(2)/2))/(LN(2)/2)*V186*Y186*VLOOKUP('Données projet'!$B$9,Paramètres!$A$1:$I$89,3,0)*0.475*44/12</f>
        <v>1.0308540509374613E-20</v>
      </c>
      <c r="AC186" s="24">
        <f t="shared" si="163"/>
        <v>5.3330797754020036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3.4106051316484809E-13</v>
      </c>
      <c r="AJ186" s="14">
        <f>AI186*VLOOKUP('Données projet'!$B$10,Paramètres!$A$1:$I$89,3,0)*VLOOKUP('Données projet'!$B$10,Paramètres!$A$1:$I$89,5,0)</f>
        <v>1.5961632016114892E-13</v>
      </c>
      <c r="AK186" s="14">
        <f t="shared" si="164"/>
        <v>2.2708641912150958E-12</v>
      </c>
      <c r="AL186" s="22">
        <f t="shared" si="165"/>
        <v>4.2330868906469593E-12</v>
      </c>
      <c r="AM186" s="62">
        <f t="shared" si="113"/>
        <v>293.33333333333752</v>
      </c>
      <c r="AN186" s="62">
        <f ca="1">AVERAGE(OFFSET($AM$3,0,0,'Données projet'!$E$10+1,1))-AVERAGE(OFFSET($H$3,0,0,'Données projet'!$E$10+1,1))</f>
        <v>215.04236469150038</v>
      </c>
      <c r="AO186" s="62">
        <f t="shared" si="144"/>
        <v>160.72275701448416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2">
        <f t="shared" si="140"/>
        <v>29.338523894513862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70">
        <f t="shared" si="110"/>
        <v>536.07032911627812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5.6843418860808015E-14</v>
      </c>
      <c r="O187" s="14">
        <f>N187*VLOOKUP('Données projet'!$B$9,Paramètres!$A$1:$I$89,3,0)*VLOOKUP('Données projet'!$B$9,Paramètres!$A$1:$I$89,5,0)</f>
        <v>3.3992364478763198E-14</v>
      </c>
      <c r="P187" s="14">
        <f t="shared" si="141"/>
        <v>5.790027782444094E-13</v>
      </c>
      <c r="Q187" s="22">
        <f t="shared" si="162"/>
        <v>1.0676332069095257E-12</v>
      </c>
      <c r="R187" s="62">
        <f t="shared" si="109"/>
        <v>293.33333333333439</v>
      </c>
      <c r="S187" s="62">
        <f ca="1">AVERAGE(OFFSET($R$3,0,0,'Données projet'!$E$9+1,1))-AVERAGE(OFFSET($H$3,0,0,'Données projet'!$E$9+1,1))</f>
        <v>157.98488572680344</v>
      </c>
      <c r="T187" s="62">
        <f t="shared" si="142"/>
        <v>269.20989374735825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5.1813773474694198</v>
      </c>
      <c r="AA187" s="23">
        <f>EXP(-LN(2)/25)*AA186+(1-EXP(-LN(2)/25))/(LN(2)/25)*Calculateur!V187*Calculateur!X187*VLOOKUP('Données projet'!$B$9,Paramètres!$A$1:$I$89,3,0)*0.475*44/12</f>
        <v>4.6752159846918731E-2</v>
      </c>
      <c r="AB187" s="23">
        <f>EXP(-LN(2)/2)*AB186+(1-EXP(-LN(2)/2))/(LN(2)/2)*V187*Y187*VLOOKUP('Données projet'!$B$9,Paramètres!$A$1:$I$89,3,0)*0.475*44/12</f>
        <v>7.2892388983150153E-21</v>
      </c>
      <c r="AC187" s="24">
        <f t="shared" si="163"/>
        <v>5.2281295073163383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3.4106051316484809E-13</v>
      </c>
      <c r="AJ187" s="14">
        <f>AI187*VLOOKUP('Données projet'!$B$10,Paramètres!$A$1:$I$89,3,0)*VLOOKUP('Données projet'!$B$10,Paramètres!$A$1:$I$89,5,0)</f>
        <v>1.5961632016114892E-13</v>
      </c>
      <c r="AK187" s="14">
        <f t="shared" si="164"/>
        <v>2.2708641912150958E-12</v>
      </c>
      <c r="AL187" s="22">
        <f t="shared" si="165"/>
        <v>4.2330868906469593E-12</v>
      </c>
      <c r="AM187" s="62">
        <f t="shared" si="113"/>
        <v>293.33333333333752</v>
      </c>
      <c r="AN187" s="62">
        <f ca="1">AVERAGE(OFFSET($AM$3,0,0,'Données projet'!$E$10+1,1))-AVERAGE(OFFSET($H$3,0,0,'Données projet'!$E$10+1,1))</f>
        <v>215.04236469150038</v>
      </c>
      <c r="AO187" s="62">
        <f t="shared" si="144"/>
        <v>160.72275701448416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2">
        <f t="shared" si="140"/>
        <v>29.479368114770981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70">
        <f t="shared" si="110"/>
        <v>537.35714946655912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5.6843418860808015E-14</v>
      </c>
      <c r="O188" s="14">
        <f>N188*VLOOKUP('Données projet'!$B$9,Paramètres!$A$1:$I$89,3,0)*VLOOKUP('Données projet'!$B$9,Paramètres!$A$1:$I$89,5,0)</f>
        <v>3.3992364478763198E-14</v>
      </c>
      <c r="P188" s="14">
        <f t="shared" si="141"/>
        <v>5.790027782444094E-13</v>
      </c>
      <c r="Q188" s="22">
        <f t="shared" si="162"/>
        <v>1.0676332069095257E-12</v>
      </c>
      <c r="R188" s="62">
        <f t="shared" si="109"/>
        <v>293.33333333333439</v>
      </c>
      <c r="S188" s="62">
        <f ca="1">AVERAGE(OFFSET($R$3,0,0,'Données projet'!$E$9+1,1))-AVERAGE(OFFSET($H$3,0,0,'Données projet'!$E$9+1,1))</f>
        <v>157.98488572680344</v>
      </c>
      <c r="T188" s="62">
        <f t="shared" si="142"/>
        <v>269.20989374735825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5.0797736980136703</v>
      </c>
      <c r="AA188" s="23">
        <f>EXP(-LN(2)/25)*AA187+(1-EXP(-LN(2)/25))/(LN(2)/25)*Calculateur!V188*Calculateur!X188*VLOOKUP('Données projet'!$B$9,Paramètres!$A$1:$I$89,3,0)*0.475*44/12</f>
        <v>4.5473719577315504E-2</v>
      </c>
      <c r="AB188" s="23">
        <f>EXP(-LN(2)/2)*AB187+(1-EXP(-LN(2)/2))/(LN(2)/2)*V188*Y188*VLOOKUP('Données projet'!$B$9,Paramètres!$A$1:$I$89,3,0)*0.475*44/12</f>
        <v>5.1542702546873063E-21</v>
      </c>
      <c r="AC188" s="24">
        <f t="shared" si="163"/>
        <v>5.1252474175909857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3.4106051316484809E-13</v>
      </c>
      <c r="AJ188" s="14">
        <f>AI188*VLOOKUP('Données projet'!$B$10,Paramètres!$A$1:$I$89,3,0)*VLOOKUP('Données projet'!$B$10,Paramètres!$A$1:$I$89,5,0)</f>
        <v>1.5961632016114892E-13</v>
      </c>
      <c r="AK188" s="14">
        <f t="shared" si="164"/>
        <v>2.2708641912150958E-12</v>
      </c>
      <c r="AL188" s="22">
        <f t="shared" si="165"/>
        <v>4.2330868906469593E-12</v>
      </c>
      <c r="AM188" s="62">
        <f t="shared" si="113"/>
        <v>293.33333333333752</v>
      </c>
      <c r="AN188" s="62">
        <f ca="1">AVERAGE(OFFSET($AM$3,0,0,'Données projet'!$E$10+1,1))-AVERAGE(OFFSET($H$3,0,0,'Données projet'!$E$10+1,1))</f>
        <v>215.04236469150038</v>
      </c>
      <c r="AO188" s="62">
        <f t="shared" si="144"/>
        <v>160.72275701448416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2">
        <f t="shared" si="140"/>
        <v>29.620123744783776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70">
        <f t="shared" si="110"/>
        <v>538.6438155221648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5.6843418860808015E-14</v>
      </c>
      <c r="O189" s="14">
        <f>N189*VLOOKUP('Données projet'!$B$9,Paramètres!$A$1:$I$89,3,0)*VLOOKUP('Données projet'!$B$9,Paramètres!$A$1:$I$89,5,0)</f>
        <v>3.3992364478763198E-14</v>
      </c>
      <c r="P189" s="14">
        <f t="shared" si="141"/>
        <v>5.790027782444094E-13</v>
      </c>
      <c r="Q189" s="22">
        <f t="shared" si="162"/>
        <v>1.0676332069095257E-12</v>
      </c>
      <c r="R189" s="62">
        <f t="shared" si="109"/>
        <v>293.33333333333439</v>
      </c>
      <c r="S189" s="62">
        <f ca="1">AVERAGE(OFFSET($R$3,0,0,'Données projet'!$E$9+1,1))-AVERAGE(OFFSET($H$3,0,0,'Données projet'!$E$9+1,1))</f>
        <v>157.98488572680344</v>
      </c>
      <c r="T189" s="62">
        <f t="shared" si="142"/>
        <v>269.20989374735825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4.9801624341516408</v>
      </c>
      <c r="AA189" s="23">
        <f>EXP(-LN(2)/25)*AA188+(1-EXP(-LN(2)/25))/(LN(2)/25)*Calculateur!V189*Calculateur!X189*VLOOKUP('Données projet'!$B$9,Paramètres!$A$1:$I$89,3,0)*0.475*44/12</f>
        <v>4.423023832411483E-2</v>
      </c>
      <c r="AB189" s="23">
        <f>EXP(-LN(2)/2)*AB188+(1-EXP(-LN(2)/2))/(LN(2)/2)*V189*Y189*VLOOKUP('Données projet'!$B$9,Paramètres!$A$1:$I$89,3,0)*0.475*44/12</f>
        <v>3.6446194491575077E-21</v>
      </c>
      <c r="AC189" s="24">
        <f t="shared" si="163"/>
        <v>5.0243926724757557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3.4106051316484809E-13</v>
      </c>
      <c r="AJ189" s="14">
        <f>AI189*VLOOKUP('Données projet'!$B$10,Paramètres!$A$1:$I$89,3,0)*VLOOKUP('Données projet'!$B$10,Paramètres!$A$1:$I$89,5,0)</f>
        <v>1.5961632016114892E-13</v>
      </c>
      <c r="AK189" s="14">
        <f t="shared" si="164"/>
        <v>2.2708641912150958E-12</v>
      </c>
      <c r="AL189" s="22">
        <f t="shared" si="165"/>
        <v>4.2330868906469593E-12</v>
      </c>
      <c r="AM189" s="62">
        <f t="shared" si="113"/>
        <v>293.33333333333752</v>
      </c>
      <c r="AN189" s="62">
        <f ca="1">AVERAGE(OFFSET($AM$3,0,0,'Données projet'!$E$10+1,1))-AVERAGE(OFFSET($H$3,0,0,'Données projet'!$E$10+1,1))</f>
        <v>215.04236469150038</v>
      </c>
      <c r="AO189" s="62">
        <f t="shared" si="144"/>
        <v>160.72275701448416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2">
        <f t="shared" si="140"/>
        <v>29.760791316122987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70">
        <f t="shared" si="110"/>
        <v>539.93032820891392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5.6843418860808015E-14</v>
      </c>
      <c r="O190" s="14">
        <f>N190*VLOOKUP('Données projet'!$B$9,Paramètres!$A$1:$I$89,3,0)*VLOOKUP('Données projet'!$B$9,Paramètres!$A$1:$I$89,5,0)</f>
        <v>3.3992364478763198E-14</v>
      </c>
      <c r="P190" s="14">
        <f t="shared" si="141"/>
        <v>5.790027782444094E-13</v>
      </c>
      <c r="Q190" s="22">
        <f t="shared" si="162"/>
        <v>1.0676332069095257E-12</v>
      </c>
      <c r="R190" s="62">
        <f t="shared" si="109"/>
        <v>293.33333333333439</v>
      </c>
      <c r="S190" s="62">
        <f ca="1">AVERAGE(OFFSET($R$3,0,0,'Données projet'!$E$9+1,1))-AVERAGE(OFFSET($H$3,0,0,'Données projet'!$E$9+1,1))</f>
        <v>157.98488572680344</v>
      </c>
      <c r="T190" s="62">
        <f t="shared" si="142"/>
        <v>269.20989374735825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4.8825044864170737</v>
      </c>
      <c r="AA190" s="23">
        <f>EXP(-LN(2)/25)*AA189+(1-EXP(-LN(2)/25))/(LN(2)/25)*Calculateur!V190*Calculateur!X190*VLOOKUP('Données projet'!$B$9,Paramètres!$A$1:$I$89,3,0)*0.475*44/12</f>
        <v>4.3020760131174764E-2</v>
      </c>
      <c r="AB190" s="23">
        <f>EXP(-LN(2)/2)*AB189+(1-EXP(-LN(2)/2))/(LN(2)/2)*V190*Y190*VLOOKUP('Données projet'!$B$9,Paramètres!$A$1:$I$89,3,0)*0.475*44/12</f>
        <v>2.5771351273436531E-21</v>
      </c>
      <c r="AC190" s="24">
        <f t="shared" si="163"/>
        <v>4.9255252465482489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3.4106051316484809E-13</v>
      </c>
      <c r="AJ190" s="14">
        <f>AI190*VLOOKUP('Données projet'!$B$10,Paramètres!$A$1:$I$89,3,0)*VLOOKUP('Données projet'!$B$10,Paramètres!$A$1:$I$89,5,0)</f>
        <v>1.5961632016114892E-13</v>
      </c>
      <c r="AK190" s="14">
        <f t="shared" si="164"/>
        <v>2.2708641912150958E-12</v>
      </c>
      <c r="AL190" s="22">
        <f t="shared" si="165"/>
        <v>4.2330868906469593E-12</v>
      </c>
      <c r="AM190" s="62">
        <f t="shared" si="113"/>
        <v>293.33333333333752</v>
      </c>
      <c r="AN190" s="62">
        <f ca="1">AVERAGE(OFFSET($AM$3,0,0,'Données projet'!$E$10+1,1))-AVERAGE(OFFSET($H$3,0,0,'Données projet'!$E$10+1,1))</f>
        <v>215.04236469150038</v>
      </c>
      <c r="AO190" s="62">
        <f t="shared" si="144"/>
        <v>160.72275701448416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2">
        <f t="shared" si="140"/>
        <v>29.901371354345098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70">
        <f t="shared" si="110"/>
        <v>541.21668844215083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5.6843418860808015E-14</v>
      </c>
      <c r="O191" s="14">
        <f>N191*VLOOKUP('Données projet'!$B$9,Paramètres!$A$1:$I$89,3,0)*VLOOKUP('Données projet'!$B$9,Paramètres!$A$1:$I$89,5,0)</f>
        <v>3.3992364478763198E-14</v>
      </c>
      <c r="P191" s="14">
        <f t="shared" si="141"/>
        <v>5.790027782444094E-13</v>
      </c>
      <c r="Q191" s="22">
        <f t="shared" si="162"/>
        <v>1.0676332069095257E-12</v>
      </c>
      <c r="R191" s="62">
        <f t="shared" si="109"/>
        <v>293.33333333333439</v>
      </c>
      <c r="S191" s="62">
        <f ca="1">AVERAGE(OFFSET($R$3,0,0,'Données projet'!$E$9+1,1))-AVERAGE(OFFSET($H$3,0,0,'Données projet'!$E$9+1,1))</f>
        <v>157.98488572680344</v>
      </c>
      <c r="T191" s="62">
        <f t="shared" si="142"/>
        <v>269.20989374735825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4.7867615514721154</v>
      </c>
      <c r="AA191" s="23">
        <f>EXP(-LN(2)/25)*AA190+(1-EXP(-LN(2)/25))/(LN(2)/25)*Calculateur!V191*Calculateur!X191*VLOOKUP('Données projet'!$B$9,Paramètres!$A$1:$I$89,3,0)*0.475*44/12</f>
        <v>4.1844355183024338E-2</v>
      </c>
      <c r="AB191" s="23">
        <f>EXP(-LN(2)/2)*AB190+(1-EXP(-LN(2)/2))/(LN(2)/2)*V191*Y191*VLOOKUP('Données projet'!$B$9,Paramètres!$A$1:$I$89,3,0)*0.475*44/12</f>
        <v>1.8223097245787538E-21</v>
      </c>
      <c r="AC191" s="24">
        <f t="shared" si="163"/>
        <v>4.8286059066551399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3.4106051316484809E-13</v>
      </c>
      <c r="AJ191" s="14">
        <f>AI191*VLOOKUP('Données projet'!$B$10,Paramètres!$A$1:$I$89,3,0)*VLOOKUP('Données projet'!$B$10,Paramètres!$A$1:$I$89,5,0)</f>
        <v>1.5961632016114892E-13</v>
      </c>
      <c r="AK191" s="14">
        <f t="shared" si="164"/>
        <v>2.2708641912150958E-12</v>
      </c>
      <c r="AL191" s="22">
        <f t="shared" si="165"/>
        <v>4.2330868906469593E-12</v>
      </c>
      <c r="AM191" s="62">
        <f t="shared" si="113"/>
        <v>293.33333333333752</v>
      </c>
      <c r="AN191" s="62">
        <f ca="1">AVERAGE(OFFSET($AM$3,0,0,'Données projet'!$E$10+1,1))-AVERAGE(OFFSET($H$3,0,0,'Données projet'!$E$10+1,1))</f>
        <v>215.04236469150038</v>
      </c>
      <c r="AO191" s="62">
        <f t="shared" si="144"/>
        <v>160.72275701448416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2">
        <f t="shared" si="140"/>
        <v>30.041864379091798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70">
        <f t="shared" si="110"/>
        <v>542.50289712691801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5.6843418860808015E-14</v>
      </c>
      <c r="O192" s="14">
        <f>N192*VLOOKUP('Données projet'!$B$9,Paramètres!$A$1:$I$89,3,0)*VLOOKUP('Données projet'!$B$9,Paramètres!$A$1:$I$89,5,0)</f>
        <v>3.3992364478763198E-14</v>
      </c>
      <c r="P192" s="14">
        <f t="shared" si="141"/>
        <v>5.790027782444094E-13</v>
      </c>
      <c r="Q192" s="22">
        <f t="shared" si="162"/>
        <v>1.0676332069095257E-12</v>
      </c>
      <c r="R192" s="62">
        <f t="shared" si="109"/>
        <v>293.33333333333439</v>
      </c>
      <c r="S192" s="62">
        <f ca="1">AVERAGE(OFFSET($R$3,0,0,'Données projet'!$E$9+1,1))-AVERAGE(OFFSET($H$3,0,0,'Données projet'!$E$9+1,1))</f>
        <v>157.98488572680344</v>
      </c>
      <c r="T192" s="62">
        <f t="shared" si="142"/>
        <v>269.20989374735825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4.6928960770840034</v>
      </c>
      <c r="AA192" s="23">
        <f>EXP(-LN(2)/25)*AA191+(1-EXP(-LN(2)/25))/(LN(2)/25)*Calculateur!V192*Calculateur!X192*VLOOKUP('Données projet'!$B$9,Paramètres!$A$1:$I$89,3,0)*0.475*44/12</f>
        <v>4.0700119090045533E-2</v>
      </c>
      <c r="AB192" s="23">
        <f>EXP(-LN(2)/2)*AB191+(1-EXP(-LN(2)/2))/(LN(2)/2)*V192*Y192*VLOOKUP('Données projet'!$B$9,Paramètres!$A$1:$I$89,3,0)*0.475*44/12</f>
        <v>1.2885675636718266E-21</v>
      </c>
      <c r="AC192" s="24">
        <f t="shared" si="163"/>
        <v>4.7335961961740489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3.4106051316484809E-13</v>
      </c>
      <c r="AJ192" s="14">
        <f>AI192*VLOOKUP('Données projet'!$B$10,Paramètres!$A$1:$I$89,3,0)*VLOOKUP('Données projet'!$B$10,Paramètres!$A$1:$I$89,5,0)</f>
        <v>1.5961632016114892E-13</v>
      </c>
      <c r="AK192" s="14">
        <f t="shared" si="164"/>
        <v>2.2708641912150958E-12</v>
      </c>
      <c r="AL192" s="22">
        <f t="shared" si="165"/>
        <v>4.2330868906469593E-12</v>
      </c>
      <c r="AM192" s="62">
        <f t="shared" si="113"/>
        <v>293.33333333333752</v>
      </c>
      <c r="AN192" s="62">
        <f ca="1">AVERAGE(OFFSET($AM$3,0,0,'Données projet'!$E$10+1,1))-AVERAGE(OFFSET($H$3,0,0,'Données projet'!$E$10+1,1))</f>
        <v>215.04236469150038</v>
      </c>
      <c r="AO192" s="62">
        <f t="shared" si="144"/>
        <v>160.72275701448416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2">
        <f t="shared" si="140"/>
        <v>30.182270904187739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70">
        <f t="shared" si="110"/>
        <v>543.78895515812667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5.6843418860808015E-14</v>
      </c>
      <c r="O193" s="14">
        <f>N193*VLOOKUP('Données projet'!$B$9,Paramètres!$A$1:$I$89,3,0)*VLOOKUP('Données projet'!$B$9,Paramètres!$A$1:$I$89,5,0)</f>
        <v>3.3992364478763198E-14</v>
      </c>
      <c r="P193" s="14">
        <f t="shared" si="141"/>
        <v>5.790027782444094E-13</v>
      </c>
      <c r="Q193" s="22">
        <f t="shared" si="162"/>
        <v>1.0676332069095257E-12</v>
      </c>
      <c r="R193" s="62">
        <f t="shared" si="109"/>
        <v>293.33333333333439</v>
      </c>
      <c r="S193" s="62">
        <f ca="1">AVERAGE(OFFSET($R$3,0,0,'Données projet'!$E$9+1,1))-AVERAGE(OFFSET($H$3,0,0,'Données projet'!$E$9+1,1))</f>
        <v>157.98488572680344</v>
      </c>
      <c r="T193" s="62">
        <f t="shared" si="142"/>
        <v>269.20989374735825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4.6008712473963564</v>
      </c>
      <c r="AA193" s="23">
        <f>EXP(-LN(2)/25)*AA192+(1-EXP(-LN(2)/25))/(LN(2)/25)*Calculateur!V193*Calculateur!X193*VLOOKUP('Données projet'!$B$9,Paramètres!$A$1:$I$89,3,0)*0.475*44/12</f>
        <v>3.9587172193202E-2</v>
      </c>
      <c r="AB193" s="23">
        <f>EXP(-LN(2)/2)*AB192+(1-EXP(-LN(2)/2))/(LN(2)/2)*V193*Y193*VLOOKUP('Données projet'!$B$9,Paramètres!$A$1:$I$89,3,0)*0.475*44/12</f>
        <v>9.1115486228937691E-22</v>
      </c>
      <c r="AC193" s="24">
        <f t="shared" si="163"/>
        <v>4.6404584195895584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3.4106051316484809E-13</v>
      </c>
      <c r="AJ193" s="14">
        <f>AI193*VLOOKUP('Données projet'!$B$10,Paramètres!$A$1:$I$89,3,0)*VLOOKUP('Données projet'!$B$10,Paramètres!$A$1:$I$89,5,0)</f>
        <v>1.5961632016114892E-13</v>
      </c>
      <c r="AK193" s="14">
        <f t="shared" si="164"/>
        <v>2.2708641912150958E-12</v>
      </c>
      <c r="AL193" s="22">
        <f t="shared" si="165"/>
        <v>4.2330868906469593E-12</v>
      </c>
      <c r="AM193" s="62">
        <f t="shared" si="113"/>
        <v>293.33333333333752</v>
      </c>
      <c r="AN193" s="62">
        <f ca="1">AVERAGE(OFFSET($AM$3,0,0,'Données projet'!$E$10+1,1))-AVERAGE(OFFSET($H$3,0,0,'Données projet'!$E$10+1,1))</f>
        <v>215.04236469150038</v>
      </c>
      <c r="AO193" s="62">
        <f t="shared" si="144"/>
        <v>160.72275701448416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2">
        <f t="shared" si="140"/>
        <v>30.322591437735614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70">
        <f t="shared" si="110"/>
        <v>545.07486342072252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5.6843418860808015E-14</v>
      </c>
      <c r="O194" s="14">
        <f>N194*VLOOKUP('Données projet'!$B$9,Paramètres!$A$1:$I$89,3,0)*VLOOKUP('Données projet'!$B$9,Paramètres!$A$1:$I$89,5,0)</f>
        <v>3.3992364478763198E-14</v>
      </c>
      <c r="P194" s="14">
        <f t="shared" si="141"/>
        <v>5.790027782444094E-13</v>
      </c>
      <c r="Q194" s="22">
        <f t="shared" si="162"/>
        <v>1.0676332069095257E-12</v>
      </c>
      <c r="R194" s="62">
        <f t="shared" si="109"/>
        <v>293.33333333333439</v>
      </c>
      <c r="S194" s="62">
        <f ca="1">AVERAGE(OFFSET($R$3,0,0,'Données projet'!$E$9+1,1))-AVERAGE(OFFSET($H$3,0,0,'Données projet'!$E$9+1,1))</f>
        <v>157.98488572680344</v>
      </c>
      <c r="T194" s="62">
        <f t="shared" si="142"/>
        <v>269.20989374735825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4.5106509684892799</v>
      </c>
      <c r="AA194" s="23">
        <f>EXP(-LN(2)/25)*AA193+(1-EXP(-LN(2)/25))/(LN(2)/25)*Calculateur!V194*Calculateur!X194*VLOOKUP('Données projet'!$B$9,Paramètres!$A$1:$I$89,3,0)*0.475*44/12</f>
        <v>3.8504658887779986E-2</v>
      </c>
      <c r="AB194" s="23">
        <f>EXP(-LN(2)/2)*AB193+(1-EXP(-LN(2)/2))/(LN(2)/2)*V194*Y194*VLOOKUP('Données projet'!$B$9,Paramètres!$A$1:$I$89,3,0)*0.475*44/12</f>
        <v>6.4428378183591328E-22</v>
      </c>
      <c r="AC194" s="24">
        <f t="shared" si="163"/>
        <v>4.5491556273770595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3.4106051316484809E-13</v>
      </c>
      <c r="AJ194" s="14">
        <f>AI194*VLOOKUP('Données projet'!$B$10,Paramètres!$A$1:$I$89,3,0)*VLOOKUP('Données projet'!$B$10,Paramètres!$A$1:$I$89,5,0)</f>
        <v>1.5961632016114892E-13</v>
      </c>
      <c r="AK194" s="14">
        <f t="shared" si="164"/>
        <v>2.2708641912150958E-12</v>
      </c>
      <c r="AL194" s="22">
        <f t="shared" si="165"/>
        <v>4.2330868906469593E-12</v>
      </c>
      <c r="AM194" s="62">
        <f t="shared" si="113"/>
        <v>293.33333333333752</v>
      </c>
      <c r="AN194" s="62">
        <f ca="1">AVERAGE(OFFSET($AM$3,0,0,'Données projet'!$E$10+1,1))-AVERAGE(OFFSET($H$3,0,0,'Données projet'!$E$10+1,1))</f>
        <v>215.04236469150038</v>
      </c>
      <c r="AO194" s="62">
        <f t="shared" si="144"/>
        <v>160.72275701448416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2">
        <f t="shared" si="140"/>
        <v>30.462826482209802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70">
        <f t="shared" si="110"/>
        <v>546.36062278984843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5.6843418860808015E-14</v>
      </c>
      <c r="O195" s="14">
        <f>N195*VLOOKUP('Données projet'!$B$9,Paramètres!$A$1:$I$89,3,0)*VLOOKUP('Données projet'!$B$9,Paramètres!$A$1:$I$89,5,0)</f>
        <v>3.3992364478763198E-14</v>
      </c>
      <c r="P195" s="14">
        <f t="shared" si="141"/>
        <v>5.790027782444094E-13</v>
      </c>
      <c r="Q195" s="22">
        <f t="shared" si="162"/>
        <v>1.0676332069095257E-12</v>
      </c>
      <c r="R195" s="62">
        <f t="shared" ref="R195:R203" si="191">Q195+(I195+J195)*44/12</f>
        <v>293.33333333333439</v>
      </c>
      <c r="S195" s="62">
        <f ca="1">AVERAGE(OFFSET($R$3,0,0,'Données projet'!$E$9+1,1))-AVERAGE(OFFSET($H$3,0,0,'Données projet'!$E$9+1,1))</f>
        <v>157.98488572680344</v>
      </c>
      <c r="T195" s="62">
        <f t="shared" si="142"/>
        <v>269.20989374735825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4.4221998542226348</v>
      </c>
      <c r="AA195" s="23">
        <f>EXP(-LN(2)/25)*AA194+(1-EXP(-LN(2)/25))/(LN(2)/25)*Calculateur!V195*Calculateur!X195*VLOOKUP('Données projet'!$B$9,Paramètres!$A$1:$I$89,3,0)*0.475*44/12</f>
        <v>3.7451746965621632E-2</v>
      </c>
      <c r="AB195" s="23">
        <f>EXP(-LN(2)/2)*AB194+(1-EXP(-LN(2)/2))/(LN(2)/2)*V195*Y195*VLOOKUP('Données projet'!$B$9,Paramètres!$A$1:$I$89,3,0)*0.475*44/12</f>
        <v>4.5557743114468846E-22</v>
      </c>
      <c r="AC195" s="24">
        <f t="shared" si="163"/>
        <v>4.4596516011882565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3.4106051316484809E-13</v>
      </c>
      <c r="AJ195" s="14">
        <f>AI195*VLOOKUP('Données projet'!$B$10,Paramètres!$A$1:$I$89,3,0)*VLOOKUP('Données projet'!$B$10,Paramètres!$A$1:$I$89,5,0)</f>
        <v>1.5961632016114892E-13</v>
      </c>
      <c r="AK195" s="14">
        <f t="shared" si="164"/>
        <v>2.2708641912150958E-12</v>
      </c>
      <c r="AL195" s="22">
        <f t="shared" si="165"/>
        <v>4.2330868906469593E-12</v>
      </c>
      <c r="AM195" s="62">
        <f t="shared" si="113"/>
        <v>293.33333333333752</v>
      </c>
      <c r="AN195" s="62">
        <f ca="1">AVERAGE(OFFSET($AM$3,0,0,'Données projet'!$E$10+1,1))-AVERAGE(OFFSET($H$3,0,0,'Données projet'!$E$10+1,1))</f>
        <v>215.04236469150038</v>
      </c>
      <c r="AO195" s="62">
        <f t="shared" si="144"/>
        <v>160.72275701448416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2">
        <f t="shared" si="140"/>
        <v>30.602976534547494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70">
        <f t="shared" ref="H196:H203" si="192">(B196+E196+F196)*44/12+(C196+D196)*0.475*44/12</f>
        <v>547.64623413100321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5.6843418860808015E-14</v>
      </c>
      <c r="O196" s="14">
        <f>N196*VLOOKUP('Données projet'!$B$9,Paramètres!$A$1:$I$89,3,0)*VLOOKUP('Données projet'!$B$9,Paramètres!$A$1:$I$89,5,0)</f>
        <v>3.3992364478763198E-14</v>
      </c>
      <c r="P196" s="14">
        <f t="shared" si="141"/>
        <v>5.790027782444094E-13</v>
      </c>
      <c r="Q196" s="22">
        <f t="shared" si="162"/>
        <v>1.0676332069095257E-12</v>
      </c>
      <c r="R196" s="62">
        <f t="shared" si="191"/>
        <v>293.33333333333439</v>
      </c>
      <c r="S196" s="62">
        <f ca="1">AVERAGE(OFFSET($R$3,0,0,'Données projet'!$E$9+1,1))-AVERAGE(OFFSET($H$3,0,0,'Données projet'!$E$9+1,1))</f>
        <v>157.98488572680344</v>
      </c>
      <c r="T196" s="62">
        <f t="shared" si="142"/>
        <v>269.20989374735825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4.3354832123569063</v>
      </c>
      <c r="AA196" s="23">
        <f>EXP(-LN(2)/25)*AA195+(1-EXP(-LN(2)/25))/(LN(2)/25)*Calculateur!V196*Calculateur!X196*VLOOKUP('Données projet'!$B$9,Paramètres!$A$1:$I$89,3,0)*0.475*44/12</f>
        <v>3.6427626975344934E-2</v>
      </c>
      <c r="AB196" s="23">
        <f>EXP(-LN(2)/2)*AB195+(1-EXP(-LN(2)/2))/(LN(2)/2)*V196*Y196*VLOOKUP('Données projet'!$B$9,Paramètres!$A$1:$I$89,3,0)*0.475*44/12</f>
        <v>3.2214189091795664E-22</v>
      </c>
      <c r="AC196" s="24">
        <f t="shared" si="163"/>
        <v>4.3719108393322514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3.4106051316484809E-13</v>
      </c>
      <c r="AJ196" s="14">
        <f>AI196*VLOOKUP('Données projet'!$B$10,Paramètres!$A$1:$I$89,3,0)*VLOOKUP('Données projet'!$B$10,Paramètres!$A$1:$I$89,5,0)</f>
        <v>1.5961632016114892E-13</v>
      </c>
      <c r="AK196" s="14">
        <f t="shared" si="164"/>
        <v>2.2708641912150958E-12</v>
      </c>
      <c r="AL196" s="22">
        <f t="shared" si="165"/>
        <v>4.2330868906469593E-12</v>
      </c>
      <c r="AM196" s="62">
        <f t="shared" ref="AM196:AM203" si="193">AL196+(AD196+AE196)*44/12</f>
        <v>293.33333333333752</v>
      </c>
      <c r="AN196" s="62">
        <f ca="1">AVERAGE(OFFSET($AM$3,0,0,'Données projet'!$E$10+1,1))-AVERAGE(OFFSET($H$3,0,0,'Données projet'!$E$10+1,1))</f>
        <v>215.04236469150038</v>
      </c>
      <c r="AO196" s="62">
        <f t="shared" si="144"/>
        <v>160.72275701448416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2">
        <f t="shared" ref="D197:D203" si="202">IFERROR(EXP(-1.0587+0.8836*LN(C197)+0.284),0)</f>
        <v>30.743042086238148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70">
        <f t="shared" si="192"/>
        <v>548.93169830019781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5.6843418860808015E-14</v>
      </c>
      <c r="O197" s="14">
        <f>N197*VLOOKUP('Données projet'!$B$9,Paramètres!$A$1:$I$89,3,0)*VLOOKUP('Données projet'!$B$9,Paramètres!$A$1:$I$89,5,0)</f>
        <v>3.3992364478763198E-14</v>
      </c>
      <c r="P197" s="14">
        <f t="shared" ref="P197:P203" si="203">EXP(-1.0587+0.8836*LN(O197)+0.284)</f>
        <v>5.790027782444094E-13</v>
      </c>
      <c r="Q197" s="22">
        <f t="shared" si="162"/>
        <v>1.0676332069095257E-12</v>
      </c>
      <c r="R197" s="62">
        <f t="shared" si="191"/>
        <v>293.33333333333439</v>
      </c>
      <c r="S197" s="62">
        <f ca="1">AVERAGE(OFFSET($R$3,0,0,'Données projet'!$E$9+1,1))-AVERAGE(OFFSET($H$3,0,0,'Données projet'!$E$9+1,1))</f>
        <v>157.98488572680344</v>
      </c>
      <c r="T197" s="62">
        <f t="shared" ref="T197:T203" si="204">$T$3</f>
        <v>269.20989374735825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4.2504670309462353</v>
      </c>
      <c r="AA197" s="23">
        <f>EXP(-LN(2)/25)*AA196+(1-EXP(-LN(2)/25))/(LN(2)/25)*Calculateur!V197*Calculateur!X197*VLOOKUP('Données projet'!$B$9,Paramètres!$A$1:$I$89,3,0)*0.475*44/12</f>
        <v>3.5431511600058481E-2</v>
      </c>
      <c r="AB197" s="23">
        <f>EXP(-LN(2)/2)*AB196+(1-EXP(-LN(2)/2))/(LN(2)/2)*V197*Y197*VLOOKUP('Données projet'!$B$9,Paramètres!$A$1:$I$89,3,0)*0.475*44/12</f>
        <v>2.2778871557234423E-22</v>
      </c>
      <c r="AC197" s="24">
        <f t="shared" si="163"/>
        <v>4.2858985425462937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3.4106051316484809E-13</v>
      </c>
      <c r="AJ197" s="14">
        <f>AI197*VLOOKUP('Données projet'!$B$10,Paramètres!$A$1:$I$89,3,0)*VLOOKUP('Données projet'!$B$10,Paramètres!$A$1:$I$89,5,0)</f>
        <v>1.5961632016114892E-13</v>
      </c>
      <c r="AK197" s="14">
        <f t="shared" si="164"/>
        <v>2.2708641912150958E-12</v>
      </c>
      <c r="AL197" s="22">
        <f t="shared" si="165"/>
        <v>4.2330868906469593E-12</v>
      </c>
      <c r="AM197" s="62">
        <f t="shared" si="193"/>
        <v>293.33333333333752</v>
      </c>
      <c r="AN197" s="62">
        <f ca="1">AVERAGE(OFFSET($AM$3,0,0,'Données projet'!$E$10+1,1))-AVERAGE(OFFSET($H$3,0,0,'Données projet'!$E$10+1,1))</f>
        <v>215.04236469150038</v>
      </c>
      <c r="AO197" s="62">
        <f t="shared" ref="AO197:AO203" si="205">$AO$3</f>
        <v>160.72275701448416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2">
        <f t="shared" si="202"/>
        <v>30.883023623410974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70">
        <f t="shared" si="192"/>
        <v>550.21701614410711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5.6843418860808015E-14</v>
      </c>
      <c r="O198" s="14">
        <f>N198*VLOOKUP('Données projet'!$B$9,Paramètres!$A$1:$I$89,3,0)*VLOOKUP('Données projet'!$B$9,Paramètres!$A$1:$I$89,5,0)</f>
        <v>3.3992364478763198E-14</v>
      </c>
      <c r="P198" s="14">
        <f t="shared" si="203"/>
        <v>5.790027782444094E-13</v>
      </c>
      <c r="Q198" s="22">
        <f t="shared" si="162"/>
        <v>1.0676332069095257E-12</v>
      </c>
      <c r="R198" s="62">
        <f t="shared" si="191"/>
        <v>293.33333333333439</v>
      </c>
      <c r="S198" s="62">
        <f ca="1">AVERAGE(OFFSET($R$3,0,0,'Données projet'!$E$9+1,1))-AVERAGE(OFFSET($H$3,0,0,'Données projet'!$E$9+1,1))</f>
        <v>157.98488572680344</v>
      </c>
      <c r="T198" s="62">
        <f t="shared" si="204"/>
        <v>269.20989374735825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4.1671179649982779</v>
      </c>
      <c r="AA198" s="23">
        <f>EXP(-LN(2)/25)*AA197+(1-EXP(-LN(2)/25))/(LN(2)/25)*Calculateur!V198*Calculateur!X198*VLOOKUP('Données projet'!$B$9,Paramètres!$A$1:$I$89,3,0)*0.475*44/12</f>
        <v>3.4462635052092669E-2</v>
      </c>
      <c r="AB198" s="23">
        <f>EXP(-LN(2)/2)*AB197+(1-EXP(-LN(2)/2))/(LN(2)/2)*V198*Y198*VLOOKUP('Données projet'!$B$9,Paramètres!$A$1:$I$89,3,0)*0.475*44/12</f>
        <v>1.6107094545897832E-22</v>
      </c>
      <c r="AC198" s="24">
        <f t="shared" si="163"/>
        <v>4.2015806000503702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3.4106051316484809E-13</v>
      </c>
      <c r="AJ198" s="14">
        <f>AI198*VLOOKUP('Données projet'!$B$10,Paramètres!$A$1:$I$89,3,0)*VLOOKUP('Données projet'!$B$10,Paramètres!$A$1:$I$89,5,0)</f>
        <v>1.5961632016114892E-13</v>
      </c>
      <c r="AK198" s="14">
        <f t="shared" si="164"/>
        <v>2.2708641912150958E-12</v>
      </c>
      <c r="AL198" s="22">
        <f t="shared" si="165"/>
        <v>4.2330868906469593E-12</v>
      </c>
      <c r="AM198" s="62">
        <f t="shared" si="193"/>
        <v>293.33333333333752</v>
      </c>
      <c r="AN198" s="62">
        <f ca="1">AVERAGE(OFFSET($AM$3,0,0,'Données projet'!$E$10+1,1))-AVERAGE(OFFSET($H$3,0,0,'Données projet'!$E$10+1,1))</f>
        <v>215.04236469150038</v>
      </c>
      <c r="AO198" s="62">
        <f t="shared" si="205"/>
        <v>160.72275701448416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2">
        <f t="shared" si="202"/>
        <v>31.022921626920507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70">
        <f t="shared" si="192"/>
        <v>551.50218850021952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5.6843418860808015E-14</v>
      </c>
      <c r="O199" s="14">
        <f>N199*VLOOKUP('Données projet'!$B$9,Paramètres!$A$1:$I$89,3,0)*VLOOKUP('Données projet'!$B$9,Paramètres!$A$1:$I$89,5,0)</f>
        <v>3.3992364478763198E-14</v>
      </c>
      <c r="P199" s="14">
        <f t="shared" si="203"/>
        <v>5.790027782444094E-13</v>
      </c>
      <c r="Q199" s="22">
        <f t="shared" si="162"/>
        <v>1.0676332069095257E-12</v>
      </c>
      <c r="R199" s="62">
        <f t="shared" si="191"/>
        <v>293.33333333333439</v>
      </c>
      <c r="S199" s="62">
        <f ca="1">AVERAGE(OFFSET($R$3,0,0,'Données projet'!$E$9+1,1))-AVERAGE(OFFSET($H$3,0,0,'Données projet'!$E$9+1,1))</f>
        <v>157.98488572680344</v>
      </c>
      <c r="T199" s="62">
        <f t="shared" si="204"/>
        <v>269.20989374735825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4.0854033233956493</v>
      </c>
      <c r="AA199" s="23">
        <f>EXP(-LN(2)/25)*AA198+(1-EXP(-LN(2)/25))/(LN(2)/25)*Calculateur!V199*Calculateur!X199*VLOOKUP('Données projet'!$B$9,Paramètres!$A$1:$I$89,3,0)*0.475*44/12</f>
        <v>3.3520252484281983E-2</v>
      </c>
      <c r="AB199" s="23">
        <f>EXP(-LN(2)/2)*AB198+(1-EXP(-LN(2)/2))/(LN(2)/2)*V199*Y199*VLOOKUP('Données projet'!$B$9,Paramètres!$A$1:$I$89,3,0)*0.475*44/12</f>
        <v>1.1389435778617211E-22</v>
      </c>
      <c r="AC199" s="24">
        <f t="shared" si="163"/>
        <v>4.118923575879931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3.4106051316484809E-13</v>
      </c>
      <c r="AJ199" s="14">
        <f>AI199*VLOOKUP('Données projet'!$B$10,Paramètres!$A$1:$I$89,3,0)*VLOOKUP('Données projet'!$B$10,Paramètres!$A$1:$I$89,5,0)</f>
        <v>1.5961632016114892E-13</v>
      </c>
      <c r="AK199" s="14">
        <f t="shared" si="164"/>
        <v>2.2708641912150958E-12</v>
      </c>
      <c r="AL199" s="22">
        <f t="shared" si="165"/>
        <v>4.2330868906469593E-12</v>
      </c>
      <c r="AM199" s="62">
        <f t="shared" si="193"/>
        <v>293.33333333333752</v>
      </c>
      <c r="AN199" s="62">
        <f ca="1">AVERAGE(OFFSET($AM$3,0,0,'Données projet'!$E$10+1,1))-AVERAGE(OFFSET($H$3,0,0,'Données projet'!$E$10+1,1))</f>
        <v>215.04236469150038</v>
      </c>
      <c r="AO199" s="62">
        <f t="shared" si="205"/>
        <v>160.72275701448416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2">
        <f t="shared" si="202"/>
        <v>31.162736572430603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70">
        <f t="shared" si="192"/>
        <v>552.78721619698297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5.6843418860808015E-14</v>
      </c>
      <c r="O200" s="14">
        <f>N200*VLOOKUP('Données projet'!$B$9,Paramètres!$A$1:$I$89,3,0)*VLOOKUP('Données projet'!$B$9,Paramètres!$A$1:$I$89,5,0)</f>
        <v>3.3992364478763198E-14</v>
      </c>
      <c r="P200" s="14">
        <f t="shared" si="203"/>
        <v>5.790027782444094E-13</v>
      </c>
      <c r="Q200" s="22">
        <f t="shared" si="162"/>
        <v>1.0676332069095257E-12</v>
      </c>
      <c r="R200" s="62">
        <f t="shared" si="191"/>
        <v>293.33333333333439</v>
      </c>
      <c r="S200" s="62">
        <f ca="1">AVERAGE(OFFSET($R$3,0,0,'Données projet'!$E$9+1,1))-AVERAGE(OFFSET($H$3,0,0,'Données projet'!$E$9+1,1))</f>
        <v>157.98488572680344</v>
      </c>
      <c r="T200" s="62">
        <f t="shared" si="204"/>
        <v>269.20989374735825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4.0052910560738377</v>
      </c>
      <c r="AA200" s="23">
        <f>EXP(-LN(2)/25)*AA199+(1-EXP(-LN(2)/25))/(LN(2)/25)*Calculateur!V200*Calculateur!X200*VLOOKUP('Données projet'!$B$9,Paramètres!$A$1:$I$89,3,0)*0.475*44/12</f>
        <v>3.2603639417345828E-2</v>
      </c>
      <c r="AB200" s="23">
        <f>EXP(-LN(2)/2)*AB199+(1-EXP(-LN(2)/2))/(LN(2)/2)*V200*Y200*VLOOKUP('Données projet'!$B$9,Paramètres!$A$1:$I$89,3,0)*0.475*44/12</f>
        <v>8.053547272948916E-23</v>
      </c>
      <c r="AC200" s="24">
        <f t="shared" si="163"/>
        <v>4.0378946954911834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3.4106051316484809E-13</v>
      </c>
      <c r="AJ200" s="14">
        <f>AI200*VLOOKUP('Données projet'!$B$10,Paramètres!$A$1:$I$89,3,0)*VLOOKUP('Données projet'!$B$10,Paramètres!$A$1:$I$89,5,0)</f>
        <v>1.5961632016114892E-13</v>
      </c>
      <c r="AK200" s="14">
        <f t="shared" si="164"/>
        <v>2.2708641912150958E-12</v>
      </c>
      <c r="AL200" s="22">
        <f t="shared" si="165"/>
        <v>4.2330868906469593E-12</v>
      </c>
      <c r="AM200" s="62">
        <f t="shared" si="193"/>
        <v>293.33333333333752</v>
      </c>
      <c r="AN200" s="62">
        <f ca="1">AVERAGE(OFFSET($AM$3,0,0,'Données projet'!$E$10+1,1))-AVERAGE(OFFSET($H$3,0,0,'Données projet'!$E$10+1,1))</f>
        <v>215.04236469150038</v>
      </c>
      <c r="AO200" s="62">
        <f t="shared" si="205"/>
        <v>160.72275701448416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2">
        <f t="shared" si="202"/>
        <v>31.302468930496392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70">
        <f t="shared" si="192"/>
        <v>554.07210005394757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5.6843418860808015E-14</v>
      </c>
      <c r="O201" s="14">
        <f>N201*VLOOKUP('Données projet'!$B$9,Paramètres!$A$1:$I$89,3,0)*VLOOKUP('Données projet'!$B$9,Paramètres!$A$1:$I$89,5,0)</f>
        <v>3.3992364478763198E-14</v>
      </c>
      <c r="P201" s="14">
        <f t="shared" si="203"/>
        <v>5.790027782444094E-13</v>
      </c>
      <c r="Q201" s="22">
        <f t="shared" si="162"/>
        <v>1.0676332069095257E-12</v>
      </c>
      <c r="R201" s="62">
        <f t="shared" si="191"/>
        <v>293.33333333333439</v>
      </c>
      <c r="S201" s="62">
        <f ca="1">AVERAGE(OFFSET($R$3,0,0,'Données projet'!$E$9+1,1))-AVERAGE(OFFSET($H$3,0,0,'Données projet'!$E$9+1,1))</f>
        <v>157.98488572680344</v>
      </c>
      <c r="T201" s="62">
        <f t="shared" si="204"/>
        <v>269.20989374735825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3.926749741450549</v>
      </c>
      <c r="AA201" s="23">
        <f>EXP(-LN(2)/25)*AA200+(1-EXP(-LN(2)/25))/(LN(2)/25)*Calculateur!V201*Calculateur!X201*VLOOKUP('Données projet'!$B$9,Paramètres!$A$1:$I$89,3,0)*0.475*44/12</f>
        <v>3.1712091182927629E-2</v>
      </c>
      <c r="AB201" s="23">
        <f>EXP(-LN(2)/2)*AB200+(1-EXP(-LN(2)/2))/(LN(2)/2)*V201*Y201*VLOOKUP('Données projet'!$B$9,Paramètres!$A$1:$I$89,3,0)*0.475*44/12</f>
        <v>5.6947178893086057E-23</v>
      </c>
      <c r="AC201" s="24">
        <f t="shared" si="163"/>
        <v>3.9584618326334766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3.4106051316484809E-13</v>
      </c>
      <c r="AJ201" s="14">
        <f>AI201*VLOOKUP('Données projet'!$B$10,Paramètres!$A$1:$I$89,3,0)*VLOOKUP('Données projet'!$B$10,Paramètres!$A$1:$I$89,5,0)</f>
        <v>1.5961632016114892E-13</v>
      </c>
      <c r="AK201" s="14">
        <f t="shared" si="164"/>
        <v>2.2708641912150958E-12</v>
      </c>
      <c r="AL201" s="22">
        <f t="shared" si="165"/>
        <v>4.2330868906469593E-12</v>
      </c>
      <c r="AM201" s="62">
        <f t="shared" si="193"/>
        <v>293.33333333333752</v>
      </c>
      <c r="AN201" s="62">
        <f ca="1">AVERAGE(OFFSET($AM$3,0,0,'Données projet'!$E$10+1,1))-AVERAGE(OFFSET($H$3,0,0,'Données projet'!$E$10+1,1))</f>
        <v>215.04236469150038</v>
      </c>
      <c r="AO201" s="62">
        <f t="shared" si="205"/>
        <v>160.72275701448416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2">
        <f t="shared" si="202"/>
        <v>31.442119166644662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70">
        <f t="shared" si="192"/>
        <v>555.35684088190578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5.6843418860808015E-14</v>
      </c>
      <c r="O202" s="14">
        <f>N202*VLOOKUP('Données projet'!$B$9,Paramètres!$A$1:$I$89,3,0)*VLOOKUP('Données projet'!$B$9,Paramètres!$A$1:$I$89,5,0)</f>
        <v>3.3992364478763198E-14</v>
      </c>
      <c r="P202" s="14">
        <f t="shared" si="203"/>
        <v>5.790027782444094E-13</v>
      </c>
      <c r="Q202" s="22">
        <f t="shared" si="162"/>
        <v>1.0676332069095257E-12</v>
      </c>
      <c r="R202" s="62">
        <f t="shared" si="191"/>
        <v>293.33333333333439</v>
      </c>
      <c r="S202" s="62">
        <f ca="1">AVERAGE(OFFSET($R$3,0,0,'Données projet'!$E$9+1,1))-AVERAGE(OFFSET($H$3,0,0,'Données projet'!$E$9+1,1))</f>
        <v>157.98488572680344</v>
      </c>
      <c r="T202" s="62">
        <f t="shared" si="204"/>
        <v>269.20989374735825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3.8497485741015516</v>
      </c>
      <c r="AA202" s="23">
        <f>EXP(-LN(2)/25)*AA201+(1-EXP(-LN(2)/25))/(LN(2)/25)*Calculateur!V202*Calculateur!X202*VLOOKUP('Données projet'!$B$9,Paramètres!$A$1:$I$89,3,0)*0.475*44/12</f>
        <v>3.0844922381864075E-2</v>
      </c>
      <c r="AB202" s="23">
        <f>EXP(-LN(2)/2)*AB201+(1-EXP(-LN(2)/2))/(LN(2)/2)*V202*Y202*VLOOKUP('Données projet'!$B$9,Paramètres!$A$1:$I$89,3,0)*0.475*44/12</f>
        <v>4.026773636474458E-23</v>
      </c>
      <c r="AC202" s="24">
        <f t="shared" si="163"/>
        <v>3.8805934964834154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3.4106051316484809E-13</v>
      </c>
      <c r="AJ202" s="14">
        <f>AI202*VLOOKUP('Données projet'!$B$10,Paramètres!$A$1:$I$89,3,0)*VLOOKUP('Données projet'!$B$10,Paramètres!$A$1:$I$89,5,0)</f>
        <v>1.5961632016114892E-13</v>
      </c>
      <c r="AK202" s="14">
        <f t="shared" si="164"/>
        <v>2.2708641912150958E-12</v>
      </c>
      <c r="AL202" s="22">
        <f t="shared" si="165"/>
        <v>4.2330868906469593E-12</v>
      </c>
      <c r="AM202" s="62">
        <f t="shared" si="193"/>
        <v>293.33333333333752</v>
      </c>
      <c r="AN202" s="62">
        <f ca="1">AVERAGE(OFFSET($AM$3,0,0,'Données projet'!$E$10+1,1))-AVERAGE(OFFSET($H$3,0,0,'Données projet'!$E$10+1,1))</f>
        <v>215.04236469150038</v>
      </c>
      <c r="AO202" s="62">
        <f t="shared" si="205"/>
        <v>160.72275701448416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2">
        <f t="shared" si="202"/>
        <v>31.581687741452679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70">
        <f t="shared" si="192"/>
        <v>556.64143948302979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5.6843418860808015E-14</v>
      </c>
      <c r="O203" s="14">
        <f>N203*VLOOKUP('Données projet'!$B$9,Paramètres!$A$1:$I$89,3,0)*VLOOKUP('Données projet'!$B$9,Paramètres!$A$1:$I$89,5,0)</f>
        <v>3.3992364478763198E-14</v>
      </c>
      <c r="P203" s="14">
        <f t="shared" si="203"/>
        <v>5.790027782444094E-13</v>
      </c>
      <c r="Q203" s="22">
        <f t="shared" si="162"/>
        <v>1.0676332069095257E-12</v>
      </c>
      <c r="R203" s="62">
        <f t="shared" si="191"/>
        <v>293.33333333333439</v>
      </c>
      <c r="S203" s="62">
        <f ca="1">AVERAGE(OFFSET($R$3,0,0,'Données projet'!$E$9+1,1))-AVERAGE(OFFSET($H$3,0,0,'Données projet'!$E$9+1,1))</f>
        <v>157.98488572680344</v>
      </c>
      <c r="T203" s="62">
        <f t="shared" si="204"/>
        <v>269.20989374735825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3.7742573526781933</v>
      </c>
      <c r="AA203" s="23">
        <f>EXP(-LN(2)/25)*AA202+(1-EXP(-LN(2)/25))/(LN(2)/25)*Calculateur!V203*Calculateur!X203*VLOOKUP('Données projet'!$B$9,Paramètres!$A$1:$I$89,3,0)*0.475*44/12</f>
        <v>3.0001466357268032E-2</v>
      </c>
      <c r="AB203" s="23">
        <f>EXP(-LN(2)/2)*AB202+(1-EXP(-LN(2)/2))/(LN(2)/2)*V203*Y203*VLOOKUP('Données projet'!$B$9,Paramètres!$A$1:$I$89,3,0)*0.475*44/12</f>
        <v>2.8473589446543029E-23</v>
      </c>
      <c r="AC203" s="24">
        <f t="shared" si="163"/>
        <v>3.8042588190354611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3.4106051316484809E-13</v>
      </c>
      <c r="AJ203" s="14">
        <f>AI203*VLOOKUP('Données projet'!$B$10,Paramètres!$A$1:$I$89,3,0)*VLOOKUP('Données projet'!$B$10,Paramètres!$A$1:$I$89,5,0)</f>
        <v>1.5961632016114892E-13</v>
      </c>
      <c r="AK203" s="14">
        <f t="shared" si="164"/>
        <v>2.2708641912150958E-12</v>
      </c>
      <c r="AL203" s="22">
        <f t="shared" si="165"/>
        <v>4.2330868906469593E-12</v>
      </c>
      <c r="AM203" s="62">
        <f t="shared" si="193"/>
        <v>293.33333333333752</v>
      </c>
      <c r="AN203" s="62">
        <f ca="1">AVERAGE(OFFSET($AM$3,0,0,'Données projet'!$E$10+1,1))-AVERAGE(OFFSET($H$3,0,0,'Données projet'!$E$10+1,1))</f>
        <v>215.04236469150038</v>
      </c>
      <c r="AO203" s="62">
        <f t="shared" si="205"/>
        <v>160.72275701448416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1.3939124009120489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1.1921598380198544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9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20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9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21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21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20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9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20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workbookViewId="0">
      <selection activeCell="M17" sqref="M17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10" t="s">
        <v>271</v>
      </c>
      <c r="B2" s="311"/>
      <c r="C2" s="311"/>
      <c r="D2" s="311"/>
      <c r="E2" s="311"/>
      <c r="F2" s="311"/>
      <c r="G2" s="311"/>
      <c r="H2" s="311"/>
      <c r="I2" s="311"/>
      <c r="J2" s="311"/>
      <c r="K2" s="311"/>
      <c r="L2" s="312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maritime</v>
      </c>
      <c r="B6" s="155">
        <f>'Données projet'!D9</f>
        <v>3.2679999999999998</v>
      </c>
      <c r="C6" s="156">
        <f ca="1">IF(OR('Données projet'!B9="",'Données projet'!C9="",'Données projet'!C9=0%),0,Calculateur!S3)</f>
        <v>157.98488572680344</v>
      </c>
      <c r="D6" s="156">
        <f>IF(OR('Données projet'!B9="",'Données projet'!C9="",'Données projet'!C9=0%),0,Calculateur!T3)</f>
        <v>269.20989374735825</v>
      </c>
      <c r="E6" s="156">
        <f ca="1">MIN(C6,D6)</f>
        <v>157.98488572680344</v>
      </c>
      <c r="F6" s="156">
        <f ca="1">E6*B6</f>
        <v>516.29460655519358</v>
      </c>
      <c r="G6" s="156">
        <f ca="1">F6*(100%-'Données projet'!$C$24)*(100%-'Données projet'!$C$25)*(100%-'Données projet'!$C$26)*(100%-'Données projet'!$C$27)</f>
        <v>418.19863130970685</v>
      </c>
      <c r="H6" s="157">
        <f>IF(OR('Données projet'!B9="",'Données projet'!C9="",'Données projet'!C9=0%),0,AVERAGE(Calculateur!$AC$3:$AC$33)*B6)</f>
        <v>26.755278342357808</v>
      </c>
      <c r="I6" s="158">
        <f>H6*(100%-'Données projet'!$C$24)*(100%-'Données projet'!$C$25)*(100%-'Données projet'!$C$26)*(100%-'Données projet'!$C$27)</f>
        <v>21.671775457309828</v>
      </c>
      <c r="J6" s="159">
        <f>IF(OR('Données projet'!B9="",'Données projet'!C9="",'Données projet'!C9=0%),0,SUM(Calculateur!$V$3:$V$33)*VLOOKUP('Données projet'!$B$9,Paramètres!$A$1:$I$89,9,0)*B6)</f>
        <v>210.16507999999999</v>
      </c>
      <c r="K6" s="160">
        <f>J6*(100%-'Données projet'!$C$24)*(100%-'Données projet'!$C$25)*(100%-'Données projet'!$C$26)*(100%-'Données projet'!$C$27)</f>
        <v>170.2337148</v>
      </c>
      <c r="L6" s="161">
        <f ca="1">G6+I6+K6</f>
        <v>610.1041215670167</v>
      </c>
      <c r="M6" s="25">
        <f ca="1">L6/B6</f>
        <v>186.6903676765657</v>
      </c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Cèdre de l'Atlas</v>
      </c>
      <c r="B7" s="163">
        <f>'Données projet'!D10</f>
        <v>1.032</v>
      </c>
      <c r="C7" s="156">
        <f ca="1">IF(OR('Données projet'!B10="",'Données projet'!C10="",'Données projet'!C10=0%),0,Calculateur!AN3)</f>
        <v>215.04236469150038</v>
      </c>
      <c r="D7" s="156">
        <f>IF(OR('Données projet'!B10="",'Données projet'!C10="",'Données projet'!C10=0%),0,Calculateur!AO3)</f>
        <v>160.72275701448416</v>
      </c>
      <c r="E7" s="156">
        <f t="shared" ref="E7:E15" ca="1" si="0">MIN(C7,D7)</f>
        <v>160.72275701448416</v>
      </c>
      <c r="F7" s="156">
        <f t="shared" ref="F7:F15" ca="1" si="1">E7*B7</f>
        <v>165.86588523894767</v>
      </c>
      <c r="G7" s="156">
        <f ca="1">F7*(100%-'Données projet'!$C$24)*(100%-'Données projet'!$C$25)*(100%-'Données projet'!$C$26)*(100%-'Données projet'!$C$27)</f>
        <v>134.35136704354761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ca="1" si="2">G7+I7+K7</f>
        <v>134.35136704354761</v>
      </c>
      <c r="M7" s="25">
        <f ca="1">L7/B7</f>
        <v>130.18543318173218</v>
      </c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682.16049179414131</v>
      </c>
      <c r="G16" s="175">
        <f t="shared" ca="1" si="3"/>
        <v>552.54999835325452</v>
      </c>
      <c r="H16" s="176">
        <f t="shared" si="3"/>
        <v>26.755278342357808</v>
      </c>
      <c r="I16" s="176">
        <f t="shared" si="3"/>
        <v>21.671775457309828</v>
      </c>
      <c r="J16" s="177">
        <f t="shared" si="3"/>
        <v>210.16507999999999</v>
      </c>
      <c r="K16" s="177">
        <f t="shared" si="3"/>
        <v>170.2337148</v>
      </c>
      <c r="L16" s="178">
        <f t="shared" ca="1" si="3"/>
        <v>744.45548861056432</v>
      </c>
      <c r="M16" s="25">
        <f ca="1">L16/4.3</f>
        <v>173.12918339780566</v>
      </c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2" t="s">
        <v>246</v>
      </c>
      <c r="G17" s="323"/>
      <c r="H17" s="323"/>
      <c r="I17" s="323"/>
      <c r="J17" s="323"/>
      <c r="K17" s="323"/>
      <c r="L17" s="323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4"/>
      <c r="G18" s="324"/>
      <c r="H18" s="324"/>
      <c r="I18" s="324"/>
      <c r="J18" s="324"/>
      <c r="K18" s="324"/>
      <c r="L18" s="324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Cèdre de l'Atlas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P4" zoomScale="90" zoomScaleNormal="90" workbookViewId="0">
      <selection activeCell="I27" sqref="I27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10" t="s">
        <v>272</v>
      </c>
      <c r="C2" s="311"/>
      <c r="D2" s="311"/>
      <c r="E2" s="311"/>
      <c r="F2" s="311"/>
      <c r="G2" s="311"/>
      <c r="H2" s="311"/>
      <c r="I2" s="311"/>
      <c r="J2" s="311"/>
      <c r="K2" s="311"/>
      <c r="L2" s="311"/>
      <c r="M2" s="311"/>
      <c r="N2" s="311"/>
      <c r="O2" s="311"/>
      <c r="P2" s="312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2" t="s">
        <v>315</v>
      </c>
      <c r="I4" s="342"/>
      <c r="K4" s="339" t="s">
        <v>253</v>
      </c>
      <c r="L4" s="340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1" t="s">
        <v>310</v>
      </c>
      <c r="S7" s="332"/>
      <c r="T7" s="332"/>
      <c r="U7" s="332"/>
      <c r="V7" s="333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3739.3295752271938</v>
      </c>
      <c r="U10" s="190">
        <f>'Données projet'!D9</f>
        <v>3.2679999999999998</v>
      </c>
      <c r="V10" s="189">
        <f>U10*T10</f>
        <v>12220.129051842468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Cèdre de l'Atlas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1711.3394885192452</v>
      </c>
      <c r="U11" s="190">
        <f>'Données projet'!D10</f>
        <v>1.032</v>
      </c>
      <c r="V11" s="189">
        <f t="shared" ref="V11" si="0">U11*T11</f>
        <v>1766.1023521518609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3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3"/>
      <c r="H16" s="203"/>
      <c r="I16" s="204"/>
      <c r="J16" s="216"/>
      <c r="K16" s="225"/>
      <c r="L16" s="339" t="s">
        <v>254</v>
      </c>
      <c r="M16" s="340"/>
      <c r="N16" s="2">
        <v>70</v>
      </c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3"/>
      <c r="J17" s="216"/>
      <c r="K17" s="225"/>
      <c r="L17" s="297" t="s">
        <v>289</v>
      </c>
      <c r="M17" s="299"/>
      <c r="N17" s="187">
        <f>VLOOKUP(N16,Calculateur!$A$2:$H$153,3,0)/VLOOKUP('Scénario référence'!$G$15,Paramètres!A1:I89,3,0)/VLOOKUP('Scénario référence'!$G$15,Paramètres!A1:I89,5,0)</f>
        <v>69.999999999999929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3"/>
      <c r="J18" s="216"/>
      <c r="K18" s="225"/>
      <c r="L18" s="297" t="s">
        <v>255</v>
      </c>
      <c r="M18" s="299"/>
      <c r="N18" s="205">
        <v>20</v>
      </c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3"/>
      <c r="H19" s="232" t="s">
        <v>178</v>
      </c>
      <c r="I19" s="232" t="s">
        <v>287</v>
      </c>
      <c r="J19" s="260"/>
      <c r="K19" s="183"/>
      <c r="L19" s="339" t="s">
        <v>288</v>
      </c>
      <c r="M19" s="340"/>
      <c r="N19" s="191">
        <f>N17*N18</f>
        <v>1399.9999999999986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3"/>
      <c r="H20" s="203">
        <v>0</v>
      </c>
      <c r="I20" s="204">
        <f>14564/4.3</f>
        <v>3386.9767441860467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f>2494/4.3</f>
        <v>580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>
        <v>2</v>
      </c>
      <c r="I22" s="204">
        <v>580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13</v>
      </c>
      <c r="B23" s="193">
        <f>'Données projet'!D36</f>
        <v>15</v>
      </c>
      <c r="C23" s="206">
        <v>10</v>
      </c>
      <c r="D23" s="194">
        <f>B23*C23</f>
        <v>150</v>
      </c>
      <c r="E23" s="206"/>
      <c r="F23" s="261"/>
      <c r="H23" s="203">
        <v>3</v>
      </c>
      <c r="I23" s="204">
        <f>559/4.3</f>
        <v>130</v>
      </c>
      <c r="K23" s="225"/>
      <c r="L23" s="341" t="s">
        <v>260</v>
      </c>
      <c r="M23" s="341"/>
      <c r="N23" s="341"/>
      <c r="O23" s="25"/>
      <c r="P23" s="25"/>
      <c r="Q23" s="265"/>
      <c r="R23" s="25"/>
      <c r="S23" s="185" t="s">
        <v>264</v>
      </c>
      <c r="T23" s="336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-5738.0517668717912</v>
      </c>
      <c r="U23" s="336"/>
      <c r="V23" s="336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19</v>
      </c>
      <c r="B24" s="193">
        <f>'Données projet'!D37</f>
        <v>40</v>
      </c>
      <c r="C24" s="206">
        <v>15</v>
      </c>
      <c r="D24" s="194">
        <f t="shared" ref="D24:D42" si="2">B24*C24</f>
        <v>600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7">
        <f ca="1">'Scénario référence'!$B$8*$M$30*'Données projet'!$C$5+('Scénario référence'!B9+'Scénario référence'!B10+'Scénario référence'!F8+'Scénario référence'!F9)*$N$19/(1+M4)^N16*'Données projet'!$C$5</f>
        <v>276.34789445575274</v>
      </c>
      <c r="U24" s="337"/>
      <c r="V24" s="337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25</v>
      </c>
      <c r="B25" s="193">
        <f>'Données projet'!D38</f>
        <v>54</v>
      </c>
      <c r="C25" s="206">
        <v>30</v>
      </c>
      <c r="D25" s="194">
        <f t="shared" si="2"/>
        <v>1620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38">
        <f ca="1">T23-T24</f>
        <v>-6014.399661327544</v>
      </c>
      <c r="U25" s="338"/>
      <c r="V25" s="338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30</v>
      </c>
      <c r="B26" s="193">
        <f>'Données projet'!D39</f>
        <v>0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5" t="s">
        <v>258</v>
      </c>
      <c r="M26" s="326"/>
      <c r="N26" s="326"/>
      <c r="O26" s="326"/>
      <c r="P26" s="327"/>
      <c r="Q26" s="265"/>
      <c r="R26" s="25"/>
      <c r="S26" s="198" t="s">
        <v>265</v>
      </c>
      <c r="T26" s="335" t="str">
        <f ca="1">IF(T25&lt;0,"Votre projet est additionnel","Votre projet n'est pas additionnel")</f>
        <v>Votre projet est additionnel</v>
      </c>
      <c r="U26" s="335"/>
      <c r="V26" s="33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38</v>
      </c>
      <c r="B27" s="193">
        <f>'Données projet'!D40</f>
        <v>338</v>
      </c>
      <c r="C27" s="206">
        <v>45</v>
      </c>
      <c r="D27" s="194">
        <f t="shared" si="2"/>
        <v>15210</v>
      </c>
      <c r="E27" s="206"/>
      <c r="F27" s="264"/>
      <c r="G27" s="259"/>
      <c r="H27" s="203"/>
      <c r="I27" s="204"/>
      <c r="K27" s="225"/>
      <c r="L27" s="328"/>
      <c r="M27" s="329"/>
      <c r="N27" s="329"/>
      <c r="O27" s="329"/>
      <c r="P27" s="330"/>
      <c r="Q27" s="265"/>
      <c r="R27" s="25"/>
      <c r="S27" s="334" t="s">
        <v>267</v>
      </c>
      <c r="T27" s="334"/>
      <c r="U27" s="334"/>
      <c r="V27" s="334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Cèdre de l'Atlas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30</v>
      </c>
      <c r="B54" s="193">
        <f>'Données projet'!D62</f>
        <v>0</v>
      </c>
      <c r="C54" s="292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35</v>
      </c>
      <c r="B55" s="193">
        <f>'Données projet'!D63</f>
        <v>0</v>
      </c>
      <c r="C55" s="292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42</v>
      </c>
      <c r="B56" s="193">
        <f>'Données projet'!D64</f>
        <v>182</v>
      </c>
      <c r="C56" s="292">
        <v>15</v>
      </c>
      <c r="D56" s="191">
        <f t="shared" si="4"/>
        <v>2730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43</v>
      </c>
      <c r="B57" s="193">
        <f>'Données projet'!D65</f>
        <v>0</v>
      </c>
      <c r="C57" s="292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49</v>
      </c>
      <c r="B58" s="193">
        <f>'Données projet'!D66</f>
        <v>100</v>
      </c>
      <c r="C58" s="292">
        <v>20</v>
      </c>
      <c r="D58" s="191">
        <f t="shared" si="4"/>
        <v>2000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50</v>
      </c>
      <c r="B59" s="193">
        <f>'Données projet'!D67</f>
        <v>0</v>
      </c>
      <c r="C59" s="292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56</v>
      </c>
      <c r="B60" s="193">
        <f>'Données projet'!D68</f>
        <v>79</v>
      </c>
      <c r="C60" s="292">
        <v>25</v>
      </c>
      <c r="D60" s="191">
        <f t="shared" si="4"/>
        <v>1975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57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63</v>
      </c>
      <c r="B62" s="193">
        <f>'Données projet'!D70</f>
        <v>79</v>
      </c>
      <c r="C62" s="204">
        <v>30</v>
      </c>
      <c r="D62" s="191">
        <f t="shared" si="4"/>
        <v>2370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64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71</v>
      </c>
      <c r="B64" s="193">
        <f>'Données projet'!D72</f>
        <v>91</v>
      </c>
      <c r="C64" s="204">
        <v>35</v>
      </c>
      <c r="D64" s="191">
        <f t="shared" si="4"/>
        <v>3185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72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79</v>
      </c>
      <c r="B66" s="193">
        <f>'Données projet'!D74</f>
        <v>88</v>
      </c>
      <c r="C66" s="204">
        <v>40</v>
      </c>
      <c r="D66" s="191">
        <f t="shared" si="4"/>
        <v>3520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80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87</v>
      </c>
      <c r="B68" s="193">
        <f>'Données projet'!D76</f>
        <v>89</v>
      </c>
      <c r="C68" s="204">
        <v>45</v>
      </c>
      <c r="D68" s="191">
        <f t="shared" si="4"/>
        <v>4005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88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94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95</v>
      </c>
      <c r="B71" s="193">
        <f>'Données projet'!D79</f>
        <v>269</v>
      </c>
      <c r="C71" s="204">
        <v>50</v>
      </c>
      <c r="D71" s="191">
        <f t="shared" si="4"/>
        <v>13450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96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str">
        <f>IF(O71+1&lt;=MIN('Données projet'!$E$9:$E$18),O71+1,"STOP")</f>
        <v>STOP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105</v>
      </c>
      <c r="B73" s="193">
        <f>'Données projet'!D81</f>
        <v>357</v>
      </c>
      <c r="C73" s="204">
        <v>55</v>
      </c>
      <c r="D73" s="191">
        <f t="shared" si="4"/>
        <v>19635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BELLE Nastasia</cp:lastModifiedBy>
  <dcterms:created xsi:type="dcterms:W3CDTF">2021-02-01T08:22:39Z</dcterms:created>
  <dcterms:modified xsi:type="dcterms:W3CDTF">2025-03-25T15:22:47Z</dcterms:modified>
</cp:coreProperties>
</file>