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8"/>
  <workbookPr/>
  <mc:AlternateContent xmlns:mc="http://schemas.openxmlformats.org/markup-compatibility/2006">
    <mc:Choice Requires="x15">
      <x15ac:absPath xmlns:x15ac="http://schemas.microsoft.com/office/spreadsheetml/2010/11/ac" url="/Users/guillaumepanthou/Downloads/"/>
    </mc:Choice>
  </mc:AlternateContent>
  <xr:revisionPtr revIDLastSave="0" documentId="8_{56B03BAB-860E-0C4D-8D92-F55C2D4FB4F8}" xr6:coauthVersionLast="47" xr6:coauthVersionMax="47" xr10:uidLastSave="{00000000-0000-0000-0000-000000000000}"/>
  <bookViews>
    <workbookView xWindow="0" yWindow="500" windowWidth="28800" windowHeight="16480" activeTab="1" xr2:uid="{00000000-000D-0000-FFFF-FFFF00000000}"/>
  </bookViews>
  <sheets>
    <sheet name="Accueil" sheetId="1" r:id="rId1"/>
    <sheet name="Eligibilité_projet" sheetId="2" r:id="rId2"/>
    <sheet name="RECeff + REIamont (1)" sheetId="3" r:id="rId3"/>
    <sheet name="RECeff + REIamont (2)" sheetId="4" r:id="rId4"/>
    <sheet name="REIaval" sheetId="5" r:id="rId5"/>
    <sheet name="RECant_biom" sheetId="6" r:id="rId6"/>
    <sheet name="RECant_sol" sheetId="7" r:id="rId7"/>
    <sheet name="RE" sheetId="8" r:id="rId8"/>
    <sheet name="(ne pas modifier) BDD_REF" sheetId="9" state="hidden" r:id="rId9"/>
    <sheet name="(ne pas modifier) LISTES" sheetId="10" state="hidden" r:id="rId10"/>
  </sheets>
  <calcPr calcId="191029"/>
  <extLst>
    <ext uri="GoogleSheetsCustomDataVersion1">
      <go:sheetsCustomData xmlns:go="http://customooxmlschemas.google.com/" r:id="rId14" roundtripDataSignature="AMtx7mgH42+oSl6sxf/JbfEeZ5PQllbPAQ=="/>
    </ext>
  </extLst>
</workbook>
</file>

<file path=xl/calcChain.xml><?xml version="1.0" encoding="utf-8"?>
<calcChain xmlns="http://schemas.openxmlformats.org/spreadsheetml/2006/main">
  <c r="C229" i="9" l="1"/>
  <c r="C228" i="9"/>
  <c r="C227" i="9"/>
  <c r="C226" i="9"/>
  <c r="C225" i="9"/>
  <c r="C224" i="9"/>
  <c r="D133" i="9"/>
  <c r="D132" i="9"/>
  <c r="D131" i="9"/>
  <c r="D130" i="9"/>
  <c r="D129" i="9"/>
  <c r="D128" i="9"/>
  <c r="D127" i="9"/>
  <c r="D126" i="9"/>
  <c r="D125" i="9"/>
  <c r="D124" i="9"/>
  <c r="D123" i="9"/>
  <c r="E122" i="9"/>
  <c r="D122" i="9"/>
  <c r="E121" i="9"/>
  <c r="D121" i="9"/>
  <c r="E120" i="9"/>
  <c r="D120" i="9"/>
  <c r="E119" i="9"/>
  <c r="D119" i="9"/>
  <c r="E118" i="9"/>
  <c r="D118" i="9"/>
  <c r="E117" i="9"/>
  <c r="D117" i="9"/>
  <c r="E116" i="9"/>
  <c r="D116" i="9"/>
  <c r="E115" i="9"/>
  <c r="D115" i="9"/>
  <c r="E114" i="9"/>
  <c r="D114" i="9"/>
  <c r="E113" i="9"/>
  <c r="D113" i="9"/>
  <c r="E112" i="9"/>
  <c r="D112" i="9"/>
  <c r="E111" i="9"/>
  <c r="D111" i="9"/>
  <c r="E110" i="9"/>
  <c r="D110" i="9"/>
  <c r="E109" i="9"/>
  <c r="D109" i="9"/>
  <c r="E108" i="9"/>
  <c r="D108" i="9"/>
  <c r="E107" i="9"/>
  <c r="D107" i="9"/>
  <c r="E106" i="9"/>
  <c r="D106" i="9"/>
  <c r="E105" i="9"/>
  <c r="D105" i="9"/>
  <c r="E104" i="9"/>
  <c r="D104" i="9"/>
  <c r="E103" i="9"/>
  <c r="D103" i="9"/>
  <c r="E102" i="9"/>
  <c r="D102" i="9"/>
  <c r="E101" i="9"/>
  <c r="D101" i="9"/>
  <c r="D100" i="9"/>
  <c r="D99" i="9"/>
  <c r="D98" i="9"/>
  <c r="D97" i="9"/>
  <c r="D96" i="9"/>
  <c r="D95" i="9"/>
  <c r="D94" i="9"/>
  <c r="D93" i="9"/>
  <c r="D92" i="9"/>
  <c r="D91" i="9"/>
  <c r="D90" i="9"/>
  <c r="E89" i="9"/>
  <c r="D89" i="9"/>
  <c r="E88" i="9"/>
  <c r="D88" i="9"/>
  <c r="E87" i="9"/>
  <c r="D87" i="9"/>
  <c r="E86" i="9"/>
  <c r="D86" i="9"/>
  <c r="E85" i="9"/>
  <c r="D85" i="9"/>
  <c r="E84" i="9"/>
  <c r="D84" i="9"/>
  <c r="E83" i="9"/>
  <c r="D83" i="9"/>
  <c r="E82" i="9"/>
  <c r="D82" i="9"/>
  <c r="E81" i="9"/>
  <c r="D81" i="9"/>
  <c r="E80" i="9"/>
  <c r="D80" i="9"/>
  <c r="E79" i="9"/>
  <c r="D79" i="9"/>
  <c r="E78" i="9"/>
  <c r="D78" i="9"/>
  <c r="E77" i="9"/>
  <c r="D77" i="9"/>
  <c r="E76" i="9"/>
  <c r="D76" i="9"/>
  <c r="E75" i="9"/>
  <c r="D75" i="9"/>
  <c r="E74" i="9"/>
  <c r="D74" i="9"/>
  <c r="E73" i="9"/>
  <c r="D73" i="9"/>
  <c r="E72" i="9"/>
  <c r="D72" i="9"/>
  <c r="E71" i="9"/>
  <c r="D71" i="9"/>
  <c r="E70" i="9"/>
  <c r="D70" i="9"/>
  <c r="E69" i="9"/>
  <c r="D69" i="9"/>
  <c r="E68" i="9"/>
  <c r="D68" i="9"/>
  <c r="G65" i="9"/>
  <c r="D65" i="9"/>
  <c r="G64" i="9"/>
  <c r="D64" i="9"/>
  <c r="G63" i="9"/>
  <c r="D63" i="9"/>
  <c r="G62" i="9"/>
  <c r="D62" i="9"/>
  <c r="G61" i="9"/>
  <c r="D61" i="9"/>
  <c r="G60" i="9"/>
  <c r="D60" i="9"/>
  <c r="G59" i="9"/>
  <c r="D59" i="9"/>
  <c r="G58" i="9"/>
  <c r="D58" i="9"/>
  <c r="G57" i="9"/>
  <c r="D57" i="9"/>
  <c r="G56" i="9"/>
  <c r="D56" i="9"/>
  <c r="G55" i="9"/>
  <c r="D55" i="9"/>
  <c r="G54" i="9"/>
  <c r="D54" i="9"/>
  <c r="G53" i="9"/>
  <c r="D53" i="9"/>
  <c r="G52" i="9"/>
  <c r="D52" i="9"/>
  <c r="G51" i="9"/>
  <c r="D51" i="9"/>
  <c r="G50" i="9"/>
  <c r="D50" i="9"/>
  <c r="G49" i="9"/>
  <c r="D49" i="9"/>
  <c r="G48" i="9"/>
  <c r="D48" i="9"/>
  <c r="G47" i="9"/>
  <c r="E129" i="9" s="1"/>
  <c r="D47" i="9"/>
  <c r="G46" i="9"/>
  <c r="E132" i="9" s="1"/>
  <c r="D46" i="9"/>
  <c r="E100" i="9" s="1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E17" i="9"/>
  <c r="D17" i="9"/>
  <c r="E16" i="9"/>
  <c r="D16" i="9"/>
  <c r="E15" i="9"/>
  <c r="D15" i="9"/>
  <c r="E14" i="9"/>
  <c r="D14" i="9"/>
  <c r="E13" i="9"/>
  <c r="D13" i="9"/>
  <c r="E12" i="9"/>
  <c r="D12" i="9"/>
  <c r="E11" i="9"/>
  <c r="D11" i="9"/>
  <c r="D10" i="9"/>
  <c r="D9" i="9"/>
  <c r="D8" i="9"/>
  <c r="C7" i="9"/>
  <c r="D7" i="9" s="1"/>
  <c r="D6" i="9"/>
  <c r="D5" i="9"/>
  <c r="D4" i="9"/>
  <c r="D3" i="9"/>
  <c r="D2" i="9"/>
  <c r="C6" i="8"/>
  <c r="F9" i="7"/>
  <c r="L8" i="7"/>
  <c r="K8" i="7"/>
  <c r="J8" i="7"/>
  <c r="I8" i="7"/>
  <c r="H8" i="7"/>
  <c r="G8" i="7"/>
  <c r="F8" i="7"/>
  <c r="E8" i="7"/>
  <c r="M8" i="7" s="1"/>
  <c r="D8" i="7"/>
  <c r="C8" i="7"/>
  <c r="L7" i="7"/>
  <c r="L9" i="7" s="1"/>
  <c r="K36" i="2" s="1"/>
  <c r="K7" i="7"/>
  <c r="J7" i="7"/>
  <c r="I7" i="7"/>
  <c r="H7" i="7"/>
  <c r="G7" i="7"/>
  <c r="F7" i="7"/>
  <c r="E7" i="7"/>
  <c r="D7" i="7"/>
  <c r="M7" i="7" s="1"/>
  <c r="C7" i="7"/>
  <c r="L6" i="7"/>
  <c r="K6" i="7"/>
  <c r="K9" i="7" s="1"/>
  <c r="J36" i="2" s="1"/>
  <c r="J6" i="7"/>
  <c r="J9" i="7" s="1"/>
  <c r="I36" i="2" s="1"/>
  <c r="I6" i="7"/>
  <c r="H6" i="7"/>
  <c r="H9" i="7" s="1"/>
  <c r="G36" i="2" s="1"/>
  <c r="G6" i="7"/>
  <c r="G9" i="7" s="1"/>
  <c r="F36" i="2" s="1"/>
  <c r="F6" i="7"/>
  <c r="E6" i="7"/>
  <c r="E9" i="7" s="1"/>
  <c r="D36" i="2" s="1"/>
  <c r="D6" i="7"/>
  <c r="C6" i="7"/>
  <c r="C9" i="7" s="1"/>
  <c r="L5" i="7"/>
  <c r="K5" i="7"/>
  <c r="J5" i="7"/>
  <c r="I5" i="7"/>
  <c r="I9" i="7" s="1"/>
  <c r="H36" i="2" s="1"/>
  <c r="H5" i="7"/>
  <c r="G5" i="7"/>
  <c r="F5" i="7"/>
  <c r="E5" i="7"/>
  <c r="D5" i="7"/>
  <c r="C5" i="7"/>
  <c r="M5" i="7" s="1"/>
  <c r="L27" i="6"/>
  <c r="K27" i="6"/>
  <c r="J27" i="6"/>
  <c r="I27" i="6"/>
  <c r="H27" i="6"/>
  <c r="G27" i="6"/>
  <c r="F27" i="6"/>
  <c r="E27" i="6"/>
  <c r="M27" i="6" s="1"/>
  <c r="D27" i="6"/>
  <c r="C27" i="6"/>
  <c r="L26" i="6"/>
  <c r="K26" i="6"/>
  <c r="J26" i="6"/>
  <c r="I26" i="6"/>
  <c r="H26" i="6"/>
  <c r="G26" i="6"/>
  <c r="F26" i="6"/>
  <c r="E26" i="6"/>
  <c r="D26" i="6"/>
  <c r="C26" i="6"/>
  <c r="M26" i="6" s="1"/>
  <c r="L25" i="6"/>
  <c r="L28" i="6" s="1"/>
  <c r="K37" i="2" s="1"/>
  <c r="K25" i="6"/>
  <c r="K28" i="6" s="1"/>
  <c r="J37" i="2" s="1"/>
  <c r="J25" i="6"/>
  <c r="J28" i="6" s="1"/>
  <c r="I37" i="2" s="1"/>
  <c r="I25" i="6"/>
  <c r="I28" i="6" s="1"/>
  <c r="H37" i="2" s="1"/>
  <c r="H25" i="6"/>
  <c r="H28" i="6" s="1"/>
  <c r="G37" i="2" s="1"/>
  <c r="G25" i="6"/>
  <c r="G28" i="6" s="1"/>
  <c r="F37" i="2" s="1"/>
  <c r="F25" i="6"/>
  <c r="F28" i="6" s="1"/>
  <c r="E37" i="2" s="1"/>
  <c r="E38" i="2" s="1"/>
  <c r="L24" i="6"/>
  <c r="K24" i="6"/>
  <c r="J24" i="6"/>
  <c r="I24" i="6"/>
  <c r="H24" i="6"/>
  <c r="G24" i="6"/>
  <c r="F24" i="6"/>
  <c r="E24" i="6"/>
  <c r="D24" i="6"/>
  <c r="M24" i="6" s="1"/>
  <c r="C24" i="6"/>
  <c r="L23" i="6"/>
  <c r="K23" i="6"/>
  <c r="J23" i="6"/>
  <c r="I23" i="6"/>
  <c r="H23" i="6"/>
  <c r="G23" i="6"/>
  <c r="F23" i="6"/>
  <c r="E23" i="6"/>
  <c r="D23" i="6"/>
  <c r="C23" i="6"/>
  <c r="M23" i="6" s="1"/>
  <c r="L22" i="6"/>
  <c r="K22" i="6"/>
  <c r="J22" i="6"/>
  <c r="I22" i="6"/>
  <c r="H22" i="6"/>
  <c r="G22" i="6"/>
  <c r="F22" i="6"/>
  <c r="E22" i="6"/>
  <c r="D22" i="6"/>
  <c r="M22" i="6" s="1"/>
  <c r="C22" i="6"/>
  <c r="L21" i="6"/>
  <c r="K21" i="6"/>
  <c r="J21" i="6"/>
  <c r="I21" i="6"/>
  <c r="H21" i="6"/>
  <c r="G21" i="6"/>
  <c r="F21" i="6"/>
  <c r="E21" i="6"/>
  <c r="D21" i="6"/>
  <c r="C21" i="6"/>
  <c r="M21" i="6" s="1"/>
  <c r="L20" i="6"/>
  <c r="K20" i="6"/>
  <c r="J20" i="6"/>
  <c r="I20" i="6"/>
  <c r="H20" i="6"/>
  <c r="G20" i="6"/>
  <c r="F20" i="6"/>
  <c r="E20" i="6"/>
  <c r="D20" i="6"/>
  <c r="C20" i="6"/>
  <c r="M20" i="6" s="1"/>
  <c r="L19" i="6"/>
  <c r="K19" i="6"/>
  <c r="J19" i="6"/>
  <c r="I19" i="6"/>
  <c r="H19" i="6"/>
  <c r="G19" i="6"/>
  <c r="F19" i="6"/>
  <c r="E19" i="6"/>
  <c r="M19" i="6" s="1"/>
  <c r="D19" i="6"/>
  <c r="C19" i="6"/>
  <c r="L18" i="6"/>
  <c r="K18" i="6"/>
  <c r="J18" i="6"/>
  <c r="I18" i="6"/>
  <c r="H18" i="6"/>
  <c r="G18" i="6"/>
  <c r="F18" i="6"/>
  <c r="E18" i="6"/>
  <c r="D18" i="6"/>
  <c r="C18" i="6"/>
  <c r="M18" i="6" s="1"/>
  <c r="L17" i="6"/>
  <c r="K17" i="6"/>
  <c r="J17" i="6"/>
  <c r="I17" i="6"/>
  <c r="H17" i="6"/>
  <c r="G17" i="6"/>
  <c r="F17" i="6"/>
  <c r="E17" i="6"/>
  <c r="D17" i="6"/>
  <c r="C17" i="6"/>
  <c r="M17" i="6" s="1"/>
  <c r="L16" i="6"/>
  <c r="K16" i="6"/>
  <c r="J16" i="6"/>
  <c r="I16" i="6"/>
  <c r="H16" i="6"/>
  <c r="G16" i="6"/>
  <c r="F16" i="6"/>
  <c r="E16" i="6"/>
  <c r="D16" i="6"/>
  <c r="M16" i="6" s="1"/>
  <c r="C16" i="6"/>
  <c r="L15" i="6"/>
  <c r="K15" i="6"/>
  <c r="J15" i="6"/>
  <c r="I15" i="6"/>
  <c r="H15" i="6"/>
  <c r="G15" i="6"/>
  <c r="F15" i="6"/>
  <c r="E15" i="6"/>
  <c r="D15" i="6"/>
  <c r="C15" i="6"/>
  <c r="M15" i="6" s="1"/>
  <c r="L14" i="6"/>
  <c r="K14" i="6"/>
  <c r="J14" i="6"/>
  <c r="I14" i="6"/>
  <c r="H14" i="6"/>
  <c r="G14" i="6"/>
  <c r="F14" i="6"/>
  <c r="E14" i="6"/>
  <c r="D14" i="6"/>
  <c r="M14" i="6" s="1"/>
  <c r="C14" i="6"/>
  <c r="L13" i="6"/>
  <c r="K13" i="6"/>
  <c r="J13" i="6"/>
  <c r="I13" i="6"/>
  <c r="H13" i="6"/>
  <c r="G13" i="6"/>
  <c r="F13" i="6"/>
  <c r="E13" i="6"/>
  <c r="D13" i="6"/>
  <c r="C13" i="6"/>
  <c r="M13" i="6" s="1"/>
  <c r="L12" i="6"/>
  <c r="K12" i="6"/>
  <c r="J12" i="6"/>
  <c r="I12" i="6"/>
  <c r="H12" i="6"/>
  <c r="G12" i="6"/>
  <c r="F12" i="6"/>
  <c r="E12" i="6"/>
  <c r="D12" i="6"/>
  <c r="C12" i="6"/>
  <c r="M12" i="6" s="1"/>
  <c r="L11" i="6"/>
  <c r="K11" i="6"/>
  <c r="J11" i="6"/>
  <c r="I11" i="6"/>
  <c r="H11" i="6"/>
  <c r="G11" i="6"/>
  <c r="F11" i="6"/>
  <c r="E11" i="6"/>
  <c r="M11" i="6" s="1"/>
  <c r="D11" i="6"/>
  <c r="C11" i="6"/>
  <c r="L10" i="6"/>
  <c r="K10" i="6"/>
  <c r="J10" i="6"/>
  <c r="I10" i="6"/>
  <c r="H10" i="6"/>
  <c r="G10" i="6"/>
  <c r="F10" i="6"/>
  <c r="E10" i="6"/>
  <c r="D10" i="6"/>
  <c r="C10" i="6"/>
  <c r="M10" i="6" s="1"/>
  <c r="L9" i="6"/>
  <c r="K9" i="6"/>
  <c r="J9" i="6"/>
  <c r="I9" i="6"/>
  <c r="H9" i="6"/>
  <c r="G9" i="6"/>
  <c r="F9" i="6"/>
  <c r="E9" i="6"/>
  <c r="D9" i="6"/>
  <c r="C9" i="6"/>
  <c r="M9" i="6" s="1"/>
  <c r="L8" i="6"/>
  <c r="K8" i="6"/>
  <c r="J8" i="6"/>
  <c r="I8" i="6"/>
  <c r="H8" i="6"/>
  <c r="G8" i="6"/>
  <c r="F8" i="6"/>
  <c r="E8" i="6"/>
  <c r="D8" i="6"/>
  <c r="M8" i="6" s="1"/>
  <c r="C8" i="6"/>
  <c r="L7" i="6"/>
  <c r="K7" i="6"/>
  <c r="J7" i="6"/>
  <c r="I7" i="6"/>
  <c r="H7" i="6"/>
  <c r="G7" i="6"/>
  <c r="F7" i="6"/>
  <c r="E7" i="6"/>
  <c r="D7" i="6"/>
  <c r="C7" i="6"/>
  <c r="M7" i="6" s="1"/>
  <c r="L6" i="6"/>
  <c r="K6" i="6"/>
  <c r="J6" i="6"/>
  <c r="I6" i="6"/>
  <c r="H6" i="6"/>
  <c r="G6" i="6"/>
  <c r="F6" i="6"/>
  <c r="E6" i="6"/>
  <c r="E25" i="6" s="1"/>
  <c r="E28" i="6" s="1"/>
  <c r="D37" i="2" s="1"/>
  <c r="D6" i="6"/>
  <c r="D25" i="6" s="1"/>
  <c r="D28" i="6" s="1"/>
  <c r="C37" i="2" s="1"/>
  <c r="C6" i="6"/>
  <c r="L5" i="6"/>
  <c r="K5" i="6"/>
  <c r="J5" i="6"/>
  <c r="I5" i="6"/>
  <c r="H5" i="6"/>
  <c r="G5" i="6"/>
  <c r="F5" i="6"/>
  <c r="E5" i="6"/>
  <c r="D5" i="6"/>
  <c r="C5" i="6"/>
  <c r="M5" i="6" s="1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I20" i="5"/>
  <c r="H20" i="5"/>
  <c r="M19" i="5"/>
  <c r="L18" i="5"/>
  <c r="K18" i="5"/>
  <c r="J18" i="5"/>
  <c r="I18" i="5"/>
  <c r="H18" i="5"/>
  <c r="G18" i="5"/>
  <c r="G20" i="5" s="1"/>
  <c r="F18" i="5"/>
  <c r="E18" i="5"/>
  <c r="D18" i="5"/>
  <c r="M18" i="5" s="1"/>
  <c r="C18" i="5"/>
  <c r="M17" i="5"/>
  <c r="M16" i="5"/>
  <c r="M15" i="5"/>
  <c r="L14" i="5"/>
  <c r="K14" i="5"/>
  <c r="J14" i="5"/>
  <c r="I14" i="5"/>
  <c r="H14" i="5"/>
  <c r="G14" i="5"/>
  <c r="F14" i="5"/>
  <c r="E14" i="5"/>
  <c r="D14" i="5"/>
  <c r="C14" i="5"/>
  <c r="M14" i="5" s="1"/>
  <c r="M13" i="5"/>
  <c r="M12" i="5"/>
  <c r="M11" i="5"/>
  <c r="M10" i="5"/>
  <c r="M9" i="5"/>
  <c r="L8" i="5"/>
  <c r="L20" i="5" s="1"/>
  <c r="K8" i="5"/>
  <c r="K20" i="5" s="1"/>
  <c r="J8" i="5"/>
  <c r="J20" i="5" s="1"/>
  <c r="I8" i="5"/>
  <c r="H8" i="5"/>
  <c r="G8" i="5"/>
  <c r="F8" i="5"/>
  <c r="F20" i="5" s="1"/>
  <c r="E8" i="5"/>
  <c r="E20" i="5" s="1"/>
  <c r="D8" i="5"/>
  <c r="D20" i="5" s="1"/>
  <c r="C8" i="5"/>
  <c r="C20" i="5" s="1"/>
  <c r="M7" i="5"/>
  <c r="M6" i="5"/>
  <c r="M5" i="5"/>
  <c r="L140" i="4"/>
  <c r="J140" i="4"/>
  <c r="F140" i="4"/>
  <c r="E140" i="4"/>
  <c r="D140" i="4"/>
  <c r="L139" i="4"/>
  <c r="K139" i="4"/>
  <c r="J139" i="4"/>
  <c r="I139" i="4"/>
  <c r="H139" i="4"/>
  <c r="G139" i="4"/>
  <c r="F139" i="4"/>
  <c r="E139" i="4"/>
  <c r="M139" i="4" s="1"/>
  <c r="D139" i="4"/>
  <c r="C139" i="4"/>
  <c r="M138" i="4"/>
  <c r="M137" i="4"/>
  <c r="M136" i="4"/>
  <c r="M135" i="4"/>
  <c r="M134" i="4"/>
  <c r="L133" i="4"/>
  <c r="K133" i="4"/>
  <c r="K140" i="4" s="1"/>
  <c r="J133" i="4"/>
  <c r="I133" i="4"/>
  <c r="I140" i="4" s="1"/>
  <c r="H133" i="4"/>
  <c r="H140" i="4" s="1"/>
  <c r="G133" i="4"/>
  <c r="G140" i="4" s="1"/>
  <c r="F133" i="4"/>
  <c r="E133" i="4"/>
  <c r="M133" i="4" s="1"/>
  <c r="D133" i="4"/>
  <c r="C133" i="4"/>
  <c r="C140" i="4" s="1"/>
  <c r="M132" i="4"/>
  <c r="M131" i="4"/>
  <c r="L130" i="4"/>
  <c r="J130" i="4"/>
  <c r="F130" i="4"/>
  <c r="E130" i="4"/>
  <c r="D130" i="4"/>
  <c r="L129" i="4"/>
  <c r="K129" i="4"/>
  <c r="J129" i="4"/>
  <c r="I129" i="4"/>
  <c r="H129" i="4"/>
  <c r="H130" i="4" s="1"/>
  <c r="G129" i="4"/>
  <c r="F129" i="4"/>
  <c r="E129" i="4"/>
  <c r="M129" i="4" s="1"/>
  <c r="D129" i="4"/>
  <c r="C129" i="4"/>
  <c r="M128" i="4"/>
  <c r="L127" i="4"/>
  <c r="K127" i="4"/>
  <c r="K130" i="4" s="1"/>
  <c r="J127" i="4"/>
  <c r="I127" i="4"/>
  <c r="I130" i="4" s="1"/>
  <c r="H127" i="4"/>
  <c r="G127" i="4"/>
  <c r="G130" i="4" s="1"/>
  <c r="F127" i="4"/>
  <c r="E127" i="4"/>
  <c r="D127" i="4"/>
  <c r="C127" i="4"/>
  <c r="M127" i="4" s="1"/>
  <c r="M126" i="4"/>
  <c r="M125" i="4"/>
  <c r="M124" i="4"/>
  <c r="M123" i="4"/>
  <c r="M122" i="4"/>
  <c r="M121" i="4"/>
  <c r="L120" i="4"/>
  <c r="K120" i="4"/>
  <c r="J120" i="4"/>
  <c r="I120" i="4"/>
  <c r="H120" i="4"/>
  <c r="G120" i="4"/>
  <c r="F120" i="4"/>
  <c r="E120" i="4"/>
  <c r="D120" i="4"/>
  <c r="M120" i="4" s="1"/>
  <c r="C120" i="4"/>
  <c r="L119" i="4"/>
  <c r="K119" i="4"/>
  <c r="J119" i="4"/>
  <c r="I119" i="4"/>
  <c r="H119" i="4"/>
  <c r="G119" i="4"/>
  <c r="G141" i="4" s="1"/>
  <c r="F119" i="4"/>
  <c r="E119" i="4"/>
  <c r="M119" i="4" s="1"/>
  <c r="D119" i="4"/>
  <c r="C119" i="4"/>
  <c r="L118" i="4"/>
  <c r="L141" i="4" s="1"/>
  <c r="K118" i="4"/>
  <c r="J118" i="4"/>
  <c r="J141" i="4" s="1"/>
  <c r="I118" i="4"/>
  <c r="H118" i="4"/>
  <c r="G118" i="4"/>
  <c r="F118" i="4"/>
  <c r="F141" i="4" s="1"/>
  <c r="E118" i="4"/>
  <c r="E141" i="4" s="1"/>
  <c r="D118" i="4"/>
  <c r="D141" i="4" s="1"/>
  <c r="C118" i="4"/>
  <c r="M118" i="4" s="1"/>
  <c r="M117" i="4"/>
  <c r="M116" i="4"/>
  <c r="M115" i="4"/>
  <c r="L113" i="4"/>
  <c r="K113" i="4"/>
  <c r="I113" i="4"/>
  <c r="E113" i="4"/>
  <c r="D113" i="4"/>
  <c r="C113" i="4"/>
  <c r="L112" i="4"/>
  <c r="K112" i="4"/>
  <c r="J112" i="4"/>
  <c r="I112" i="4"/>
  <c r="H112" i="4"/>
  <c r="G112" i="4"/>
  <c r="F112" i="4"/>
  <c r="E112" i="4"/>
  <c r="D112" i="4"/>
  <c r="M112" i="4" s="1"/>
  <c r="C112" i="4"/>
  <c r="M111" i="4"/>
  <c r="M110" i="4"/>
  <c r="M109" i="4"/>
  <c r="M108" i="4"/>
  <c r="M107" i="4"/>
  <c r="L106" i="4"/>
  <c r="K106" i="4"/>
  <c r="J106" i="4"/>
  <c r="J113" i="4" s="1"/>
  <c r="I106" i="4"/>
  <c r="H106" i="4"/>
  <c r="H113" i="4" s="1"/>
  <c r="G106" i="4"/>
  <c r="G113" i="4" s="1"/>
  <c r="F106" i="4"/>
  <c r="F113" i="4" s="1"/>
  <c r="E106" i="4"/>
  <c r="D106" i="4"/>
  <c r="M106" i="4" s="1"/>
  <c r="C106" i="4"/>
  <c r="M105" i="4"/>
  <c r="M104" i="4"/>
  <c r="L103" i="4"/>
  <c r="K103" i="4"/>
  <c r="I103" i="4"/>
  <c r="E103" i="4"/>
  <c r="D103" i="4"/>
  <c r="C103" i="4"/>
  <c r="L102" i="4"/>
  <c r="K102" i="4"/>
  <c r="J102" i="4"/>
  <c r="I102" i="4"/>
  <c r="H102" i="4"/>
  <c r="G102" i="4"/>
  <c r="G103" i="4" s="1"/>
  <c r="F102" i="4"/>
  <c r="E102" i="4"/>
  <c r="D102" i="4"/>
  <c r="M102" i="4" s="1"/>
  <c r="C102" i="4"/>
  <c r="M101" i="4"/>
  <c r="L100" i="4"/>
  <c r="K100" i="4"/>
  <c r="J100" i="4"/>
  <c r="J103" i="4" s="1"/>
  <c r="I100" i="4"/>
  <c r="H100" i="4"/>
  <c r="H103" i="4" s="1"/>
  <c r="G100" i="4"/>
  <c r="F100" i="4"/>
  <c r="F103" i="4" s="1"/>
  <c r="E100" i="4"/>
  <c r="D100" i="4"/>
  <c r="C100" i="4"/>
  <c r="M100" i="4" s="1"/>
  <c r="M99" i="4"/>
  <c r="M98" i="4"/>
  <c r="M97" i="4"/>
  <c r="M96" i="4"/>
  <c r="M95" i="4"/>
  <c r="M94" i="4"/>
  <c r="L93" i="4"/>
  <c r="K93" i="4"/>
  <c r="J93" i="4"/>
  <c r="I93" i="4"/>
  <c r="H93" i="4"/>
  <c r="G93" i="4"/>
  <c r="F93" i="4"/>
  <c r="E93" i="4"/>
  <c r="D93" i="4"/>
  <c r="C93" i="4"/>
  <c r="M93" i="4" s="1"/>
  <c r="L92" i="4"/>
  <c r="K92" i="4"/>
  <c r="J92" i="4"/>
  <c r="I92" i="4"/>
  <c r="H92" i="4"/>
  <c r="G92" i="4"/>
  <c r="F92" i="4"/>
  <c r="E92" i="4"/>
  <c r="D92" i="4"/>
  <c r="M92" i="4" s="1"/>
  <c r="C92" i="4"/>
  <c r="L91" i="4"/>
  <c r="L114" i="4" s="1"/>
  <c r="K91" i="4"/>
  <c r="K114" i="4" s="1"/>
  <c r="J91" i="4"/>
  <c r="J114" i="4" s="1"/>
  <c r="I91" i="4"/>
  <c r="I114" i="4" s="1"/>
  <c r="H91" i="4"/>
  <c r="G91" i="4"/>
  <c r="F91" i="4"/>
  <c r="E91" i="4"/>
  <c r="E114" i="4" s="1"/>
  <c r="D91" i="4"/>
  <c r="D114" i="4" s="1"/>
  <c r="C91" i="4"/>
  <c r="M91" i="4" s="1"/>
  <c r="M90" i="4"/>
  <c r="M89" i="4"/>
  <c r="M88" i="4"/>
  <c r="L86" i="4"/>
  <c r="K86" i="4"/>
  <c r="J86" i="4"/>
  <c r="H86" i="4"/>
  <c r="D86" i="4"/>
  <c r="C86" i="4"/>
  <c r="L85" i="4"/>
  <c r="K85" i="4"/>
  <c r="J85" i="4"/>
  <c r="I85" i="4"/>
  <c r="H85" i="4"/>
  <c r="G85" i="4"/>
  <c r="F85" i="4"/>
  <c r="E85" i="4"/>
  <c r="M85" i="4" s="1"/>
  <c r="D85" i="4"/>
  <c r="C85" i="4"/>
  <c r="M84" i="4"/>
  <c r="M83" i="4"/>
  <c r="M82" i="4"/>
  <c r="M81" i="4"/>
  <c r="M80" i="4"/>
  <c r="M79" i="4"/>
  <c r="L79" i="4"/>
  <c r="K79" i="4"/>
  <c r="J79" i="4"/>
  <c r="I79" i="4"/>
  <c r="I86" i="4" s="1"/>
  <c r="H79" i="4"/>
  <c r="G79" i="4"/>
  <c r="G86" i="4" s="1"/>
  <c r="F79" i="4"/>
  <c r="F86" i="4" s="1"/>
  <c r="E79" i="4"/>
  <c r="E86" i="4" s="1"/>
  <c r="D79" i="4"/>
  <c r="C79" i="4"/>
  <c r="M78" i="4"/>
  <c r="M77" i="4"/>
  <c r="L76" i="4"/>
  <c r="K76" i="4"/>
  <c r="J76" i="4"/>
  <c r="H76" i="4"/>
  <c r="D76" i="4"/>
  <c r="C76" i="4"/>
  <c r="L75" i="4"/>
  <c r="K75" i="4"/>
  <c r="J75" i="4"/>
  <c r="I75" i="4"/>
  <c r="H75" i="4"/>
  <c r="G75" i="4"/>
  <c r="F75" i="4"/>
  <c r="F76" i="4" s="1"/>
  <c r="E75" i="4"/>
  <c r="M75" i="4" s="1"/>
  <c r="D75" i="4"/>
  <c r="C75" i="4"/>
  <c r="M74" i="4"/>
  <c r="L73" i="4"/>
  <c r="K73" i="4"/>
  <c r="J73" i="4"/>
  <c r="I73" i="4"/>
  <c r="I76" i="4" s="1"/>
  <c r="H73" i="4"/>
  <c r="G73" i="4"/>
  <c r="G76" i="4" s="1"/>
  <c r="F73" i="4"/>
  <c r="E73" i="4"/>
  <c r="E76" i="4" s="1"/>
  <c r="D73" i="4"/>
  <c r="C73" i="4"/>
  <c r="M73" i="4" s="1"/>
  <c r="M72" i="4"/>
  <c r="M71" i="4"/>
  <c r="M70" i="4"/>
  <c r="M69" i="4"/>
  <c r="M68" i="4"/>
  <c r="M67" i="4"/>
  <c r="L66" i="4"/>
  <c r="K66" i="4"/>
  <c r="J66" i="4"/>
  <c r="I66" i="4"/>
  <c r="H66" i="4"/>
  <c r="G66" i="4"/>
  <c r="F66" i="4"/>
  <c r="E66" i="4"/>
  <c r="D66" i="4"/>
  <c r="C66" i="4"/>
  <c r="M66" i="4" s="1"/>
  <c r="M65" i="4"/>
  <c r="L65" i="4"/>
  <c r="K65" i="4"/>
  <c r="J65" i="4"/>
  <c r="I65" i="4"/>
  <c r="H65" i="4"/>
  <c r="G65" i="4"/>
  <c r="F65" i="4"/>
  <c r="E65" i="4"/>
  <c r="E87" i="4" s="1"/>
  <c r="D65" i="4"/>
  <c r="C65" i="4"/>
  <c r="L64" i="4"/>
  <c r="L87" i="4" s="1"/>
  <c r="K64" i="4"/>
  <c r="K87" i="4" s="1"/>
  <c r="J64" i="4"/>
  <c r="J87" i="4" s="1"/>
  <c r="I64" i="4"/>
  <c r="H64" i="4"/>
  <c r="H87" i="4" s="1"/>
  <c r="G64" i="4"/>
  <c r="F64" i="4"/>
  <c r="F87" i="4" s="1"/>
  <c r="E64" i="4"/>
  <c r="D64" i="4"/>
  <c r="D87" i="4" s="1"/>
  <c r="C64" i="4"/>
  <c r="M64" i="4" s="1"/>
  <c r="M63" i="4"/>
  <c r="M62" i="4"/>
  <c r="M61" i="4"/>
  <c r="K59" i="4"/>
  <c r="J59" i="4"/>
  <c r="I59" i="4"/>
  <c r="C59" i="4"/>
  <c r="L58" i="4"/>
  <c r="K58" i="4"/>
  <c r="J58" i="4"/>
  <c r="I58" i="4"/>
  <c r="H58" i="4"/>
  <c r="G58" i="4"/>
  <c r="F58" i="4"/>
  <c r="E58" i="4"/>
  <c r="D58" i="4"/>
  <c r="M58" i="4" s="1"/>
  <c r="C58" i="4"/>
  <c r="M57" i="4"/>
  <c r="M56" i="4"/>
  <c r="M55" i="4"/>
  <c r="M54" i="4"/>
  <c r="M53" i="4"/>
  <c r="L52" i="4"/>
  <c r="L59" i="4" s="1"/>
  <c r="K52" i="4"/>
  <c r="J52" i="4"/>
  <c r="I52" i="4"/>
  <c r="H52" i="4"/>
  <c r="H59" i="4" s="1"/>
  <c r="G52" i="4"/>
  <c r="G59" i="4" s="1"/>
  <c r="F52" i="4"/>
  <c r="F59" i="4" s="1"/>
  <c r="E52" i="4"/>
  <c r="E59" i="4" s="1"/>
  <c r="D52" i="4"/>
  <c r="D59" i="4" s="1"/>
  <c r="C52" i="4"/>
  <c r="M51" i="4"/>
  <c r="M50" i="4"/>
  <c r="K49" i="4"/>
  <c r="J49" i="4"/>
  <c r="I49" i="4"/>
  <c r="C49" i="4"/>
  <c r="L48" i="4"/>
  <c r="K48" i="4"/>
  <c r="J48" i="4"/>
  <c r="I48" i="4"/>
  <c r="H48" i="4"/>
  <c r="G48" i="4"/>
  <c r="F48" i="4"/>
  <c r="E48" i="4"/>
  <c r="E49" i="4" s="1"/>
  <c r="D48" i="4"/>
  <c r="M48" i="4" s="1"/>
  <c r="C48" i="4"/>
  <c r="M47" i="4"/>
  <c r="L46" i="4"/>
  <c r="L49" i="4" s="1"/>
  <c r="K46" i="4"/>
  <c r="J46" i="4"/>
  <c r="I46" i="4"/>
  <c r="H46" i="4"/>
  <c r="H49" i="4" s="1"/>
  <c r="G46" i="4"/>
  <c r="G49" i="4" s="1"/>
  <c r="F46" i="4"/>
  <c r="F49" i="4" s="1"/>
  <c r="E46" i="4"/>
  <c r="D46" i="4"/>
  <c r="D49" i="4" s="1"/>
  <c r="C46" i="4"/>
  <c r="M46" i="4" s="1"/>
  <c r="M45" i="4"/>
  <c r="M44" i="4"/>
  <c r="M43" i="4"/>
  <c r="M42" i="4"/>
  <c r="M41" i="4"/>
  <c r="M40" i="4"/>
  <c r="L39" i="4"/>
  <c r="K39" i="4"/>
  <c r="J39" i="4"/>
  <c r="I39" i="4"/>
  <c r="H39" i="4"/>
  <c r="G39" i="4"/>
  <c r="F39" i="4"/>
  <c r="E39" i="4"/>
  <c r="D39" i="4"/>
  <c r="C39" i="4"/>
  <c r="M39" i="4" s="1"/>
  <c r="L38" i="4"/>
  <c r="L60" i="4" s="1"/>
  <c r="K38" i="4"/>
  <c r="J38" i="4"/>
  <c r="I38" i="4"/>
  <c r="H38" i="4"/>
  <c r="G38" i="4"/>
  <c r="F38" i="4"/>
  <c r="E38" i="4"/>
  <c r="D38" i="4"/>
  <c r="M38" i="4" s="1"/>
  <c r="C38" i="4"/>
  <c r="L37" i="4"/>
  <c r="K37" i="4"/>
  <c r="K60" i="4" s="1"/>
  <c r="J37" i="4"/>
  <c r="J60" i="4" s="1"/>
  <c r="I37" i="4"/>
  <c r="I60" i="4" s="1"/>
  <c r="H37" i="4"/>
  <c r="G37" i="4"/>
  <c r="F37" i="4"/>
  <c r="E37" i="4"/>
  <c r="E60" i="4" s="1"/>
  <c r="D37" i="4"/>
  <c r="C37" i="4"/>
  <c r="C60" i="4" s="1"/>
  <c r="M36" i="4"/>
  <c r="M35" i="4"/>
  <c r="M34" i="4"/>
  <c r="J32" i="4"/>
  <c r="I32" i="4"/>
  <c r="H32" i="4"/>
  <c r="L31" i="4"/>
  <c r="K31" i="4"/>
  <c r="J31" i="4"/>
  <c r="I31" i="4"/>
  <c r="H31" i="4"/>
  <c r="G31" i="4"/>
  <c r="F31" i="4"/>
  <c r="E31" i="4"/>
  <c r="D31" i="4"/>
  <c r="C31" i="4"/>
  <c r="M31" i="4" s="1"/>
  <c r="M30" i="4"/>
  <c r="M29" i="4"/>
  <c r="M28" i="4"/>
  <c r="M27" i="4"/>
  <c r="M26" i="4"/>
  <c r="L25" i="4"/>
  <c r="L32" i="4" s="1"/>
  <c r="K25" i="4"/>
  <c r="K32" i="4" s="1"/>
  <c r="J25" i="4"/>
  <c r="I25" i="4"/>
  <c r="H25" i="4"/>
  <c r="G25" i="4"/>
  <c r="G32" i="4" s="1"/>
  <c r="F25" i="4"/>
  <c r="F32" i="4" s="1"/>
  <c r="E25" i="4"/>
  <c r="E32" i="4" s="1"/>
  <c r="D25" i="4"/>
  <c r="D32" i="4" s="1"/>
  <c r="C25" i="4"/>
  <c r="C32" i="4" s="1"/>
  <c r="M24" i="4"/>
  <c r="M23" i="4"/>
  <c r="J22" i="4"/>
  <c r="I22" i="4"/>
  <c r="H22" i="4"/>
  <c r="L21" i="4"/>
  <c r="L22" i="4" s="1"/>
  <c r="K21" i="4"/>
  <c r="J21" i="4"/>
  <c r="I21" i="4"/>
  <c r="H21" i="4"/>
  <c r="G21" i="4"/>
  <c r="F21" i="4"/>
  <c r="E21" i="4"/>
  <c r="D21" i="4"/>
  <c r="D22" i="4" s="1"/>
  <c r="C21" i="4"/>
  <c r="M21" i="4" s="1"/>
  <c r="M20" i="4"/>
  <c r="L19" i="4"/>
  <c r="K19" i="4"/>
  <c r="K22" i="4" s="1"/>
  <c r="J19" i="4"/>
  <c r="I19" i="4"/>
  <c r="H19" i="4"/>
  <c r="G19" i="4"/>
  <c r="G22" i="4" s="1"/>
  <c r="F19" i="4"/>
  <c r="F22" i="4" s="1"/>
  <c r="E19" i="4"/>
  <c r="E22" i="4" s="1"/>
  <c r="D19" i="4"/>
  <c r="C19" i="4"/>
  <c r="C22" i="4" s="1"/>
  <c r="M18" i="4"/>
  <c r="M17" i="4"/>
  <c r="M16" i="4"/>
  <c r="M15" i="4"/>
  <c r="M14" i="4"/>
  <c r="M13" i="4"/>
  <c r="L12" i="4"/>
  <c r="K12" i="4"/>
  <c r="J12" i="4"/>
  <c r="I12" i="4"/>
  <c r="H12" i="4"/>
  <c r="G12" i="4"/>
  <c r="F12" i="4"/>
  <c r="E12" i="4"/>
  <c r="D12" i="4"/>
  <c r="C12" i="4"/>
  <c r="M12" i="4" s="1"/>
  <c r="L11" i="4"/>
  <c r="K11" i="4"/>
  <c r="J11" i="4"/>
  <c r="I11" i="4"/>
  <c r="H11" i="4"/>
  <c r="G11" i="4"/>
  <c r="F11" i="4"/>
  <c r="E11" i="4"/>
  <c r="D11" i="4"/>
  <c r="C11" i="4"/>
  <c r="M11" i="4" s="1"/>
  <c r="L10" i="4"/>
  <c r="K10" i="4"/>
  <c r="J10" i="4"/>
  <c r="J33" i="4" s="1"/>
  <c r="J142" i="4" s="1"/>
  <c r="J143" i="4" s="1"/>
  <c r="J144" i="4" s="1"/>
  <c r="I10" i="4"/>
  <c r="I33" i="4" s="1"/>
  <c r="H10" i="4"/>
  <c r="H33" i="4" s="1"/>
  <c r="G10" i="4"/>
  <c r="F10" i="4"/>
  <c r="E10" i="4"/>
  <c r="D10" i="4"/>
  <c r="C10" i="4"/>
  <c r="M9" i="4"/>
  <c r="M8" i="4"/>
  <c r="M7" i="4"/>
  <c r="L5" i="4"/>
  <c r="K5" i="4"/>
  <c r="J5" i="4"/>
  <c r="I5" i="4"/>
  <c r="H5" i="4"/>
  <c r="G5" i="4"/>
  <c r="F5" i="4"/>
  <c r="E5" i="4"/>
  <c r="D5" i="4"/>
  <c r="C5" i="4"/>
  <c r="M5" i="4" s="1"/>
  <c r="G7" i="3"/>
  <c r="F7" i="3"/>
  <c r="E7" i="3"/>
  <c r="K6" i="3"/>
  <c r="J6" i="3"/>
  <c r="I6" i="3"/>
  <c r="I7" i="3" s="1"/>
  <c r="H6" i="3"/>
  <c r="H7" i="3" s="1"/>
  <c r="G6" i="3"/>
  <c r="F6" i="3"/>
  <c r="E6" i="3"/>
  <c r="D6" i="3"/>
  <c r="C6" i="3"/>
  <c r="B6" i="3"/>
  <c r="L6" i="3" s="1"/>
  <c r="K5" i="3"/>
  <c r="K7" i="3" s="1"/>
  <c r="J5" i="3"/>
  <c r="J7" i="3" s="1"/>
  <c r="I5" i="3"/>
  <c r="H5" i="3"/>
  <c r="G5" i="3"/>
  <c r="F5" i="3"/>
  <c r="E5" i="3"/>
  <c r="D5" i="3"/>
  <c r="D7" i="3" s="1"/>
  <c r="C5" i="3"/>
  <c r="C7" i="3" s="1"/>
  <c r="B5" i="3"/>
  <c r="L5" i="3" s="1"/>
  <c r="K43" i="2"/>
  <c r="J43" i="2"/>
  <c r="I43" i="2"/>
  <c r="H43" i="2"/>
  <c r="G43" i="2"/>
  <c r="F43" i="2"/>
  <c r="E43" i="2"/>
  <c r="D43" i="2"/>
  <c r="C43" i="2"/>
  <c r="B43" i="2"/>
  <c r="E36" i="2"/>
  <c r="E39" i="2" s="1"/>
  <c r="K35" i="2"/>
  <c r="J35" i="2"/>
  <c r="I35" i="2"/>
  <c r="H35" i="2"/>
  <c r="G35" i="2"/>
  <c r="F35" i="2"/>
  <c r="E35" i="2"/>
  <c r="D35" i="2"/>
  <c r="C35" i="2"/>
  <c r="B35" i="2"/>
  <c r="K34" i="2"/>
  <c r="J34" i="2"/>
  <c r="I34" i="2"/>
  <c r="H34" i="2"/>
  <c r="G34" i="2"/>
  <c r="F34" i="2"/>
  <c r="E34" i="2"/>
  <c r="D34" i="2"/>
  <c r="C34" i="2"/>
  <c r="B34" i="2"/>
  <c r="K31" i="2"/>
  <c r="J31" i="2"/>
  <c r="I31" i="2"/>
  <c r="H31" i="2"/>
  <c r="G31" i="2"/>
  <c r="F31" i="2"/>
  <c r="E31" i="2"/>
  <c r="D31" i="2"/>
  <c r="C31" i="2"/>
  <c r="B31" i="2"/>
  <c r="K28" i="2"/>
  <c r="J28" i="2"/>
  <c r="I28" i="2"/>
  <c r="H28" i="2"/>
  <c r="G28" i="2"/>
  <c r="F28" i="2"/>
  <c r="E28" i="2"/>
  <c r="K27" i="2"/>
  <c r="J27" i="2"/>
  <c r="I27" i="2"/>
  <c r="H27" i="2"/>
  <c r="G27" i="2"/>
  <c r="F27" i="2"/>
  <c r="E27" i="2"/>
  <c r="B27" i="2"/>
  <c r="B28" i="2" s="1"/>
  <c r="K26" i="2"/>
  <c r="J26" i="2"/>
  <c r="I26" i="2"/>
  <c r="H26" i="2"/>
  <c r="G26" i="2"/>
  <c r="F26" i="2"/>
  <c r="E26" i="2"/>
  <c r="D26" i="2"/>
  <c r="D27" i="2" s="1"/>
  <c r="D28" i="2" s="1"/>
  <c r="C26" i="2"/>
  <c r="C27" i="2" s="1"/>
  <c r="C28" i="2" s="1"/>
  <c r="B26" i="2"/>
  <c r="B21" i="2"/>
  <c r="L8" i="2"/>
  <c r="K33" i="4" l="1"/>
  <c r="K142" i="4" s="1"/>
  <c r="K143" i="4" s="1"/>
  <c r="K144" i="4" s="1"/>
  <c r="H60" i="4"/>
  <c r="H142" i="4" s="1"/>
  <c r="H143" i="4" s="1"/>
  <c r="H144" i="4" s="1"/>
  <c r="I87" i="4"/>
  <c r="H114" i="4"/>
  <c r="M103" i="4"/>
  <c r="F33" i="4"/>
  <c r="M113" i="4"/>
  <c r="D38" i="2"/>
  <c r="D39" i="2"/>
  <c r="G33" i="4"/>
  <c r="G142" i="4" s="1"/>
  <c r="G143" i="4" s="1"/>
  <c r="G144" i="4" s="1"/>
  <c r="M22" i="4"/>
  <c r="F60" i="4"/>
  <c r="K141" i="4"/>
  <c r="M140" i="4"/>
  <c r="K39" i="2"/>
  <c r="K38" i="2"/>
  <c r="M59" i="4"/>
  <c r="G87" i="4"/>
  <c r="G114" i="4"/>
  <c r="M20" i="5"/>
  <c r="C8" i="8" s="1"/>
  <c r="H38" i="2"/>
  <c r="H39" i="2"/>
  <c r="F38" i="2"/>
  <c r="F39" i="2"/>
  <c r="I142" i="4"/>
  <c r="I143" i="4" s="1"/>
  <c r="I144" i="4" s="1"/>
  <c r="E33" i="4"/>
  <c r="E142" i="4" s="1"/>
  <c r="E143" i="4" s="1"/>
  <c r="E144" i="4" s="1"/>
  <c r="M32" i="4"/>
  <c r="M49" i="4"/>
  <c r="M76" i="4"/>
  <c r="F114" i="4"/>
  <c r="I141" i="4"/>
  <c r="G38" i="2"/>
  <c r="G39" i="2"/>
  <c r="M86" i="4"/>
  <c r="I39" i="2"/>
  <c r="I38" i="2"/>
  <c r="D33" i="4"/>
  <c r="L33" i="4"/>
  <c r="L142" i="4" s="1"/>
  <c r="L143" i="4" s="1"/>
  <c r="L144" i="4" s="1"/>
  <c r="G60" i="4"/>
  <c r="H141" i="4"/>
  <c r="B36" i="2"/>
  <c r="J39" i="2"/>
  <c r="J38" i="2"/>
  <c r="M19" i="4"/>
  <c r="C33" i="4"/>
  <c r="M37" i="4"/>
  <c r="D60" i="4"/>
  <c r="M60" i="4" s="1"/>
  <c r="M10" i="4"/>
  <c r="C130" i="4"/>
  <c r="M130" i="4" s="1"/>
  <c r="E93" i="9"/>
  <c r="E97" i="9"/>
  <c r="E125" i="9"/>
  <c r="E133" i="9"/>
  <c r="C25" i="6"/>
  <c r="M52" i="4"/>
  <c r="M6" i="6"/>
  <c r="M6" i="7"/>
  <c r="D9" i="7"/>
  <c r="C36" i="2" s="1"/>
  <c r="E90" i="9"/>
  <c r="E94" i="9"/>
  <c r="E98" i="9"/>
  <c r="E126" i="9"/>
  <c r="E130" i="9"/>
  <c r="M25" i="4"/>
  <c r="C141" i="4"/>
  <c r="C114" i="4"/>
  <c r="M8" i="5"/>
  <c r="E91" i="9"/>
  <c r="E95" i="9"/>
  <c r="E99" i="9"/>
  <c r="E123" i="9"/>
  <c r="E127" i="9"/>
  <c r="E131" i="9"/>
  <c r="B7" i="3"/>
  <c r="L7" i="3" s="1"/>
  <c r="C87" i="4"/>
  <c r="E92" i="9"/>
  <c r="E96" i="9"/>
  <c r="E124" i="9"/>
  <c r="E128" i="9"/>
  <c r="L36" i="2" l="1"/>
  <c r="M25" i="6"/>
  <c r="C28" i="6"/>
  <c r="C142" i="4"/>
  <c r="M33" i="4"/>
  <c r="D142" i="4"/>
  <c r="D143" i="4" s="1"/>
  <c r="D144" i="4" s="1"/>
  <c r="M87" i="4"/>
  <c r="C16" i="8"/>
  <c r="F142" i="4"/>
  <c r="F143" i="4" s="1"/>
  <c r="F144" i="4" s="1"/>
  <c r="M114" i="4"/>
  <c r="C38" i="2"/>
  <c r="C39" i="2" s="1"/>
  <c r="M141" i="4"/>
  <c r="M9" i="7"/>
  <c r="C10" i="8" s="1"/>
  <c r="C18" i="8" s="1"/>
  <c r="C143" i="4" l="1"/>
  <c r="M142" i="4"/>
  <c r="B37" i="2"/>
  <c r="M28" i="6"/>
  <c r="C9" i="8" s="1"/>
  <c r="C17" i="8" s="1"/>
  <c r="L37" i="2" l="1"/>
  <c r="B38" i="2"/>
  <c r="L38" i="2" s="1"/>
  <c r="C144" i="4"/>
  <c r="M144" i="4" s="1"/>
  <c r="C7" i="8" s="1"/>
  <c r="M143" i="4"/>
  <c r="C15" i="8" l="1"/>
  <c r="C19" i="8" s="1"/>
  <c r="C11" i="8"/>
  <c r="B3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14" authorId="0" shapeId="0" xr:uid="{00000000-0006-0000-0800-000001000000}">
      <text>
        <r>
          <rPr>
            <sz val="11"/>
            <color theme="1"/>
            <rFont val="Calibri"/>
            <scheme val="minor"/>
          </rPr>
          <t>======
ID#AAAAmxMNqnc
MYNARD Louise    (2023-01-02 10:21:26)
MYNARD Louise
attente de la modif texte méthode pour préciser unités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1MuKaNVTfAJKPfEW2/U2cq2SgFw=="/>
    </ext>
  </extLst>
</comments>
</file>

<file path=xl/sharedStrings.xml><?xml version="1.0" encoding="utf-8"?>
<sst xmlns="http://schemas.openxmlformats.org/spreadsheetml/2006/main" count="904" uniqueCount="352">
  <si>
    <t>Les cellules à remplir sont indiquées en jaune (si vous ne parvenez pas à supprimer une donnée, tappez sur Suppr)</t>
  </si>
  <si>
    <t>Ce calculateur a été élaboré par le Minitère de la Transition Ecologique et permet notamment de calculer les réductions d'émissions associés aux projets suivant la méthode "Plantation de vergers".</t>
  </si>
  <si>
    <r>
      <rPr>
        <sz val="14"/>
        <color theme="1"/>
        <rFont val="Calibri"/>
      </rPr>
      <t xml:space="preserve">Tout projet demandant le label bas-carbone au titre de la méthode "Plantation de vergers" devra utiliser ce calculateur. Il se compose de 7 onglets.
</t>
    </r>
    <r>
      <rPr>
        <sz val="14"/>
        <color theme="1"/>
        <rFont val="Symbol"/>
      </rPr>
      <t>®</t>
    </r>
    <r>
      <rPr>
        <sz val="14"/>
        <color theme="1"/>
        <rFont val="Calibri"/>
      </rPr>
      <t xml:space="preserve"> </t>
    </r>
    <r>
      <rPr>
        <sz val="14"/>
        <color theme="1"/>
        <rFont val="Calibri"/>
      </rPr>
      <t xml:space="preserve">un onglet </t>
    </r>
    <r>
      <rPr>
        <b/>
        <sz val="14"/>
        <color theme="1"/>
        <rFont val="Calibri"/>
      </rPr>
      <t xml:space="preserve">Eligibilité_projet </t>
    </r>
    <r>
      <rPr>
        <sz val="14"/>
        <color theme="1"/>
        <rFont val="Calibri"/>
      </rPr>
      <t xml:space="preserve">où le porteur de projet </t>
    </r>
    <r>
      <rPr>
        <u/>
        <sz val="14"/>
        <color theme="1"/>
        <rFont val="Calibri"/>
      </rPr>
      <t>doit renseigner</t>
    </r>
    <r>
      <rPr>
        <sz val="14"/>
        <color theme="1"/>
        <rFont val="Calibri"/>
      </rPr>
      <t xml:space="preserve"> les principales informations du projet afin s'il est éligible ou non.</t>
    </r>
    <r>
      <rPr>
        <sz val="14"/>
        <color theme="1"/>
        <rFont val="Calibri"/>
      </rPr>
      <t xml:space="preserve">
</t>
    </r>
    <r>
      <rPr>
        <sz val="14"/>
        <color theme="1"/>
        <rFont val="Symbol"/>
      </rPr>
      <t xml:space="preserve">® </t>
    </r>
    <r>
      <rPr>
        <sz val="14"/>
        <color theme="1"/>
        <rFont val="Calibri"/>
      </rPr>
      <t xml:space="preserve">un onglet </t>
    </r>
    <r>
      <rPr>
        <b/>
        <sz val="14"/>
        <color theme="1"/>
        <rFont val="Calibri"/>
      </rPr>
      <t>RECeff + REIamont (1)</t>
    </r>
    <r>
      <rPr>
        <sz val="12"/>
        <color theme="1"/>
        <rFont val="Calibri"/>
      </rPr>
      <t xml:space="preserve"> </t>
    </r>
    <r>
      <rPr>
        <sz val="14"/>
        <color theme="1"/>
        <rFont val="Calibri"/>
      </rPr>
      <t xml:space="preserve">que le porteur de projet </t>
    </r>
    <r>
      <rPr>
        <u/>
        <sz val="14"/>
        <color theme="1"/>
        <rFont val="Calibri"/>
      </rPr>
      <t>n'a pas à remplir</t>
    </r>
    <r>
      <rPr>
        <sz val="14"/>
        <color theme="1"/>
        <rFont val="Calibri"/>
      </rPr>
      <t xml:space="preserve">. Cet onglet permet d'utiliser le facteur d’émissions de la culture fruitière implantée grace au référentiel Agribalyse. Il permet de simplifier les calculs dans trois cas particuliers : si le porteur de projet souhaite planter des pommiers et/ou des pêchers et/ou des clémentiniers. </t>
    </r>
    <r>
      <rPr>
        <u/>
        <sz val="14"/>
        <color theme="1"/>
        <rFont val="Calibri"/>
      </rPr>
      <t xml:space="preserve">S'il choisit cette option, l'onglet suivant, </t>
    </r>
    <r>
      <rPr>
        <b/>
        <u/>
        <sz val="14"/>
        <color theme="1"/>
        <rFont val="Calibri"/>
      </rPr>
      <t>RECeff + REIamont (2)</t>
    </r>
    <r>
      <rPr>
        <u/>
        <sz val="14"/>
        <color theme="1"/>
        <rFont val="Calibri"/>
      </rPr>
      <t xml:space="preserve"> n'est pas à compléter</t>
    </r>
    <r>
      <rPr>
        <sz val="14"/>
        <color theme="1"/>
        <rFont val="Calibri"/>
      </rPr>
      <t xml:space="preserve">. </t>
    </r>
    <r>
      <rPr>
        <sz val="14"/>
        <color theme="1"/>
        <rFont val="Symbol"/>
      </rPr>
      <t xml:space="preserve">
® </t>
    </r>
    <r>
      <rPr>
        <sz val="14"/>
        <color theme="1"/>
        <rFont val="Calibri"/>
      </rPr>
      <t xml:space="preserve">un onglet </t>
    </r>
    <r>
      <rPr>
        <b/>
        <sz val="14"/>
        <color theme="1"/>
        <rFont val="Calibri"/>
      </rPr>
      <t>RECeff + REIamont (2)</t>
    </r>
    <r>
      <rPr>
        <sz val="14"/>
        <color theme="1"/>
        <rFont val="Calibri"/>
      </rPr>
      <t xml:space="preserve"> dans lequel le porteur de projet </t>
    </r>
    <r>
      <rPr>
        <u/>
        <sz val="14"/>
        <color theme="1"/>
        <rFont val="Calibri"/>
      </rPr>
      <t>doit renseigner</t>
    </r>
    <r>
      <rPr>
        <sz val="14"/>
        <color theme="1"/>
        <rFont val="Calibri"/>
      </rPr>
      <t xml:space="preserve"> son plan d'action en matière de fertilisation, de traitement phytosanitaire, d'énergie et d'eau durant les 5 premières annéees. Cet onglet correspond au calcul des réductions d’émissions de  gaz  à  effet  de  serre classiques effectuées et aux réductions d’émissions indirectes  amont. Attention à bien remplir les cases jusqu'à la 5ème année.</t>
    </r>
    <r>
      <rPr>
        <sz val="14"/>
        <color theme="1"/>
        <rFont val="Symbol"/>
      </rPr>
      <t xml:space="preserve">
® </t>
    </r>
    <r>
      <rPr>
        <sz val="14"/>
        <color theme="1"/>
        <rFont val="Calibri"/>
      </rPr>
      <t xml:space="preserve">un onglet </t>
    </r>
    <r>
      <rPr>
        <b/>
        <sz val="14"/>
        <color theme="1"/>
        <rFont val="Calibri"/>
      </rPr>
      <t>REIaval</t>
    </r>
    <r>
      <rPr>
        <sz val="14"/>
        <color theme="1"/>
        <rFont val="Calibri"/>
      </rPr>
      <t xml:space="preserve"> que le porteur de projet </t>
    </r>
    <r>
      <rPr>
        <u/>
        <sz val="14"/>
        <color theme="1"/>
        <rFont val="Calibri"/>
      </rPr>
      <t>peut choisir de remplir ou non</t>
    </r>
    <r>
      <rPr>
        <sz val="14"/>
        <color theme="1"/>
        <rFont val="Calibri"/>
      </rPr>
      <t xml:space="preserve"> s'il fait le choix de valoriser des coproduits du verger en énergie.</t>
    </r>
    <r>
      <rPr>
        <sz val="14"/>
        <color theme="1"/>
        <rFont val="Symbol"/>
      </rPr>
      <t xml:space="preserve">
® </t>
    </r>
    <r>
      <rPr>
        <sz val="14"/>
        <color theme="1"/>
        <rFont val="Calibri"/>
      </rPr>
      <t xml:space="preserve">un onglet </t>
    </r>
    <r>
      <rPr>
        <b/>
        <sz val="14"/>
        <color theme="1"/>
        <rFont val="Calibri"/>
      </rPr>
      <t>RECant_biom</t>
    </r>
    <r>
      <rPr>
        <sz val="14"/>
        <color theme="1"/>
        <rFont val="Calibri"/>
      </rPr>
      <t xml:space="preserve"> qui permet de calculter les réductions d’émissions anticipées liées au stockage du carbone dans la biomasse. Le porteur de projet </t>
    </r>
    <r>
      <rPr>
        <u/>
        <sz val="14"/>
        <color theme="1"/>
        <rFont val="Calibri"/>
      </rPr>
      <t>n'a pas à remplir</t>
    </r>
    <r>
      <rPr>
        <sz val="14"/>
        <color theme="1"/>
        <rFont val="Calibri"/>
      </rPr>
      <t xml:space="preserve"> cet onglet, le calcul est automatisé. </t>
    </r>
    <r>
      <rPr>
        <sz val="14"/>
        <color theme="1"/>
        <rFont val="Symbol"/>
      </rPr>
      <t xml:space="preserve">
® </t>
    </r>
    <r>
      <rPr>
        <sz val="14"/>
        <color theme="1"/>
        <rFont val="Calibri"/>
      </rPr>
      <t>un onglet</t>
    </r>
    <r>
      <rPr>
        <b/>
        <sz val="14"/>
        <color theme="1"/>
        <rFont val="Calibri"/>
      </rPr>
      <t xml:space="preserve"> RECant_sol</t>
    </r>
    <r>
      <rPr>
        <sz val="14"/>
        <color theme="1"/>
        <rFont val="Calibri"/>
      </rPr>
      <t xml:space="preserve"> qui permet de calculter les réductions d’émissions liées au stockage du carbone dans le sol. Le porteur de projet </t>
    </r>
    <r>
      <rPr>
        <u/>
        <sz val="14"/>
        <color theme="1"/>
        <rFont val="Calibri"/>
      </rPr>
      <t>n'a pas à remplir</t>
    </r>
    <r>
      <rPr>
        <sz val="14"/>
        <color theme="1"/>
        <rFont val="Calibri"/>
      </rPr>
      <t xml:space="preserve"> cet onglet, le calcul est automatisé.</t>
    </r>
    <r>
      <rPr>
        <sz val="14"/>
        <color theme="1"/>
        <rFont val="Symbol"/>
      </rPr>
      <t xml:space="preserve">
®</t>
    </r>
    <r>
      <rPr>
        <sz val="14"/>
        <color theme="1"/>
        <rFont val="Calibri"/>
      </rPr>
      <t xml:space="preserve"> un onglet </t>
    </r>
    <r>
      <rPr>
        <b/>
        <sz val="14"/>
        <color theme="1"/>
        <rFont val="Calibri"/>
      </rPr>
      <t>RE</t>
    </r>
    <r>
      <rPr>
        <sz val="14"/>
        <color theme="1"/>
        <rFont val="Calibri"/>
      </rPr>
      <t xml:space="preserve"> permet de faire la somme des réductions d'émissions du projet et d'affecter les rabais. Le porteur de projet </t>
    </r>
    <r>
      <rPr>
        <u/>
        <sz val="14"/>
        <color theme="1"/>
        <rFont val="Calibri"/>
      </rPr>
      <t>n'a pas à remplir</t>
    </r>
    <r>
      <rPr>
        <sz val="14"/>
        <color theme="1"/>
        <rFont val="Calibri"/>
      </rPr>
      <t xml:space="preserve"> cet onglet, le calcul est automatisé. Les valeurs finales qui y sont inscrites doivent être retranscrites dans le Document Descriptif de Projet.</t>
    </r>
  </si>
  <si>
    <r>
      <rPr>
        <sz val="14"/>
        <color theme="1"/>
        <rFont val="Calibri"/>
      </rPr>
      <t>Pour que le tableur fonctionne correctement, vous devez</t>
    </r>
    <r>
      <rPr>
        <b/>
        <sz val="14"/>
        <color theme="1"/>
        <rFont val="Calibri"/>
      </rPr>
      <t xml:space="preserve"> l'enregistrer </t>
    </r>
    <r>
      <rPr>
        <sz val="14"/>
        <color theme="1"/>
        <rFont val="Calibri"/>
      </rPr>
      <t>sur votre ordinateur. 
Si vous effectuez des modifications et que vous ne les voyez pas apparaître, tentez de</t>
    </r>
    <r>
      <rPr>
        <b/>
        <sz val="14"/>
        <color theme="1"/>
        <rFont val="Calibri"/>
      </rPr>
      <t xml:space="preserve"> l'enregistrer de nouveau</t>
    </r>
    <r>
      <rPr>
        <sz val="14"/>
        <color theme="1"/>
        <rFont val="Calibri"/>
      </rPr>
      <t xml:space="preserve"> (CTRL + S).</t>
    </r>
  </si>
  <si>
    <r>
      <rPr>
        <sz val="12"/>
        <color theme="1"/>
        <rFont val="Calibri"/>
      </rPr>
      <t xml:space="preserve">Si vous plantez des </t>
    </r>
    <r>
      <rPr>
        <b/>
        <sz val="12"/>
        <color theme="1"/>
        <rFont val="Calibri"/>
      </rPr>
      <t>pommiers et/ou des pêchers et/ou des clémentiniers</t>
    </r>
    <r>
      <rPr>
        <sz val="12"/>
        <color theme="1"/>
        <rFont val="Calibri"/>
      </rPr>
      <t xml:space="preserve"> (espèces du référentiel Agribalyse), souhaitez vous utiliser l'option simplifiée pour le calcul des RECeff + REIamont ? NB: si vous plantez d'autres espèces, vous ne pouvez pas prendre cette option.
Si oui, les résultats seront indiqués dans l'onglet </t>
    </r>
    <r>
      <rPr>
        <sz val="12"/>
        <color rgb="FF2F5496"/>
        <rFont val="Calibri"/>
      </rPr>
      <t>RECeff + REIamont (1)</t>
    </r>
    <r>
      <rPr>
        <sz val="12"/>
        <color theme="1"/>
        <rFont val="Calibri"/>
      </rPr>
      <t xml:space="preserve"> et vous n'avez pas à remplir l'onglet </t>
    </r>
    <r>
      <rPr>
        <sz val="12"/>
        <color rgb="FF2F5496"/>
        <rFont val="Calibri"/>
      </rPr>
      <t>RECeff + REIamont (2)</t>
    </r>
    <r>
      <rPr>
        <sz val="12"/>
        <color theme="1"/>
        <rFont val="Calibri"/>
      </rPr>
      <t xml:space="preserve">
Si non, vous devez remplir l'onflet </t>
    </r>
    <r>
      <rPr>
        <sz val="12"/>
        <color rgb="FF2F5496"/>
        <rFont val="Calibri"/>
      </rPr>
      <t>RECeff + REIamont (2)</t>
    </r>
  </si>
  <si>
    <t>NON</t>
  </si>
  <si>
    <t>OUI</t>
  </si>
  <si>
    <t>INFORMATIONS (une seule espèce/parcelle)</t>
  </si>
  <si>
    <t>Parcelle 1</t>
  </si>
  <si>
    <t>Parcelle 2</t>
  </si>
  <si>
    <t>Parcelle 3</t>
  </si>
  <si>
    <t>Parcelle 4</t>
  </si>
  <si>
    <t>Parcelle 5</t>
  </si>
  <si>
    <t>Parcelle 6</t>
  </si>
  <si>
    <t>Parcelle 7</t>
  </si>
  <si>
    <t>Parcelle 8</t>
  </si>
  <si>
    <t>Parcelle 9</t>
  </si>
  <si>
    <t>Parcelle 10</t>
  </si>
  <si>
    <t>TOTAL</t>
  </si>
  <si>
    <t xml:space="preserve">Commune </t>
  </si>
  <si>
    <t>Surface parcelle (ha)</t>
  </si>
  <si>
    <t>Espèce plantée</t>
  </si>
  <si>
    <t>Pommier</t>
  </si>
  <si>
    <t>Espèce selon référentiel Agribalyse (à compléter si vous souhaitez planter des pommiers/pêchers/clémentiniers)</t>
  </si>
  <si>
    <t>Pomme de table, conventionnelle – Moyenne nationale (France)</t>
  </si>
  <si>
    <t>Type de plantation</t>
  </si>
  <si>
    <t>Axe</t>
  </si>
  <si>
    <t>Densité objectif de plantation (plants/ha)</t>
  </si>
  <si>
    <t>Climat de la zone de plantation</t>
  </si>
  <si>
    <t>Hors climat Mediterranéen</t>
  </si>
  <si>
    <t>Durée de vie prévue du verger (années)</t>
  </si>
  <si>
    <t>% enherbement prévu</t>
  </si>
  <si>
    <t>Usage de référence</t>
  </si>
  <si>
    <t>Grandes cultures</t>
  </si>
  <si>
    <r>
      <rPr>
        <b/>
        <sz val="10"/>
        <color theme="1"/>
        <rFont val="Calibri"/>
      </rPr>
      <t xml:space="preserve">Culture en place année n-1 </t>
    </r>
    <r>
      <rPr>
        <sz val="10"/>
        <color theme="1"/>
        <rFont val="Calibri"/>
      </rPr>
      <t>(ou culture qui s'en rapproche le plus si elle n'est pas dans la liste, sauf cas extreme et contacter le service instructeur)</t>
    </r>
  </si>
  <si>
    <t>Maïs ensilage, conventionnel – Moyenne nationale (France)</t>
  </si>
  <si>
    <r>
      <rPr>
        <b/>
        <sz val="10"/>
        <color theme="1"/>
        <rFont val="Calibri"/>
      </rPr>
      <t>Culture en place année n-2 (</t>
    </r>
    <r>
      <rPr>
        <sz val="10"/>
        <color theme="1"/>
        <rFont val="Calibri"/>
      </rPr>
      <t>ou culture qui s'en rapproche le plus si elle n'est pas dans la liste, sauf cas extreme et contacter le service instructeur)</t>
    </r>
  </si>
  <si>
    <t>Colza, conventionnel, 9% humidité – Moyenne nationale (France)</t>
  </si>
  <si>
    <t>Culture en place année n-3  (ou culture qui s'en rapproche le plus si elle n'est pas dans la liste, sauf cas extreme et contacter le service instructeur)</t>
  </si>
  <si>
    <t>Blé tendre conventionnel, panifiable, 15% humidité</t>
  </si>
  <si>
    <r>
      <rPr>
        <b/>
        <sz val="11"/>
        <color theme="1"/>
        <rFont val="Calibri"/>
      </rPr>
      <t xml:space="preserve">SAU en cultures fruitières de l'exploitation avant-projet </t>
    </r>
    <r>
      <rPr>
        <b/>
        <i/>
        <sz val="10"/>
        <color theme="1"/>
        <rFont val="Calibri"/>
      </rPr>
      <t>(moyenne des 3 dernières années)</t>
    </r>
  </si>
  <si>
    <r>
      <rPr>
        <b/>
        <sz val="11"/>
        <color theme="1"/>
        <rFont val="Calibri"/>
      </rPr>
      <t>SAU en culture fruitières à l'échelle de l'exploitation en phase de projet</t>
    </r>
    <r>
      <rPr>
        <b/>
        <i/>
        <sz val="10"/>
        <color theme="1"/>
        <rFont val="Calibri"/>
      </rPr>
      <t xml:space="preserve"> (moyenne des 5 années de projet)</t>
    </r>
  </si>
  <si>
    <t>CRITERE D'ELIGIBILITE</t>
  </si>
  <si>
    <t>Critère d'éligibilité 1 - Densité minimale de plants</t>
  </si>
  <si>
    <t>Espèce - Type plantation</t>
  </si>
  <si>
    <t>Densité objectif minimale</t>
  </si>
  <si>
    <r>
      <rPr>
        <b/>
        <sz val="11"/>
        <color theme="1"/>
        <rFont val="Calibri"/>
      </rPr>
      <t>Validation critère</t>
    </r>
    <r>
      <rPr>
        <sz val="11"/>
        <color theme="1"/>
        <rFont val="Calibri"/>
      </rPr>
      <t xml:space="preserve"> (si le tableur affiche #N/A, la validatation de ce critèrte sera déteminée par le service instructeur)</t>
    </r>
  </si>
  <si>
    <t>Critère d'éligibilité 2 - Augmentation de la surface nette en culture fruitière</t>
  </si>
  <si>
    <t xml:space="preserve">Validation critère </t>
  </si>
  <si>
    <t>Critère d'éligibilité 3 - Augmentation du stock de carbone total</t>
  </si>
  <si>
    <t>Climat-Usage de référence</t>
  </si>
  <si>
    <t>Durée de vie - Usage de référence</t>
  </si>
  <si>
    <t>Estimation REC ANT_SOL (en teqCO2)</t>
  </si>
  <si>
    <t>Estimation REC ANT_BIOM (en teqCO2)</t>
  </si>
  <si>
    <t>Estimation REC ANT_SOL + REC ANT_BIOM (en teq CO2)</t>
  </si>
  <si>
    <t>Critère d'éligibilité 4 - Enherbement du verger sur au moins 50% de sa surface</t>
  </si>
  <si>
    <t>Rien n'est à compléter</t>
  </si>
  <si>
    <t>Somme des parcelles</t>
  </si>
  <si>
    <t>EGES ref (en teqCO2/ha/an)</t>
  </si>
  <si>
    <t>EGES projet (en teqCO2/ha/an)</t>
  </si>
  <si>
    <t>RE (en teqCO2)</t>
  </si>
  <si>
    <t>Cet onglet doit être complété si vous n'avez pas choisi l'option de simplication du calcul des RECeff + REIamont (cas des pommiers et/ou pêchers et/ou clémentiniers). 
N'oubliez pas de compléter les éléments relatifs aux 5 premières années du projet.</t>
  </si>
  <si>
    <t>EGESref (en teqCO2/ha/an)</t>
  </si>
  <si>
    <t>Année 1</t>
  </si>
  <si>
    <t>QNmin (en kgN/ha/an)</t>
  </si>
  <si>
    <t>QNorg (en kgN/ha/an)</t>
  </si>
  <si>
    <t>QNres (en kgN/ha/an)</t>
  </si>
  <si>
    <t>EN2O dir (kg N20-N/ha)</t>
  </si>
  <si>
    <t>EN2O vol (kg N20-N/ha)</t>
  </si>
  <si>
    <t>EN2O less (kg N20-N/ha)</t>
  </si>
  <si>
    <t>Fioul domestique (en L/ha/an)</t>
  </si>
  <si>
    <t>Gazole (en L/ha/an)</t>
  </si>
  <si>
    <t>Essence (en L/ha/an)</t>
  </si>
  <si>
    <t>Gaz naturel (kg/ha/an)</t>
  </si>
  <si>
    <t>Gaz naturel (en kWh/ha/an)</t>
  </si>
  <si>
    <t>Butane/Propane (en kg/ha/an)</t>
  </si>
  <si>
    <t>ECO2e engins (en teqCO2/ha/an)</t>
  </si>
  <si>
    <t>Consommation électricité pour l'irrigation (en kWh/ha/an)</t>
  </si>
  <si>
    <t>ECO2e irrigation (en teqCO2/ha/an)</t>
  </si>
  <si>
    <t>ECO2e energie (en teqCO2/ha/an)</t>
  </si>
  <si>
    <t>QP (en kgP2O5/ha/an)</t>
  </si>
  <si>
    <t>QK (en kgK2O/ha/an)</t>
  </si>
  <si>
    <t>ECO2engrais (en teqCO2/ha/an)</t>
  </si>
  <si>
    <t>ECO2plants</t>
  </si>
  <si>
    <t>MA = Matière Active</t>
  </si>
  <si>
    <t>Quantité MA Fongicides (kg/ha/an)</t>
  </si>
  <si>
    <t>Quantité MA Herbicides (kg/ha/an)</t>
  </si>
  <si>
    <t>Quantité MA Insecticides (kg/ha/an)</t>
  </si>
  <si>
    <t>Quantité MA Autres (kg/ha/an)</t>
  </si>
  <si>
    <t>ECO2phyto (en teqCO2/ha/an)</t>
  </si>
  <si>
    <t>ECO2e intrants (en teqCO2/ha/an)</t>
  </si>
  <si>
    <t>EGESprojet (en teqCO2/ha/an)</t>
  </si>
  <si>
    <t>Année 2</t>
  </si>
  <si>
    <t>attente modif texte méthode</t>
  </si>
  <si>
    <t>Année 3</t>
  </si>
  <si>
    <t>Année 4</t>
  </si>
  <si>
    <t>Année 5</t>
  </si>
  <si>
    <t>EGESprojet sur les 5 ans (en teqCO2/ha)</t>
  </si>
  <si>
    <t>RE sur 5 ans (en teqCO2/ha)</t>
  </si>
  <si>
    <t>EGESprojet sur les 5 ans (en teqCO2)</t>
  </si>
  <si>
    <t>Cet onglet est facultatif et n'est à remplir que si le porteur de projet fait le choix de valoriser des coproduits de son verger en énergie.</t>
  </si>
  <si>
    <t>Projet</t>
  </si>
  <si>
    <t>Pouvoir Calorifique Inférieur (PCI) du coproduit valorisé (en kWh PCI/ tonne)</t>
  </si>
  <si>
    <t>FE de l’énergie fossile substituée (en teq CO2/kWh PCI)</t>
  </si>
  <si>
    <t>EGES transport les émissions associées au transport du coproduit de son lieu de fabrication jusqu’au site énergétique (en teq CO2/tonne)</t>
  </si>
  <si>
    <t>Coefficient de substitution du coproduit du verger valorisé en phase de projet (en teq CO2/tonne)</t>
  </si>
  <si>
    <t>Flux_CP projet, quantité de coproduits valorisées en énergie issue de la SAU plantation du projet (en tonnes/an)</t>
  </si>
  <si>
    <t>Flux_CP projet, quantité de coproduits valorisées en énergie issue de la SAU plantation du projet (en tonnes)</t>
  </si>
  <si>
    <t>Référence pour une des 3 années précédant le projet</t>
  </si>
  <si>
    <t>Flux_CP ref, quantité de coproduits valorisées en énergie dans le scénario de référence (en tonnes)</t>
  </si>
  <si>
    <t>REIaval (teq CO2)</t>
  </si>
  <si>
    <t>Anthracite</t>
  </si>
  <si>
    <t>Butane - inclus maritime</t>
  </si>
  <si>
    <t>Bitumes</t>
  </si>
  <si>
    <t>Bois bûche - 20% d'humidité</t>
  </si>
  <si>
    <t>Broyars de cagettes et de pallettes - 20% d'humidité</t>
  </si>
  <si>
    <t>Carbureacteur - jet B et essence aviation</t>
  </si>
  <si>
    <t>Charbon à coke</t>
  </si>
  <si>
    <t>Coke de houille</t>
  </si>
  <si>
    <t>Coke de lignite</t>
  </si>
  <si>
    <t>Essence - SP 95 - SP 98</t>
  </si>
  <si>
    <t>Fioul domestique</t>
  </si>
  <si>
    <t>Fioul lourd</t>
  </si>
  <si>
    <t>Gaz de cokerie</t>
  </si>
  <si>
    <t>Gaz de haut fourneau</t>
  </si>
  <si>
    <t>Gaz naturel</t>
  </si>
  <si>
    <t>Gazole</t>
  </si>
  <si>
    <t>GNL, Gaz Naturel Liquéfié</t>
  </si>
  <si>
    <t>GPL pour véhicule routier</t>
  </si>
  <si>
    <t>Granulés bois - 8% d'humidité</t>
  </si>
  <si>
    <t>Houille</t>
  </si>
  <si>
    <t>Huiles de schistes</t>
  </si>
  <si>
    <t>Kérosène</t>
  </si>
  <si>
    <t>Lignite - PCS inférieur à 17435</t>
  </si>
  <si>
    <t>Naphta</t>
  </si>
  <si>
    <t>Pétrole brut</t>
  </si>
  <si>
    <t>Plaquettes forestières - 25% d'humidité</t>
  </si>
  <si>
    <t>Propane</t>
  </si>
  <si>
    <t>Sciures et chutes de scieries - 50% d'humidité</t>
  </si>
  <si>
    <t>Tourbe</t>
  </si>
  <si>
    <t xml:space="preserve">Energie fossile substituée </t>
  </si>
  <si>
    <t>FE (en teq CO2/kWh PCI)</t>
  </si>
  <si>
    <t>Combustibles fossiles liquides usage source fixe</t>
  </si>
  <si>
    <t>Combustible haute viscosité</t>
  </si>
  <si>
    <t>Fioul à base de carbone recyclé - VALORTEC - Basse teneur en soufre</t>
  </si>
  <si>
    <t>Combustibles fossiles liquides Usage sources mobiles Usage routier</t>
  </si>
  <si>
    <t xml:space="preserve">Essence - Supercarburant sans plomb (95, 95-E10, 98) </t>
  </si>
  <si>
    <t>Gazole routier</t>
  </si>
  <si>
    <t>Gazole routier - B7</t>
  </si>
  <si>
    <t>Essence - E10</t>
  </si>
  <si>
    <t>Essence - E85</t>
  </si>
  <si>
    <t>Gazole - B30</t>
  </si>
  <si>
    <t xml:space="preserve">Gazole routier - B10 </t>
  </si>
  <si>
    <t>Gazole routier - B100</t>
  </si>
  <si>
    <t>GNL, Gaz Naturel Liquéfié - (inclus routier, maritime et fluvial)</t>
  </si>
  <si>
    <t xml:space="preserve">GNC, Gaz Naturel Comprimé pour véhicule routier </t>
  </si>
  <si>
    <t>Combustibles fossiles liquides Usage sources mobiles Usage maritime et fluvial</t>
  </si>
  <si>
    <t>HFO (Heavy Fuel Oil) - ISO 8217 classes RME à RMK</t>
  </si>
  <si>
    <t xml:space="preserve">LFO (Light Fuel Oil) - ISO 8217 classes RMA à RMD (maritime) </t>
  </si>
  <si>
    <t xml:space="preserve">MDO (Marine Diesel Oil) - ISO 8217 classes DMX à DMC </t>
  </si>
  <si>
    <t>Combustibles fossiles liquides Usage sources mobiles Usage aérien</t>
  </si>
  <si>
    <t xml:space="preserve">Carbureacteur - large coupe (jet B) </t>
  </si>
  <si>
    <t xml:space="preserve">Essence aviation (AvGas) </t>
  </si>
  <si>
    <t xml:space="preserve">Kérosène - jet A1 ou A </t>
  </si>
  <si>
    <t>Combustibles fossiles liquides Usage sources mobiles autres usages</t>
  </si>
  <si>
    <t xml:space="preserve">Gazole non routier </t>
  </si>
  <si>
    <t>Combustibles fossiles gazeux gaz naturel</t>
  </si>
  <si>
    <t>Gaz naturel - 2015 - mix moyen - consommation</t>
  </si>
  <si>
    <t xml:space="preserve">Gaz naturel </t>
  </si>
  <si>
    <t>Combustibles fossiles gazeux propane et butane</t>
  </si>
  <si>
    <t xml:space="preserve">Butane - inclus maritime </t>
  </si>
  <si>
    <t>Si vous ne trouvez pas le FE correspondant, vous pouvez les retrouver dans le guide GESTIM+ ou la Base Carbone de l'Ademe.</t>
  </si>
  <si>
    <t>Année</t>
  </si>
  <si>
    <t>Stock_biomasse (en tC/ha)</t>
  </si>
  <si>
    <t>Stock_biomasse_projet (en tC/ha)</t>
  </si>
  <si>
    <t>Référence</t>
  </si>
  <si>
    <t>Stock_biomasse_référence (en tC/ha)</t>
  </si>
  <si>
    <t>Durée de vie de l’espèce fruitière + 1 an</t>
  </si>
  <si>
    <t>RECant_biom (teqCO2)</t>
  </si>
  <si>
    <t>Stock sol ref (teq CO2/ha)</t>
  </si>
  <si>
    <t>Stock sol projet (teq CO2/ha)</t>
  </si>
  <si>
    <t>Part enherbée (%)</t>
  </si>
  <si>
    <t>Durée de vie de l'espèce fruitière (années)</t>
  </si>
  <si>
    <t>RECant_sol (teq CO2)</t>
  </si>
  <si>
    <t>Rien n'est à compléter mais certaines valeurs doivent être reprises dans le Document Description de Projet (DDP)</t>
  </si>
  <si>
    <t>Avant rabais</t>
  </si>
  <si>
    <t>Option 1 (si non choisie, ne pas tenir compte du calcul)</t>
  </si>
  <si>
    <t>RECeff + REIamont (teq CO2)</t>
  </si>
  <si>
    <t>Option 2</t>
  </si>
  <si>
    <t>RECant_biom (teq CO2)</t>
  </si>
  <si>
    <t>RE (teq CO2)</t>
  </si>
  <si>
    <t>Avec rabais</t>
  </si>
  <si>
    <t>Variable</t>
  </si>
  <si>
    <t>Climat</t>
  </si>
  <si>
    <t>Climat_Usage</t>
  </si>
  <si>
    <t>Valeur</t>
  </si>
  <si>
    <t>Stock C sol (tC/ha)</t>
  </si>
  <si>
    <t>Prairies permanentes</t>
  </si>
  <si>
    <t>Viticulture</t>
  </si>
  <si>
    <t>Vergers</t>
  </si>
  <si>
    <t>Climat Sec Mediterranéen</t>
  </si>
  <si>
    <t>Friche herbacée</t>
  </si>
  <si>
    <t>Variation annuelle (tC/ha/an)</t>
  </si>
  <si>
    <t>Espèce fruitière</t>
  </si>
  <si>
    <t>Espèce - Plantation</t>
  </si>
  <si>
    <t>Densité de plantation minimum admise (arbres/ha)</t>
  </si>
  <si>
    <t>Abricotier</t>
  </si>
  <si>
    <t>Gobelet</t>
  </si>
  <si>
    <t>Amandier</t>
  </si>
  <si>
    <t>Cerisier de table</t>
  </si>
  <si>
    <t>Cerisier</t>
  </si>
  <si>
    <t>Châtaignier</t>
  </si>
  <si>
    <t>Plein vent</t>
  </si>
  <si>
    <t>Clémentinier</t>
  </si>
  <si>
    <t>Cognassier</t>
  </si>
  <si>
    <t>Figuier</t>
  </si>
  <si>
    <t>Kiwi</t>
  </si>
  <si>
    <t>T-Barre</t>
  </si>
  <si>
    <t>Noisetier</t>
  </si>
  <si>
    <t>Noyer</t>
  </si>
  <si>
    <t>Pêcher</t>
  </si>
  <si>
    <t>Upsilon</t>
  </si>
  <si>
    <t>Palmette</t>
  </si>
  <si>
    <t>Poirier</t>
  </si>
  <si>
    <t>Prunier de table</t>
  </si>
  <si>
    <t>Climat non mediterranéen</t>
  </si>
  <si>
    <t>Année du projet</t>
  </si>
  <si>
    <r>
      <rPr>
        <b/>
        <sz val="12"/>
        <color rgb="FF000000"/>
        <rFont val="Calibri"/>
      </rPr>
      <t xml:space="preserve">Stock </t>
    </r>
    <r>
      <rPr>
        <b/>
        <vertAlign val="subscript"/>
        <sz val="12"/>
        <color rgb="FF000000"/>
        <rFont val="Calibri"/>
      </rPr>
      <t>biomasse_projet</t>
    </r>
  </si>
  <si>
    <r>
      <rPr>
        <b/>
        <sz val="11"/>
        <color theme="1"/>
        <rFont val="Calibri"/>
      </rPr>
      <t xml:space="preserve">Stock </t>
    </r>
    <r>
      <rPr>
        <b/>
        <vertAlign val="subscript"/>
        <sz val="11"/>
        <color theme="1"/>
        <rFont val="Calibri"/>
      </rPr>
      <t>biomasse_ref</t>
    </r>
    <r>
      <rPr>
        <b/>
        <sz val="11"/>
        <color theme="1"/>
        <rFont val="Calibri"/>
      </rPr>
      <t xml:space="preserve"> (vigne)</t>
    </r>
  </si>
  <si>
    <r>
      <rPr>
        <b/>
        <sz val="11"/>
        <color theme="1"/>
        <rFont val="Calibri"/>
      </rPr>
      <t xml:space="preserve">Stock </t>
    </r>
    <r>
      <rPr>
        <b/>
        <vertAlign val="subscript"/>
        <sz val="11"/>
        <color theme="1"/>
        <rFont val="Calibri"/>
      </rPr>
      <t>biomasse_projet</t>
    </r>
    <r>
      <rPr>
        <b/>
        <sz val="11"/>
        <color theme="1"/>
        <rFont val="Calibri"/>
      </rPr>
      <t xml:space="preserve"> - Stock </t>
    </r>
    <r>
      <rPr>
        <b/>
        <vertAlign val="subscript"/>
        <sz val="11"/>
        <color theme="1"/>
        <rFont val="Calibri"/>
      </rPr>
      <t xml:space="preserve">biomasse_ref </t>
    </r>
    <r>
      <rPr>
        <b/>
        <sz val="11"/>
        <color theme="1"/>
        <rFont val="Calibri"/>
      </rPr>
      <t>(vigne)</t>
    </r>
  </si>
  <si>
    <r>
      <rPr>
        <b/>
        <sz val="12"/>
        <color rgb="FF000000"/>
        <rFont val="Calibri"/>
      </rPr>
      <t xml:space="preserve">Stock </t>
    </r>
    <r>
      <rPr>
        <b/>
        <vertAlign val="subscript"/>
        <sz val="12"/>
        <color rgb="FF000000"/>
        <rFont val="Calibri"/>
      </rPr>
      <t>biomasse_projet</t>
    </r>
  </si>
  <si>
    <r>
      <rPr>
        <b/>
        <sz val="11"/>
        <color theme="1"/>
        <rFont val="Calibri"/>
      </rPr>
      <t xml:space="preserve">Stock </t>
    </r>
    <r>
      <rPr>
        <b/>
        <vertAlign val="subscript"/>
        <sz val="11"/>
        <color theme="1"/>
        <rFont val="Calibri"/>
      </rPr>
      <t>biomasse_ref</t>
    </r>
    <r>
      <rPr>
        <b/>
        <sz val="11"/>
        <color theme="1"/>
        <rFont val="Calibri"/>
      </rPr>
      <t xml:space="preserve"> (vigne)</t>
    </r>
  </si>
  <si>
    <r>
      <rPr>
        <b/>
        <sz val="11"/>
        <color theme="1"/>
        <rFont val="Calibri"/>
      </rPr>
      <t xml:space="preserve">Stock </t>
    </r>
    <r>
      <rPr>
        <b/>
        <vertAlign val="subscript"/>
        <sz val="11"/>
        <color theme="1"/>
        <rFont val="Calibri"/>
      </rPr>
      <t>biomasse_projet</t>
    </r>
    <r>
      <rPr>
        <b/>
        <sz val="11"/>
        <color theme="1"/>
        <rFont val="Calibri"/>
      </rPr>
      <t xml:space="preserve"> - Stock </t>
    </r>
    <r>
      <rPr>
        <b/>
        <vertAlign val="subscript"/>
        <sz val="11"/>
        <color theme="1"/>
        <rFont val="Calibri"/>
      </rPr>
      <t xml:space="preserve">biomasse_ref </t>
    </r>
    <r>
      <rPr>
        <b/>
        <sz val="11"/>
        <color theme="1"/>
        <rFont val="Calibri"/>
      </rPr>
      <t>(vigne)</t>
    </r>
  </si>
  <si>
    <t>Durée de vie de l'espèce fruitière</t>
  </si>
  <si>
    <t>Contexte climatique</t>
  </si>
  <si>
    <t>Durée - Usage ref</t>
  </si>
  <si>
    <t>REC ANT BIOM (tC/ha)</t>
  </si>
  <si>
    <t>Culture</t>
  </si>
  <si>
    <t>kg CO2 eq/ha</t>
  </si>
  <si>
    <t>Betterave sucrière, conventionnelle – Moyenne nationale (France)</t>
  </si>
  <si>
    <t>Blé dur, conventionnel – Moyenne nationale (France)</t>
  </si>
  <si>
    <t>Blé tendre biologique de féverole (cas type), région Centre</t>
  </si>
  <si>
    <t>Blé tendre biologique de luzerne (cas type), région Centre</t>
  </si>
  <si>
    <t>Blé tendre conventionnel, améliorant, 15% humidité</t>
  </si>
  <si>
    <t>Blé tendre, conventionnel – Moyenne nationale (France)</t>
  </si>
  <si>
    <t>Carotte, biologique, premier et deuxième choix, Basse Normandie</t>
  </si>
  <si>
    <t>Carotte, conventionnelle, premier et deuxième choix – Moyenne nationale (France)</t>
  </si>
  <si>
    <t>Féverole, biologique en culture pure (cas type), région Centre</t>
  </si>
  <si>
    <t>Féverole, conventionnelle – Moyenne nationale (France)</t>
  </si>
  <si>
    <t>Féverole, de printemps, conventionnelle, en conduite allégée</t>
  </si>
  <si>
    <t>Herbe conservée, enrubannage, prairie permanente, avec trèfle, Nord-Ouest</t>
  </si>
  <si>
    <t>Herbe conservée, enrubannage, prairie permanente, sans trèfle, Auvergne</t>
  </si>
  <si>
    <t>Herbe conservée, enrubannage, prairie permanente, sans trèfle, Nord-Ouest</t>
  </si>
  <si>
    <t>Herbe conservée, enrubannage, prairie temporaire, avec trèfle, Nord-Ouest</t>
  </si>
  <si>
    <t>Herbe conservée, enrubannage, prairie temporaire, sans trèfle, Nord-Ouest</t>
  </si>
  <si>
    <t>Herbe conservée, ensilage, prairie permanente, sans trèfle, Auvergne</t>
  </si>
  <si>
    <t>Herbe conservée, ensilage, prairie temporaire, avec trèfle, Nord-Ouest</t>
  </si>
  <si>
    <t>Herbe conservée, foin, prairie permanente, avec trèfle, Nord-Ouest</t>
  </si>
  <si>
    <t>Herbe conservée, foin, prairie permanente, sans trèfle, Auvergne</t>
  </si>
  <si>
    <t>Herbe conservée, foin, prairie permanente, sans trèfle, Nord-Ouest</t>
  </si>
  <si>
    <t>Herbe conservée, foin, prairie temporaire, avec trèfle, Nord-Ouest</t>
  </si>
  <si>
    <t>Herbe conservée, foin, prairie temporaire, sans trèfle, Nord-Ouest</t>
  </si>
  <si>
    <t>Herbe pâturée, prairie permanente, avec trèfle, Nord-Ouest</t>
  </si>
  <si>
    <t>Herbe pâturée, prairie permanente, sans trèfle, Auvergne</t>
  </si>
  <si>
    <t>Herbe pâturée, prairie permanente, sans trèfle, Nord-Ouest</t>
  </si>
  <si>
    <t>Herbe pâturée, prairie temporaire, avec trèfle, Nord-Ouest</t>
  </si>
  <si>
    <t>Herbe pâturée, prairie temporaire, sans trèfle, Nord-Ouest</t>
  </si>
  <si>
    <t>Luzerne, conventionnelle – Moyenne nationale (France)</t>
  </si>
  <si>
    <t>Luzerne, conventionnelle, pour la déshydratation</t>
  </si>
  <si>
    <t>Luzerne, conventionnelle, pour l'alimentation animale (en exploitation avec élevage)</t>
  </si>
  <si>
    <t>Maïs grain humide, conventionnel, 28% humidité – Moyenne nationale (France)</t>
  </si>
  <si>
    <t>Orge de brasserie, conventionnelle – Moyenne nationale (France)</t>
  </si>
  <si>
    <t>Orge fourragère, conventionnelle – Moyenne nationale (France)</t>
  </si>
  <si>
    <t>Pois de printemps, conventionnel, 15% humidité</t>
  </si>
  <si>
    <t>Pois d'hiver, conventionnel, 15% humidité</t>
  </si>
  <si>
    <t>Pomme de terre de consommation destinée à l’industrie, conventionnelle</t>
  </si>
  <si>
    <t>Pomme de terre destinée au marché du frais, autres variétés, conventionnelle</t>
  </si>
  <si>
    <t>Pomme de terre destinée au marché du frais, chair ferme, conventionnelle</t>
  </si>
  <si>
    <t>Pomme de terre fécule, conventionnelle – Moyenne nationale (France)</t>
  </si>
  <si>
    <t>Pomme de terre, conventionnelle, mix de variétés – Moyenne nationale (France)</t>
  </si>
  <si>
    <t>Raisin vigne, biologique, Languedoc Roussillon, tous vins confondus</t>
  </si>
  <si>
    <t>Raisin vigne, biologique, Maconnais, vin appellation</t>
  </si>
  <si>
    <t>Raisin vigne, raisonnée Beaujolais Sud, vin appellation Beaujolais</t>
  </si>
  <si>
    <t>Raisin vigne, raisonnée, Languedoc Roussillon, tous vins confondus</t>
  </si>
  <si>
    <t>Tomate pour la consommation en frais, biologique, sous abri – Moyenne nationale (France)</t>
  </si>
  <si>
    <t>Tomate pour la consommation en frais, conventionnelle, sous abri – Moyenne nationale (France)</t>
  </si>
  <si>
    <t>Tomate pour la consommation en frais, conventionnelle, sous abri froid</t>
  </si>
  <si>
    <t>Tomate pour la consommation en frais, sous abri – Moyenne nationale (France)</t>
  </si>
  <si>
    <t>Tournesol, conventionnel, 9% humidité – Moyenne nationale (France)</t>
  </si>
  <si>
    <t>Triticale, biologique (cas type), région Centre</t>
  </si>
  <si>
    <t>Triticale, conventionnelle – Moyenne nationale (France)</t>
  </si>
  <si>
    <t>Clémentine (Nour), qualité export, Souss</t>
  </si>
  <si>
    <t>Pêche, biologique – Moyenne nationale (France)</t>
  </si>
  <si>
    <t>Pêche, conventionnelle – Moyenne nationale (France)</t>
  </si>
  <si>
    <t>Pêche, mix de production (conventionnelle et biologique) – Moyenne nationale (France)</t>
  </si>
  <si>
    <t>Pomme à cidre, conventionnelle – Moyenne nationale (France)</t>
  </si>
  <si>
    <t>Pomme de table, biologique – Moyenne nationale (France)</t>
  </si>
  <si>
    <t>Pomme de table, mix de production (conventionnelle et biologique) – Moyenne nationale (France), sortie verger</t>
  </si>
  <si>
    <t>Pomme non tolérante à la tavelure, conventionnelle – Moyenne nationale (France)</t>
  </si>
  <si>
    <t>Pomme tolérante à la tavelure, conventionnelle – Moyenne nationale (France)</t>
  </si>
  <si>
    <t>Facteurs d'émissions (unité)</t>
  </si>
  <si>
    <t>EF1min (en kgN2O-N/kg N)</t>
  </si>
  <si>
    <t>EF1org (kg N2O-N/kg N)</t>
  </si>
  <si>
    <t>EF4 (en kg N2O-N/kg NH3-N + NOx-N)</t>
  </si>
  <si>
    <t>EF5 (en kg N2O-N/kg N lessivé)</t>
  </si>
  <si>
    <t>FE indirect électricité (en kg CO2 eq/kWh)</t>
  </si>
  <si>
    <t>FE azote (en kg CO2 eq/kg N) (source : engrais azoté moyen, Ges’tim+)</t>
  </si>
  <si>
    <t>FE phosp (en kg CO2 eq/kg P2O5) (source: engrais phosphaté moyen</t>
  </si>
  <si>
    <t>FE potasse (en kg CO2 eq/kg K2O) (source: engrais potassique moyen, Ges’tim+)</t>
  </si>
  <si>
    <t>FE fongicides</t>
  </si>
  <si>
    <t>FE herbicides</t>
  </si>
  <si>
    <t>FE insecticides</t>
  </si>
  <si>
    <t>FE autres</t>
  </si>
  <si>
    <t xml:space="preserve">Frac GASF (en kg NH3-N + NOx-N /kg N apporté) (valeur IPCC 2019 par défaut) </t>
  </si>
  <si>
    <t xml:space="preserve">Frac GASM (en kg NH3-N + NOx-N /kg N apporté) (valeur IPCC 2019 par défaut) </t>
  </si>
  <si>
    <t>Frac LESS (en kg N /kg N apporté) (valeur IPCC 2019 par défaut)</t>
  </si>
  <si>
    <t>Combustible</t>
  </si>
  <si>
    <t>Unité</t>
  </si>
  <si>
    <t>FE (kg eqCO2/unité)</t>
  </si>
  <si>
    <t>FE directes (kg eq CO2/unité)</t>
  </si>
  <si>
    <t>FE indirectes (kg eq CO2/unité)</t>
  </si>
  <si>
    <t>Litres</t>
  </si>
  <si>
    <t>Essence</t>
  </si>
  <si>
    <t>kg</t>
  </si>
  <si>
    <t>kWh</t>
  </si>
  <si>
    <t>Butane/Propane</t>
  </si>
  <si>
    <t>PRG N2O (IPCC 2013)</t>
  </si>
  <si>
    <t>Verger hors climat sec méditerranéen</t>
  </si>
  <si>
    <t xml:space="preserve">Verger en climat Sec Méditerranéen </t>
  </si>
  <si>
    <t xml:space="preserve">Usage de référence </t>
  </si>
  <si>
    <r>
      <rPr>
        <sz val="11"/>
        <color theme="1"/>
        <rFont val="Calibri"/>
      </rPr>
      <t xml:space="preserve">Stock </t>
    </r>
    <r>
      <rPr>
        <b/>
        <vertAlign val="subscript"/>
        <sz val="11"/>
        <color theme="1"/>
        <rFont val="Calibri"/>
      </rPr>
      <t>biomasse (en tC/ha)</t>
    </r>
  </si>
  <si>
    <t>Sources</t>
  </si>
  <si>
    <r>
      <rPr>
        <sz val="11"/>
        <color theme="1"/>
        <rFont val="Calibri"/>
      </rPr>
      <t xml:space="preserve">Stock </t>
    </r>
    <r>
      <rPr>
        <b/>
        <vertAlign val="subscript"/>
        <sz val="11"/>
        <color theme="1"/>
        <rFont val="Calibri"/>
      </rPr>
      <t>biomasse (en tC/ha)</t>
    </r>
  </si>
  <si>
    <t>OMINEA, 2020</t>
  </si>
  <si>
    <t>IFN/FCBA/SOLAGRO, 2009</t>
  </si>
  <si>
    <t>Chiti et al., 2018</t>
  </si>
  <si>
    <t>Verger</t>
  </si>
  <si>
    <t>Age</t>
  </si>
  <si>
    <r>
      <rPr>
        <sz val="11"/>
        <color theme="1"/>
        <rFont val="Calibri"/>
      </rPr>
      <t xml:space="preserve">Stock </t>
    </r>
    <r>
      <rPr>
        <vertAlign val="subscript"/>
        <sz val="12"/>
        <color theme="1"/>
        <rFont val="Calibri"/>
      </rPr>
      <t xml:space="preserve">biomasse_projet </t>
    </r>
    <r>
      <rPr>
        <sz val="12"/>
        <color theme="1"/>
        <rFont val="Calibri"/>
      </rPr>
      <t>en tC/ha</t>
    </r>
  </si>
  <si>
    <r>
      <rPr>
        <sz val="11"/>
        <color theme="1"/>
        <rFont val="Calibri"/>
      </rPr>
      <t xml:space="preserve">Stock </t>
    </r>
    <r>
      <rPr>
        <vertAlign val="subscript"/>
        <sz val="12"/>
        <color theme="1"/>
        <rFont val="Calibri"/>
      </rPr>
      <t xml:space="preserve">biomasse_projet </t>
    </r>
    <r>
      <rPr>
        <sz val="12"/>
        <color theme="1"/>
        <rFont val="Calibri"/>
      </rPr>
      <t>en tC/ha</t>
    </r>
  </si>
  <si>
    <t xml:space="preserve">Verger en climat Sec Méditerranéen (en tC/ha) </t>
  </si>
  <si>
    <t>Verger hors climat sec méditerranéen (en tC/ha)</t>
  </si>
  <si>
    <t>Source</t>
  </si>
  <si>
    <t>MediNet</t>
  </si>
  <si>
    <t>GIS Fruits (RMQS)</t>
  </si>
  <si>
    <t>Verger en climat Sec Méditerranéen (en tC/ha)</t>
  </si>
  <si>
    <t>Effenherb (en tC/ha/an)</t>
  </si>
  <si>
    <t>Facteur de conversion GJ en kWh</t>
  </si>
  <si>
    <t>Climats</t>
  </si>
  <si>
    <t>Durée de vie</t>
  </si>
  <si>
    <t xml:space="preserve">Prairies </t>
  </si>
  <si>
    <t>Chèvreville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</si>
</sst>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0.00[$ ha]"/>
    <numFmt numFmtId="165" formatCode="_-* #,##0.00\ _€_-;\-* #,##0.00\ _€_-;_-* &quot;-&quot;??\ _€_-;_-@"/>
    <numFmt numFmtId="166" formatCode="_-* #,##0\ _€_-;\-* #,##0\ _€_-;_-* &quot;-&quot;??\ _€_-;_-@"/>
    <numFmt numFmtId="167" formatCode="0.0"/>
    <numFmt numFmtId="168" formatCode="0.000"/>
  </numFmts>
  <fonts count="22" x14ac:knownFonts="1">
    <font>
      <sz val="11"/>
      <color theme="1"/>
      <name val="Calibri"/>
      <scheme val="minor"/>
    </font>
    <font>
      <sz val="11"/>
      <color theme="1"/>
      <name val="Calibri"/>
    </font>
    <font>
      <sz val="11"/>
      <name val="Calibri"/>
    </font>
    <font>
      <sz val="14"/>
      <color theme="1"/>
      <name val="Calibri"/>
    </font>
    <font>
      <sz val="12"/>
      <color theme="1"/>
      <name val="Calibri"/>
    </font>
    <font>
      <b/>
      <sz val="11"/>
      <color theme="1"/>
      <name val="Calibri"/>
    </font>
    <font>
      <b/>
      <sz val="11"/>
      <color theme="0"/>
      <name val="Calibri"/>
    </font>
    <font>
      <b/>
      <sz val="10"/>
      <color theme="1"/>
      <name val="Calibri"/>
    </font>
    <font>
      <b/>
      <sz val="11"/>
      <color rgb="FFFFFFFF"/>
      <name val="Calibri"/>
    </font>
    <font>
      <b/>
      <sz val="12"/>
      <color theme="1"/>
      <name val="Calibri"/>
    </font>
    <font>
      <b/>
      <sz val="12"/>
      <color rgb="FF000000"/>
      <name val="Calibri"/>
    </font>
    <font>
      <sz val="10"/>
      <color theme="1"/>
      <name val="Calibri"/>
    </font>
    <font>
      <sz val="8"/>
      <color rgb="FF00000A"/>
      <name val="Calibri"/>
    </font>
    <font>
      <sz val="14"/>
      <color theme="1"/>
      <name val="Symbol"/>
    </font>
    <font>
      <b/>
      <sz val="14"/>
      <color theme="1"/>
      <name val="Calibri"/>
    </font>
    <font>
      <u/>
      <sz val="14"/>
      <color theme="1"/>
      <name val="Calibri"/>
    </font>
    <font>
      <b/>
      <u/>
      <sz val="14"/>
      <color theme="1"/>
      <name val="Calibri"/>
    </font>
    <font>
      <sz val="12"/>
      <color rgb="FF2F5496"/>
      <name val="Calibri"/>
    </font>
    <font>
      <b/>
      <i/>
      <sz val="10"/>
      <color theme="1"/>
      <name val="Calibri"/>
    </font>
    <font>
      <b/>
      <vertAlign val="subscript"/>
      <sz val="12"/>
      <color rgb="FF000000"/>
      <name val="Calibri"/>
    </font>
    <font>
      <b/>
      <vertAlign val="subscript"/>
      <sz val="11"/>
      <color theme="1"/>
      <name val="Calibri"/>
    </font>
    <font>
      <vertAlign val="subscript"/>
      <sz val="12"/>
      <color theme="1"/>
      <name val="Calibri"/>
    </font>
  </fonts>
  <fills count="1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9E2F3"/>
        <bgColor rgb="FFD9E2F3"/>
      </patternFill>
    </fill>
    <fill>
      <patternFill patternType="solid">
        <fgColor rgb="FFF4B083"/>
        <bgColor rgb="FFF4B083"/>
      </patternFill>
    </fill>
    <fill>
      <patternFill patternType="solid">
        <fgColor rgb="FFD8D8D8"/>
        <bgColor rgb="FFD8D8D8"/>
      </patternFill>
    </fill>
    <fill>
      <patternFill patternType="solid">
        <fgColor rgb="FF9CC2E5"/>
        <bgColor rgb="FF9CC2E5"/>
      </patternFill>
    </fill>
    <fill>
      <patternFill patternType="solid">
        <fgColor rgb="FF0070C0"/>
        <bgColor rgb="FF0070C0"/>
      </patternFill>
    </fill>
    <fill>
      <patternFill patternType="solid">
        <fgColor rgb="FFFF9900"/>
        <bgColor rgb="FFFF9900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  <fill>
      <patternFill patternType="solid">
        <fgColor rgb="FFDADADA"/>
        <bgColor rgb="FFDADADA"/>
      </patternFill>
    </fill>
    <fill>
      <patternFill patternType="solid">
        <fgColor rgb="FFF2F2F2"/>
        <bgColor rgb="FFF2F2F2"/>
      </patternFill>
    </fill>
    <fill>
      <patternFill patternType="solid">
        <fgColor rgb="FF2E75B5"/>
        <bgColor rgb="FF2E75B5"/>
      </patternFill>
    </fill>
    <fill>
      <patternFill patternType="solid">
        <fgColor rgb="FF1E4E79"/>
        <bgColor rgb="FF1E4E79"/>
      </patternFill>
    </fill>
    <fill>
      <patternFill patternType="solid">
        <fgColor rgb="FF666666"/>
        <bgColor rgb="FF666666"/>
      </patternFill>
    </fill>
    <fill>
      <patternFill patternType="solid">
        <fgColor rgb="FFC55A11"/>
        <bgColor rgb="FFC55A11"/>
      </patternFill>
    </fill>
    <fill>
      <patternFill patternType="solid">
        <fgColor theme="1"/>
        <bgColor theme="1"/>
      </patternFill>
    </fill>
    <fill>
      <patternFill patternType="solid">
        <fgColor theme="6"/>
        <bgColor theme="6"/>
      </patternFill>
    </fill>
  </fills>
  <borders count="3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 style="thin">
        <color rgb="FF7F7F7F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1">
    <xf numFmtId="0" fontId="0" fillId="0" borderId="0"/>
  </cellStyleXfs>
  <cellXfs count="134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2" borderId="19" xfId="0" applyFont="1" applyFill="1" applyBorder="1" applyAlignment="1">
      <alignment horizontal="right"/>
    </xf>
    <xf numFmtId="0" fontId="1" fillId="0" borderId="23" xfId="0" applyFont="1" applyBorder="1"/>
    <xf numFmtId="0" fontId="5" fillId="6" borderId="24" xfId="0" applyFont="1" applyFill="1" applyBorder="1" applyAlignment="1">
      <alignment horizontal="center" vertical="center" wrapText="1"/>
    </xf>
    <xf numFmtId="0" fontId="6" fillId="7" borderId="19" xfId="0" applyFont="1" applyFill="1" applyBorder="1" applyAlignment="1">
      <alignment horizontal="center"/>
    </xf>
    <xf numFmtId="0" fontId="5" fillId="0" borderId="0" xfId="0" applyFont="1"/>
    <xf numFmtId="0" fontId="5" fillId="6" borderId="25" xfId="0" applyFont="1" applyFill="1" applyBorder="1" applyAlignment="1">
      <alignment vertical="center" wrapText="1"/>
    </xf>
    <xf numFmtId="0" fontId="1" fillId="2" borderId="25" xfId="0" applyFont="1" applyFill="1" applyBorder="1" applyAlignment="1">
      <alignment horizontal="right"/>
    </xf>
    <xf numFmtId="0" fontId="1" fillId="2" borderId="26" xfId="0" applyFont="1" applyFill="1" applyBorder="1" applyAlignment="1">
      <alignment horizontal="right"/>
    </xf>
    <xf numFmtId="0" fontId="1" fillId="2" borderId="25" xfId="0" applyFont="1" applyFill="1" applyBorder="1"/>
    <xf numFmtId="164" fontId="1" fillId="8" borderId="23" xfId="0" applyNumberFormat="1" applyFont="1" applyFill="1" applyBorder="1" applyAlignment="1">
      <alignment horizontal="right"/>
    </xf>
    <xf numFmtId="164" fontId="1" fillId="8" borderId="27" xfId="0" applyNumberFormat="1" applyFont="1" applyFill="1" applyBorder="1" applyAlignment="1">
      <alignment horizontal="right"/>
    </xf>
    <xf numFmtId="2" fontId="1" fillId="2" borderId="25" xfId="0" applyNumberFormat="1" applyFont="1" applyFill="1" applyBorder="1"/>
    <xf numFmtId="2" fontId="5" fillId="9" borderId="19" xfId="0" applyNumberFormat="1" applyFont="1" applyFill="1" applyBorder="1"/>
    <xf numFmtId="0" fontId="1" fillId="2" borderId="23" xfId="0" applyFont="1" applyFill="1" applyBorder="1" applyAlignment="1">
      <alignment horizontal="right"/>
    </xf>
    <xf numFmtId="0" fontId="1" fillId="2" borderId="27" xfId="0" applyFont="1" applyFill="1" applyBorder="1" applyAlignment="1">
      <alignment horizontal="right"/>
    </xf>
    <xf numFmtId="0" fontId="1" fillId="2" borderId="23" xfId="0" applyFont="1" applyFill="1" applyBorder="1" applyAlignment="1"/>
    <xf numFmtId="0" fontId="1" fillId="2" borderId="27" xfId="0" applyFont="1" applyFill="1" applyBorder="1" applyAlignment="1"/>
    <xf numFmtId="0" fontId="1" fillId="0" borderId="25" xfId="0" applyFont="1" applyBorder="1"/>
    <xf numFmtId="0" fontId="1" fillId="2" borderId="23" xfId="0" applyFont="1" applyFill="1" applyBorder="1" applyAlignment="1">
      <alignment horizontal="right" wrapText="1"/>
    </xf>
    <xf numFmtId="0" fontId="1" fillId="2" borderId="27" xfId="0" applyFont="1" applyFill="1" applyBorder="1" applyAlignment="1">
      <alignment horizontal="right" wrapText="1"/>
    </xf>
    <xf numFmtId="0" fontId="1" fillId="2" borderId="25" xfId="0" applyFont="1" applyFill="1" applyBorder="1" applyAlignment="1">
      <alignment wrapText="1"/>
    </xf>
    <xf numFmtId="0" fontId="1" fillId="0" borderId="0" xfId="0" applyFont="1" applyAlignment="1">
      <alignment wrapText="1"/>
    </xf>
    <xf numFmtId="9" fontId="1" fillId="2" borderId="23" xfId="0" applyNumberFormat="1" applyFont="1" applyFill="1" applyBorder="1" applyAlignment="1">
      <alignment horizontal="right"/>
    </xf>
    <xf numFmtId="9" fontId="1" fillId="2" borderId="27" xfId="0" applyNumberFormat="1" applyFont="1" applyFill="1" applyBorder="1" applyAlignment="1">
      <alignment horizontal="right"/>
    </xf>
    <xf numFmtId="9" fontId="1" fillId="2" borderId="25" xfId="0" applyNumberFormat="1" applyFont="1" applyFill="1" applyBorder="1"/>
    <xf numFmtId="0" fontId="7" fillId="6" borderId="25" xfId="0" applyFont="1" applyFill="1" applyBorder="1" applyAlignment="1">
      <alignment horizontal="left" vertical="center" wrapText="1"/>
    </xf>
    <xf numFmtId="165" fontId="1" fillId="2" borderId="23" xfId="0" applyNumberFormat="1" applyFont="1" applyFill="1" applyBorder="1" applyAlignment="1">
      <alignment horizontal="right"/>
    </xf>
    <xf numFmtId="0" fontId="1" fillId="0" borderId="0" xfId="0" applyFont="1" applyAlignment="1"/>
    <xf numFmtId="0" fontId="1" fillId="10" borderId="19" xfId="0" applyFont="1" applyFill="1" applyBorder="1"/>
    <xf numFmtId="0" fontId="5" fillId="6" borderId="24" xfId="0" applyFont="1" applyFill="1" applyBorder="1" applyAlignment="1">
      <alignment vertical="center" wrapText="1"/>
    </xf>
    <xf numFmtId="9" fontId="1" fillId="10" borderId="19" xfId="0" applyNumberFormat="1" applyFont="1" applyFill="1" applyBorder="1"/>
    <xf numFmtId="9" fontId="1" fillId="11" borderId="25" xfId="0" applyNumberFormat="1" applyFont="1" applyFill="1" applyBorder="1"/>
    <xf numFmtId="0" fontId="1" fillId="6" borderId="25" xfId="0" applyFont="1" applyFill="1" applyBorder="1" applyAlignment="1">
      <alignment vertical="center" wrapText="1"/>
    </xf>
    <xf numFmtId="166" fontId="1" fillId="11" borderId="25" xfId="0" applyNumberFormat="1" applyFont="1" applyFill="1" applyBorder="1"/>
    <xf numFmtId="9" fontId="1" fillId="11" borderId="25" xfId="0" applyNumberFormat="1" applyFont="1" applyFill="1" applyBorder="1" applyAlignment="1">
      <alignment horizontal="center"/>
    </xf>
    <xf numFmtId="0" fontId="1" fillId="10" borderId="19" xfId="0" applyFont="1" applyFill="1" applyBorder="1" applyAlignment="1">
      <alignment vertical="center" wrapText="1"/>
    </xf>
    <xf numFmtId="9" fontId="1" fillId="0" borderId="0" xfId="0" applyNumberFormat="1" applyFont="1" applyAlignment="1">
      <alignment horizontal="center"/>
    </xf>
    <xf numFmtId="0" fontId="1" fillId="11" borderId="25" xfId="0" applyFont="1" applyFill="1" applyBorder="1" applyAlignment="1">
      <alignment wrapText="1"/>
    </xf>
    <xf numFmtId="0" fontId="1" fillId="11" borderId="25" xfId="0" applyFont="1" applyFill="1" applyBorder="1"/>
    <xf numFmtId="0" fontId="1" fillId="9" borderId="19" xfId="0" applyFont="1" applyFill="1" applyBorder="1"/>
    <xf numFmtId="2" fontId="1" fillId="11" borderId="25" xfId="0" applyNumberFormat="1" applyFont="1" applyFill="1" applyBorder="1"/>
    <xf numFmtId="165" fontId="1" fillId="11" borderId="25" xfId="0" applyNumberFormat="1" applyFont="1" applyFill="1" applyBorder="1"/>
    <xf numFmtId="2" fontId="1" fillId="9" borderId="19" xfId="0" applyNumberFormat="1" applyFont="1" applyFill="1" applyBorder="1"/>
    <xf numFmtId="0" fontId="1" fillId="6" borderId="28" xfId="0" applyFont="1" applyFill="1" applyBorder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5" fillId="6" borderId="25" xfId="0" applyFont="1" applyFill="1" applyBorder="1" applyAlignment="1">
      <alignment horizontal="center" vertical="center" wrapText="1"/>
    </xf>
    <xf numFmtId="2" fontId="1" fillId="12" borderId="25" xfId="0" applyNumberFormat="1" applyFont="1" applyFill="1" applyBorder="1" applyAlignment="1">
      <alignment horizontal="right"/>
    </xf>
    <xf numFmtId="0" fontId="5" fillId="6" borderId="28" xfId="0" applyFont="1" applyFill="1" applyBorder="1" applyAlignment="1">
      <alignment horizontal="center" vertical="center" wrapText="1"/>
    </xf>
    <xf numFmtId="0" fontId="1" fillId="12" borderId="25" xfId="0" applyFont="1" applyFill="1" applyBorder="1"/>
    <xf numFmtId="0" fontId="5" fillId="13" borderId="25" xfId="0" applyFont="1" applyFill="1" applyBorder="1" applyAlignment="1">
      <alignment vertical="center" wrapText="1"/>
    </xf>
    <xf numFmtId="0" fontId="1" fillId="12" borderId="23" xfId="0" applyFont="1" applyFill="1" applyBorder="1" applyAlignment="1">
      <alignment horizontal="right"/>
    </xf>
    <xf numFmtId="0" fontId="1" fillId="12" borderId="27" xfId="0" applyFont="1" applyFill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5" fillId="12" borderId="23" xfId="0" applyFont="1" applyFill="1" applyBorder="1" applyAlignment="1">
      <alignment horizontal="right"/>
    </xf>
    <xf numFmtId="0" fontId="5" fillId="12" borderId="27" xfId="0" applyFont="1" applyFill="1" applyBorder="1" applyAlignment="1">
      <alignment horizontal="right"/>
    </xf>
    <xf numFmtId="0" fontId="5" fillId="12" borderId="25" xfId="0" applyFont="1" applyFill="1" applyBorder="1"/>
    <xf numFmtId="0" fontId="1" fillId="12" borderId="23" xfId="0" applyFont="1" applyFill="1" applyBorder="1" applyAlignment="1"/>
    <xf numFmtId="0" fontId="1" fillId="12" borderId="27" xfId="0" applyFont="1" applyFill="1" applyBorder="1" applyAlignment="1"/>
    <xf numFmtId="0" fontId="1" fillId="0" borderId="0" xfId="0" applyFont="1" applyAlignment="1">
      <alignment horizontal="center" vertical="center" wrapText="1"/>
    </xf>
    <xf numFmtId="0" fontId="6" fillId="14" borderId="25" xfId="0" applyFont="1" applyFill="1" applyBorder="1" applyAlignment="1">
      <alignment vertical="center" wrapText="1"/>
    </xf>
    <xf numFmtId="0" fontId="8" fillId="15" borderId="23" xfId="0" applyFont="1" applyFill="1" applyBorder="1" applyAlignment="1">
      <alignment horizontal="right" wrapText="1"/>
    </xf>
    <xf numFmtId="0" fontId="8" fillId="15" borderId="27" xfId="0" applyFont="1" applyFill="1" applyBorder="1" applyAlignment="1">
      <alignment horizontal="right" wrapText="1"/>
    </xf>
    <xf numFmtId="0" fontId="6" fillId="16" borderId="25" xfId="0" applyFont="1" applyFill="1" applyBorder="1" applyAlignment="1">
      <alignment vertical="center" wrapText="1"/>
    </xf>
    <xf numFmtId="0" fontId="6" fillId="17" borderId="25" xfId="0" applyFont="1" applyFill="1" applyBorder="1" applyAlignment="1">
      <alignment vertical="center" wrapText="1"/>
    </xf>
    <xf numFmtId="165" fontId="1" fillId="2" borderId="25" xfId="0" applyNumberFormat="1" applyFont="1" applyFill="1" applyBorder="1"/>
    <xf numFmtId="165" fontId="1" fillId="12" borderId="25" xfId="0" applyNumberFormat="1" applyFont="1" applyFill="1" applyBorder="1"/>
    <xf numFmtId="0" fontId="5" fillId="13" borderId="25" xfId="0" applyFont="1" applyFill="1" applyBorder="1" applyAlignment="1">
      <alignment horizontal="center" vertical="center" wrapText="1"/>
    </xf>
    <xf numFmtId="0" fontId="1" fillId="0" borderId="33" xfId="0" applyFont="1" applyBorder="1" applyAlignment="1">
      <alignment wrapText="1"/>
    </xf>
    <xf numFmtId="167" fontId="1" fillId="0" borderId="33" xfId="0" applyNumberFormat="1" applyFont="1" applyBorder="1"/>
    <xf numFmtId="0" fontId="6" fillId="17" borderId="34" xfId="0" applyFont="1" applyFill="1" applyBorder="1" applyAlignment="1">
      <alignment vertical="center" wrapText="1"/>
    </xf>
    <xf numFmtId="0" fontId="1" fillId="0" borderId="33" xfId="0" applyFont="1" applyBorder="1"/>
    <xf numFmtId="0" fontId="5" fillId="4" borderId="24" xfId="0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166" fontId="1" fillId="12" borderId="25" xfId="0" applyNumberFormat="1" applyFont="1" applyFill="1" applyBorder="1"/>
    <xf numFmtId="165" fontId="6" fillId="17" borderId="25" xfId="0" applyNumberFormat="1" applyFont="1" applyFill="1" applyBorder="1" applyAlignment="1">
      <alignment vertical="center" wrapText="1"/>
    </xf>
    <xf numFmtId="165" fontId="1" fillId="0" borderId="0" xfId="0" applyNumberFormat="1" applyFont="1" applyAlignment="1">
      <alignment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/>
    </xf>
    <xf numFmtId="2" fontId="5" fillId="13" borderId="25" xfId="0" applyNumberFormat="1" applyFont="1" applyFill="1" applyBorder="1" applyAlignment="1">
      <alignment vertical="center" wrapText="1"/>
    </xf>
    <xf numFmtId="0" fontId="5" fillId="18" borderId="33" xfId="0" applyFont="1" applyFill="1" applyBorder="1" applyAlignment="1">
      <alignment horizontal="left"/>
    </xf>
    <xf numFmtId="0" fontId="5" fillId="18" borderId="33" xfId="0" applyFont="1" applyFill="1" applyBorder="1" applyAlignment="1">
      <alignment vertical="center"/>
    </xf>
    <xf numFmtId="0" fontId="5" fillId="18" borderId="33" xfId="0" applyFont="1" applyFill="1" applyBorder="1" applyAlignment="1">
      <alignment wrapText="1"/>
    </xf>
    <xf numFmtId="0" fontId="1" fillId="0" borderId="33" xfId="0" applyFont="1" applyBorder="1" applyAlignment="1">
      <alignment vertical="center" wrapText="1"/>
    </xf>
    <xf numFmtId="2" fontId="1" fillId="0" borderId="0" xfId="0" applyNumberFormat="1" applyFont="1"/>
    <xf numFmtId="0" fontId="5" fillId="18" borderId="33" xfId="0" applyFont="1" applyFill="1" applyBorder="1"/>
    <xf numFmtId="0" fontId="10" fillId="18" borderId="33" xfId="0" applyFont="1" applyFill="1" applyBorder="1" applyAlignment="1">
      <alignment vertical="center"/>
    </xf>
    <xf numFmtId="0" fontId="10" fillId="18" borderId="33" xfId="0" applyFont="1" applyFill="1" applyBorder="1" applyAlignment="1">
      <alignment vertical="center" wrapText="1"/>
    </xf>
    <xf numFmtId="0" fontId="5" fillId="18" borderId="33" xfId="0" applyFont="1" applyFill="1" applyBorder="1" applyAlignment="1">
      <alignment vertical="center" wrapText="1"/>
    </xf>
    <xf numFmtId="0" fontId="9" fillId="18" borderId="33" xfId="0" applyFont="1" applyFill="1" applyBorder="1" applyAlignment="1">
      <alignment vertical="center" wrapText="1"/>
    </xf>
    <xf numFmtId="0" fontId="1" fillId="0" borderId="33" xfId="0" applyFont="1" applyBorder="1" applyAlignment="1">
      <alignment horizontal="left"/>
    </xf>
    <xf numFmtId="2" fontId="1" fillId="0" borderId="33" xfId="0" applyNumberFormat="1" applyFont="1" applyBorder="1"/>
    <xf numFmtId="0" fontId="1" fillId="0" borderId="0" xfId="0" applyFont="1" applyAlignment="1">
      <alignment horizontal="left"/>
    </xf>
    <xf numFmtId="1" fontId="1" fillId="0" borderId="33" xfId="0" applyNumberFormat="1" applyFont="1" applyBorder="1" applyAlignment="1">
      <alignment horizontal="right"/>
    </xf>
    <xf numFmtId="166" fontId="5" fillId="0" borderId="0" xfId="0" applyNumberFormat="1" applyFont="1"/>
    <xf numFmtId="166" fontId="1" fillId="0" borderId="0" xfId="0" applyNumberFormat="1" applyFont="1"/>
    <xf numFmtId="168" fontId="1" fillId="0" borderId="0" xfId="0" applyNumberFormat="1" applyFont="1"/>
    <xf numFmtId="0" fontId="11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 applyFont="1" applyAlignment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3" fillId="3" borderId="1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4" fillId="4" borderId="17" xfId="0" applyFont="1" applyFill="1" applyBorder="1" applyAlignment="1">
      <alignment horizontal="center" vertical="center" wrapText="1"/>
    </xf>
    <xf numFmtId="0" fontId="2" fillId="0" borderId="18" xfId="0" applyFont="1" applyBorder="1"/>
    <xf numFmtId="0" fontId="5" fillId="5" borderId="20" xfId="0" applyFont="1" applyFill="1" applyBorder="1" applyAlignment="1">
      <alignment horizontal="center" vertical="center" wrapText="1"/>
    </xf>
    <xf numFmtId="0" fontId="2" fillId="0" borderId="21" xfId="0" applyFont="1" applyBorder="1"/>
    <xf numFmtId="0" fontId="2" fillId="0" borderId="22" xfId="0" applyFont="1" applyBorder="1"/>
    <xf numFmtId="0" fontId="1" fillId="5" borderId="30" xfId="0" applyFont="1" applyFill="1" applyBorder="1" applyAlignment="1">
      <alignment horizontal="center"/>
    </xf>
    <xf numFmtId="0" fontId="2" fillId="0" borderId="31" xfId="0" applyFont="1" applyBorder="1"/>
    <xf numFmtId="0" fontId="2" fillId="0" borderId="32" xfId="0" applyFont="1" applyBorder="1"/>
    <xf numFmtId="0" fontId="1" fillId="12" borderId="30" xfId="0" applyFont="1" applyFill="1" applyBorder="1" applyAlignment="1">
      <alignment horizontal="center" vertical="center" wrapText="1"/>
    </xf>
    <xf numFmtId="0" fontId="5" fillId="6" borderId="35" xfId="0" applyFont="1" applyFill="1" applyBorder="1" applyAlignment="1">
      <alignment horizontal="center" vertical="center" wrapText="1"/>
    </xf>
    <xf numFmtId="0" fontId="2" fillId="0" borderId="26" xfId="0" applyFont="1" applyBorder="1"/>
    <xf numFmtId="0" fontId="9" fillId="18" borderId="3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390525</xdr:colOff>
      <xdr:row>0</xdr:row>
      <xdr:rowOff>114300</xdr:rowOff>
    </xdr:from>
    <xdr:ext cx="2000250" cy="92392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P1000"/>
  <sheetViews>
    <sheetView showGridLines="0" workbookViewId="0"/>
  </sheetViews>
  <sheetFormatPr baseColWidth="10" defaultColWidth="14.5" defaultRowHeight="15" customHeight="1" x14ac:dyDescent="0.2"/>
  <cols>
    <col min="1" max="1" width="4.83203125" customWidth="1"/>
    <col min="2" max="14" width="10.6640625" customWidth="1"/>
    <col min="15" max="15" width="11.5" customWidth="1"/>
    <col min="16" max="26" width="10.6640625" customWidth="1"/>
  </cols>
  <sheetData>
    <row r="3" spans="2:16" ht="15" customHeight="1" x14ac:dyDescent="0.2">
      <c r="K3" s="104" t="s">
        <v>0</v>
      </c>
      <c r="L3" s="105"/>
      <c r="M3" s="105"/>
      <c r="N3" s="105"/>
      <c r="O3" s="105"/>
      <c r="P3" s="106"/>
    </row>
    <row r="4" spans="2:16" x14ac:dyDescent="0.2">
      <c r="K4" s="107"/>
      <c r="L4" s="108"/>
      <c r="M4" s="108"/>
      <c r="N4" s="108"/>
      <c r="O4" s="108"/>
      <c r="P4" s="109"/>
    </row>
    <row r="5" spans="2:16" x14ac:dyDescent="0.2">
      <c r="K5" s="110"/>
      <c r="L5" s="111"/>
      <c r="M5" s="111"/>
      <c r="N5" s="111"/>
      <c r="O5" s="111"/>
      <c r="P5" s="112"/>
    </row>
    <row r="7" spans="2:16" ht="15" customHeight="1" x14ac:dyDescent="0.2">
      <c r="B7" s="113" t="s">
        <v>1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</row>
    <row r="8" spans="2:16" ht="15" customHeight="1" x14ac:dyDescent="0.2">
      <c r="B8" s="107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9"/>
    </row>
    <row r="9" spans="2:16" ht="15" customHeight="1" x14ac:dyDescent="0.2">
      <c r="B9" s="110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2"/>
    </row>
    <row r="11" spans="2:16" ht="15" customHeight="1" x14ac:dyDescent="0.2">
      <c r="B11" s="114" t="s">
        <v>2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6"/>
    </row>
    <row r="12" spans="2:16" ht="15" customHeight="1" x14ac:dyDescent="0.2">
      <c r="B12" s="117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18"/>
    </row>
    <row r="13" spans="2:16" ht="15" customHeight="1" x14ac:dyDescent="0.2">
      <c r="B13" s="117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18"/>
    </row>
    <row r="14" spans="2:16" ht="15" customHeight="1" x14ac:dyDescent="0.2">
      <c r="B14" s="117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18"/>
    </row>
    <row r="15" spans="2:16" ht="15" customHeight="1" x14ac:dyDescent="0.2">
      <c r="B15" s="117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18"/>
    </row>
    <row r="16" spans="2:16" ht="15" customHeight="1" x14ac:dyDescent="0.2">
      <c r="B16" s="117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18"/>
    </row>
    <row r="17" spans="2:16" ht="15" customHeight="1" x14ac:dyDescent="0.2">
      <c r="B17" s="117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18"/>
    </row>
    <row r="18" spans="2:16" ht="15" customHeight="1" x14ac:dyDescent="0.2">
      <c r="B18" s="11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18"/>
    </row>
    <row r="19" spans="2:16" ht="15" customHeight="1" x14ac:dyDescent="0.2">
      <c r="B19" s="117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18"/>
    </row>
    <row r="20" spans="2:16" ht="15" customHeight="1" x14ac:dyDescent="0.2">
      <c r="B20" s="117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18"/>
    </row>
    <row r="21" spans="2:16" ht="15" customHeight="1" x14ac:dyDescent="0.2">
      <c r="B21" s="117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18"/>
    </row>
    <row r="22" spans="2:16" ht="15" customHeight="1" x14ac:dyDescent="0.2">
      <c r="B22" s="117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18"/>
    </row>
    <row r="23" spans="2:16" ht="15" customHeight="1" x14ac:dyDescent="0.2">
      <c r="B23" s="117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18"/>
    </row>
    <row r="24" spans="2:16" ht="15" customHeight="1" x14ac:dyDescent="0.2">
      <c r="B24" s="117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18"/>
    </row>
    <row r="25" spans="2:16" ht="15.75" customHeight="1" x14ac:dyDescent="0.2">
      <c r="B25" s="117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18"/>
    </row>
    <row r="26" spans="2:16" ht="15.75" customHeight="1" x14ac:dyDescent="0.2">
      <c r="B26" s="117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18"/>
    </row>
    <row r="27" spans="2:16" ht="15.75" customHeight="1" x14ac:dyDescent="0.2">
      <c r="B27" s="117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18"/>
    </row>
    <row r="28" spans="2:16" ht="15.75" customHeight="1" x14ac:dyDescent="0.2">
      <c r="B28" s="117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18"/>
    </row>
    <row r="29" spans="2:16" ht="15.75" customHeight="1" x14ac:dyDescent="0.2">
      <c r="B29" s="117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18"/>
    </row>
    <row r="30" spans="2:16" ht="15.75" customHeight="1" x14ac:dyDescent="0.2">
      <c r="B30" s="119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1"/>
    </row>
    <row r="31" spans="2:16" ht="15.75" customHeight="1" x14ac:dyDescent="0.2"/>
    <row r="32" spans="2:16" ht="22.5" customHeight="1" x14ac:dyDescent="0.2">
      <c r="B32" s="113" t="s">
        <v>3</v>
      </c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6"/>
    </row>
    <row r="33" spans="2:16" ht="15.75" customHeight="1" x14ac:dyDescent="0.2">
      <c r="B33" s="107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9"/>
    </row>
    <row r="34" spans="2:16" ht="15.75" customHeight="1" x14ac:dyDescent="0.2">
      <c r="B34" s="110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2"/>
    </row>
    <row r="35" spans="2:16" ht="15.75" customHeight="1" x14ac:dyDescent="0.2"/>
    <row r="36" spans="2:16" ht="15.75" customHeight="1" x14ac:dyDescent="0.2"/>
    <row r="37" spans="2:16" ht="15.75" customHeight="1" x14ac:dyDescent="0.2"/>
    <row r="38" spans="2:16" ht="15.75" customHeight="1" x14ac:dyDescent="0.2"/>
    <row r="39" spans="2:16" ht="15.75" customHeight="1" x14ac:dyDescent="0.2"/>
    <row r="40" spans="2:16" ht="15.75" customHeight="1" x14ac:dyDescent="0.2"/>
    <row r="41" spans="2:16" ht="15.75" customHeight="1" x14ac:dyDescent="0.2"/>
    <row r="42" spans="2:16" ht="15.75" customHeight="1" x14ac:dyDescent="0.2"/>
    <row r="43" spans="2:16" ht="15.75" customHeight="1" x14ac:dyDescent="0.2"/>
    <row r="44" spans="2:16" ht="15.75" customHeight="1" x14ac:dyDescent="0.2"/>
    <row r="45" spans="2:16" ht="15.75" customHeight="1" x14ac:dyDescent="0.2"/>
    <row r="46" spans="2:16" ht="15.75" customHeight="1" x14ac:dyDescent="0.2"/>
    <row r="47" spans="2:16" ht="15.75" customHeight="1" x14ac:dyDescent="0.2"/>
    <row r="48" spans="2:16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4">
    <mergeCell ref="K3:P5"/>
    <mergeCell ref="B7:P9"/>
    <mergeCell ref="B11:P30"/>
    <mergeCell ref="B32:P34"/>
  </mergeCells>
  <pageMargins left="0.7" right="0.7" top="0.75" bottom="0.75" header="0" footer="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/>
  </sheetViews>
  <sheetFormatPr baseColWidth="10" defaultColWidth="14.5" defaultRowHeight="15" customHeight="1" x14ac:dyDescent="0.2"/>
  <cols>
    <col min="1" max="1" width="25" customWidth="1"/>
    <col min="2" max="2" width="20.1640625" customWidth="1"/>
    <col min="3" max="3" width="15.5" customWidth="1"/>
    <col min="4" max="26" width="11.5" customWidth="1"/>
  </cols>
  <sheetData>
    <row r="1" spans="1:26" x14ac:dyDescent="0.2">
      <c r="A1" s="7" t="s">
        <v>348</v>
      </c>
      <c r="B1" s="7" t="s">
        <v>32</v>
      </c>
      <c r="C1" s="7" t="s">
        <v>203</v>
      </c>
      <c r="D1" s="7" t="s">
        <v>25</v>
      </c>
      <c r="E1" s="7" t="s">
        <v>349</v>
      </c>
      <c r="F1" s="2" t="s">
        <v>237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">
      <c r="A2" s="2" t="s">
        <v>29</v>
      </c>
      <c r="B2" s="2" t="s">
        <v>33</v>
      </c>
      <c r="C2" s="2" t="s">
        <v>206</v>
      </c>
      <c r="D2" s="2" t="s">
        <v>26</v>
      </c>
      <c r="E2" s="95">
        <v>10</v>
      </c>
      <c r="F2" s="2" t="s">
        <v>239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 t="s">
        <v>200</v>
      </c>
      <c r="B3" s="2" t="s">
        <v>350</v>
      </c>
      <c r="C3" s="2" t="s">
        <v>208</v>
      </c>
      <c r="D3" s="2" t="s">
        <v>207</v>
      </c>
      <c r="E3" s="95">
        <v>11</v>
      </c>
      <c r="F3" s="2" t="s">
        <v>240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">
      <c r="A4" s="2"/>
      <c r="B4" s="2" t="s">
        <v>198</v>
      </c>
      <c r="C4" s="2" t="s">
        <v>209</v>
      </c>
      <c r="D4" s="2" t="s">
        <v>222</v>
      </c>
      <c r="E4" s="95">
        <v>12</v>
      </c>
      <c r="F4" s="2" t="s">
        <v>241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">
      <c r="A5" s="2"/>
      <c r="B5" s="2"/>
      <c r="C5" s="2" t="s">
        <v>210</v>
      </c>
      <c r="D5" s="2" t="s">
        <v>212</v>
      </c>
      <c r="E5" s="95">
        <v>13</v>
      </c>
      <c r="F5" s="2" t="s">
        <v>242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">
      <c r="A6" s="2"/>
      <c r="B6" s="2"/>
      <c r="C6" s="2" t="s">
        <v>211</v>
      </c>
      <c r="D6" s="2" t="s">
        <v>217</v>
      </c>
      <c r="E6" s="95">
        <v>14</v>
      </c>
      <c r="F6" s="2" t="s">
        <v>243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">
      <c r="A7" s="2"/>
      <c r="B7" s="2"/>
      <c r="C7" s="2" t="s">
        <v>213</v>
      </c>
      <c r="D7" s="2" t="s">
        <v>221</v>
      </c>
      <c r="E7" s="95">
        <v>15</v>
      </c>
      <c r="F7" s="2" t="s">
        <v>39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">
      <c r="A8" s="2"/>
      <c r="B8" s="2"/>
      <c r="C8" s="2" t="s">
        <v>214</v>
      </c>
      <c r="D8" s="2"/>
      <c r="E8" s="95">
        <v>16</v>
      </c>
      <c r="F8" s="2" t="s">
        <v>244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">
      <c r="A9" s="2"/>
      <c r="B9" s="2"/>
      <c r="C9" s="2" t="s">
        <v>215</v>
      </c>
      <c r="D9" s="2"/>
      <c r="E9" s="95">
        <v>17</v>
      </c>
      <c r="F9" s="2" t="s">
        <v>245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">
      <c r="A10" s="2"/>
      <c r="B10" s="2"/>
      <c r="C10" s="2" t="s">
        <v>216</v>
      </c>
      <c r="D10" s="2"/>
      <c r="E10" s="95">
        <v>18</v>
      </c>
      <c r="F10" s="2" t="s">
        <v>246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">
      <c r="A11" s="2"/>
      <c r="B11" s="2"/>
      <c r="C11" s="2" t="s">
        <v>218</v>
      </c>
      <c r="D11" s="2"/>
      <c r="E11" s="95">
        <v>19</v>
      </c>
      <c r="F11" s="2" t="s">
        <v>37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">
      <c r="A12" s="2"/>
      <c r="B12" s="2"/>
      <c r="C12" s="2" t="s">
        <v>219</v>
      </c>
      <c r="D12" s="2"/>
      <c r="E12" s="95">
        <v>20</v>
      </c>
      <c r="F12" s="2" t="s">
        <v>247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">
      <c r="A13" s="2"/>
      <c r="B13" s="2"/>
      <c r="C13" s="2" t="s">
        <v>220</v>
      </c>
      <c r="D13" s="2"/>
      <c r="E13" s="2"/>
      <c r="F13" s="2" t="s">
        <v>248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">
      <c r="A14" s="2"/>
      <c r="B14" s="2"/>
      <c r="C14" s="2" t="s">
        <v>223</v>
      </c>
      <c r="D14" s="2"/>
      <c r="E14" s="2"/>
      <c r="F14" s="2" t="s">
        <v>249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">
      <c r="A15" s="2"/>
      <c r="B15" s="2"/>
      <c r="C15" s="2" t="s">
        <v>22</v>
      </c>
      <c r="D15" s="2"/>
      <c r="E15" s="2"/>
      <c r="F15" s="2" t="s">
        <v>250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">
      <c r="A16" s="2"/>
      <c r="B16" s="2"/>
      <c r="C16" s="2" t="s">
        <v>224</v>
      </c>
      <c r="D16" s="2"/>
      <c r="E16" s="2"/>
      <c r="F16" s="2" t="s">
        <v>251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">
      <c r="A17" s="2"/>
      <c r="B17" s="2"/>
      <c r="C17" s="2"/>
      <c r="D17" s="2"/>
      <c r="E17" s="2"/>
      <c r="F17" s="2" t="s">
        <v>252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">
      <c r="A18" s="2"/>
      <c r="B18" s="2"/>
      <c r="C18" s="2"/>
      <c r="D18" s="2"/>
      <c r="E18" s="2"/>
      <c r="F18" s="2" t="s">
        <v>253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">
      <c r="A19" s="2"/>
      <c r="B19" s="2"/>
      <c r="C19" s="2"/>
      <c r="D19" s="2"/>
      <c r="E19" s="2"/>
      <c r="F19" s="2" t="s">
        <v>254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2"/>
      <c r="B20" s="2"/>
      <c r="C20" s="2"/>
      <c r="D20" s="2"/>
      <c r="E20" s="2"/>
      <c r="F20" s="2" t="s">
        <v>255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 t="s">
        <v>256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 t="s">
        <v>257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 t="s">
        <v>258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 t="s">
        <v>259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 t="s">
        <v>260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 t="s">
        <v>261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 t="s">
        <v>262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 t="s">
        <v>263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 t="s">
        <v>264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 t="s">
        <v>265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 t="s">
        <v>266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 t="s">
        <v>267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 t="s">
        <v>268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 t="s">
        <v>269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 t="s">
        <v>35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 t="s">
        <v>270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 t="s">
        <v>271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 t="s">
        <v>272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 t="s">
        <v>273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 t="s">
        <v>274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 t="s">
        <v>275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 t="s">
        <v>276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 t="s">
        <v>277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 t="s">
        <v>278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 t="s">
        <v>279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 t="s">
        <v>280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 t="s">
        <v>281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 t="s">
        <v>282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 t="s">
        <v>283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 t="s">
        <v>284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 t="s">
        <v>285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 t="s">
        <v>286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 t="s">
        <v>287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 t="s">
        <v>288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 t="s">
        <v>289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 t="s">
        <v>290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"/>
  <sheetViews>
    <sheetView tabSelected="1" workbookViewId="0">
      <selection activeCell="D11" sqref="D11"/>
    </sheetView>
  </sheetViews>
  <sheetFormatPr baseColWidth="10" defaultColWidth="14.5" defaultRowHeight="15" customHeight="1" x14ac:dyDescent="0.2"/>
  <cols>
    <col min="1" max="1" width="71.33203125" customWidth="1"/>
    <col min="2" max="2" width="16.5" customWidth="1"/>
    <col min="3" max="3" width="14.6640625" customWidth="1"/>
    <col min="4" max="4" width="17" customWidth="1"/>
    <col min="5" max="5" width="15" customWidth="1"/>
    <col min="6" max="6" width="16.1640625" customWidth="1"/>
    <col min="7" max="7" width="16.33203125" customWidth="1"/>
    <col min="8" max="8" width="18" customWidth="1"/>
    <col min="9" max="10" width="15.6640625" customWidth="1"/>
    <col min="11" max="11" width="16" customWidth="1"/>
    <col min="12" max="52" width="11.5" customWidth="1"/>
  </cols>
  <sheetData>
    <row r="1" spans="1:52" ht="12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spans="1:52" ht="114.75" customHeight="1" x14ac:dyDescent="0.2">
      <c r="A2" s="122" t="s">
        <v>4</v>
      </c>
      <c r="B2" s="123"/>
      <c r="C2" s="3" t="s">
        <v>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 t="s">
        <v>6</v>
      </c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</row>
    <row r="3" spans="1:52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 t="s">
        <v>5</v>
      </c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</row>
    <row r="4" spans="1:52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</row>
    <row r="5" spans="1:52" ht="22.5" customHeight="1" x14ac:dyDescent="0.2">
      <c r="A5" s="124" t="s">
        <v>7</v>
      </c>
      <c r="B5" s="125"/>
      <c r="C5" s="125"/>
      <c r="D5" s="125"/>
      <c r="E5" s="125"/>
      <c r="F5" s="125"/>
      <c r="G5" s="125"/>
      <c r="H5" s="125"/>
      <c r="I5" s="125"/>
      <c r="J5" s="125"/>
      <c r="K5" s="126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</row>
    <row r="6" spans="1:52" ht="16" x14ac:dyDescent="0.2">
      <c r="A6" s="4"/>
      <c r="B6" s="5" t="s">
        <v>8</v>
      </c>
      <c r="C6" s="5" t="s">
        <v>9</v>
      </c>
      <c r="D6" s="5" t="s">
        <v>10</v>
      </c>
      <c r="E6" s="5" t="s">
        <v>11</v>
      </c>
      <c r="F6" s="5" t="s">
        <v>12</v>
      </c>
      <c r="G6" s="5" t="s">
        <v>13</v>
      </c>
      <c r="H6" s="5" t="s">
        <v>14</v>
      </c>
      <c r="I6" s="5" t="s">
        <v>15</v>
      </c>
      <c r="J6" s="5" t="s">
        <v>16</v>
      </c>
      <c r="K6" s="5" t="s">
        <v>17</v>
      </c>
      <c r="L6" s="6" t="s">
        <v>18</v>
      </c>
      <c r="M6" s="7"/>
      <c r="N6" s="7"/>
      <c r="O6" s="7"/>
      <c r="P6" s="7"/>
      <c r="Q6" s="7"/>
      <c r="R6" s="7"/>
      <c r="S6" s="7"/>
      <c r="T6" s="7"/>
      <c r="U6" s="7"/>
      <c r="V6" s="7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</row>
    <row r="7" spans="1:52" ht="16" x14ac:dyDescent="0.2">
      <c r="A7" s="8" t="s">
        <v>19</v>
      </c>
      <c r="B7" s="9" t="s">
        <v>351</v>
      </c>
      <c r="C7" s="10" t="s">
        <v>351</v>
      </c>
      <c r="D7" s="10" t="s">
        <v>351</v>
      </c>
      <c r="E7" s="11"/>
      <c r="F7" s="11"/>
      <c r="G7" s="11"/>
      <c r="H7" s="11"/>
      <c r="I7" s="11"/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</row>
    <row r="8" spans="1:52" ht="16" x14ac:dyDescent="0.2">
      <c r="A8" s="8" t="s">
        <v>20</v>
      </c>
      <c r="B8" s="12">
        <v>4.6900000000000004</v>
      </c>
      <c r="C8" s="13">
        <v>2.3199999999999998</v>
      </c>
      <c r="D8" s="13">
        <v>0.2</v>
      </c>
      <c r="E8" s="14"/>
      <c r="F8" s="14"/>
      <c r="G8" s="14"/>
      <c r="H8" s="14"/>
      <c r="I8" s="14"/>
      <c r="J8" s="14"/>
      <c r="K8" s="14"/>
      <c r="L8" s="15">
        <f>SUM(B8:K8)</f>
        <v>7.21</v>
      </c>
      <c r="M8" s="7"/>
      <c r="N8" s="7"/>
      <c r="O8" s="7"/>
      <c r="P8" s="7"/>
      <c r="Q8" s="7"/>
      <c r="R8" s="7"/>
      <c r="S8" s="7"/>
      <c r="T8" s="7"/>
      <c r="U8" s="7"/>
      <c r="V8" s="7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</row>
    <row r="9" spans="1:52" ht="16" x14ac:dyDescent="0.2">
      <c r="A9" s="8" t="s">
        <v>21</v>
      </c>
      <c r="B9" s="16" t="s">
        <v>22</v>
      </c>
      <c r="C9" s="17" t="s">
        <v>22</v>
      </c>
      <c r="D9" s="17" t="s">
        <v>22</v>
      </c>
      <c r="E9" s="11"/>
      <c r="F9" s="11"/>
      <c r="G9" s="11"/>
      <c r="H9" s="11"/>
      <c r="I9" s="11"/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</row>
    <row r="10" spans="1:52" ht="32" x14ac:dyDescent="0.2">
      <c r="A10" s="8" t="s">
        <v>23</v>
      </c>
      <c r="B10" s="18" t="s">
        <v>24</v>
      </c>
      <c r="C10" s="19" t="s">
        <v>24</v>
      </c>
      <c r="D10" s="19" t="s">
        <v>24</v>
      </c>
      <c r="E10" s="20"/>
      <c r="F10" s="20"/>
      <c r="G10" s="20"/>
      <c r="H10" s="20"/>
      <c r="I10" s="20"/>
      <c r="J10" s="20"/>
      <c r="K10" s="20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</row>
    <row r="11" spans="1:52" ht="16" x14ac:dyDescent="0.2">
      <c r="A11" s="8" t="s">
        <v>25</v>
      </c>
      <c r="B11" s="16" t="s">
        <v>26</v>
      </c>
      <c r="C11" s="17" t="s">
        <v>26</v>
      </c>
      <c r="D11" s="17" t="s">
        <v>26</v>
      </c>
      <c r="E11" s="11"/>
      <c r="F11" s="11"/>
      <c r="G11" s="11"/>
      <c r="H11" s="11"/>
      <c r="I11" s="11"/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</row>
    <row r="12" spans="1:52" ht="16" x14ac:dyDescent="0.2">
      <c r="A12" s="8" t="s">
        <v>27</v>
      </c>
      <c r="B12" s="16">
        <v>2100</v>
      </c>
      <c r="C12" s="17">
        <v>2400</v>
      </c>
      <c r="D12" s="17">
        <v>2400</v>
      </c>
      <c r="E12" s="11"/>
      <c r="F12" s="11"/>
      <c r="G12" s="11"/>
      <c r="H12" s="11"/>
      <c r="I12" s="11"/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</row>
    <row r="13" spans="1:52" ht="30.75" customHeight="1" x14ac:dyDescent="0.2">
      <c r="A13" s="8" t="s">
        <v>28</v>
      </c>
      <c r="B13" s="21" t="s">
        <v>29</v>
      </c>
      <c r="C13" s="22" t="s">
        <v>29</v>
      </c>
      <c r="D13" s="22" t="s">
        <v>29</v>
      </c>
      <c r="E13" s="23"/>
      <c r="F13" s="23"/>
      <c r="G13" s="23"/>
      <c r="H13" s="23"/>
      <c r="I13" s="23"/>
      <c r="J13" s="23"/>
      <c r="K13" s="23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</row>
    <row r="14" spans="1:52" ht="16" x14ac:dyDescent="0.2">
      <c r="A14" s="8" t="s">
        <v>30</v>
      </c>
      <c r="B14" s="16">
        <v>20</v>
      </c>
      <c r="C14" s="17">
        <v>20</v>
      </c>
      <c r="D14" s="17">
        <v>20</v>
      </c>
      <c r="E14" s="11"/>
      <c r="F14" s="11"/>
      <c r="G14" s="11"/>
      <c r="H14" s="11"/>
      <c r="I14" s="11"/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</row>
    <row r="15" spans="1:52" ht="16" x14ac:dyDescent="0.2">
      <c r="A15" s="8" t="s">
        <v>31</v>
      </c>
      <c r="B15" s="25">
        <v>0.75</v>
      </c>
      <c r="C15" s="26">
        <v>0.75</v>
      </c>
      <c r="D15" s="26">
        <v>0.75</v>
      </c>
      <c r="E15" s="27"/>
      <c r="F15" s="27"/>
      <c r="G15" s="27"/>
      <c r="H15" s="27"/>
      <c r="I15" s="27"/>
      <c r="J15" s="27"/>
      <c r="K15" s="2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</row>
    <row r="16" spans="1:52" ht="16" x14ac:dyDescent="0.2">
      <c r="A16" s="8" t="s">
        <v>32</v>
      </c>
      <c r="B16" s="16" t="s">
        <v>33</v>
      </c>
      <c r="C16" s="17" t="s">
        <v>33</v>
      </c>
      <c r="D16" s="17" t="s">
        <v>33</v>
      </c>
      <c r="E16" s="11"/>
      <c r="F16" s="11"/>
      <c r="G16" s="11"/>
      <c r="H16" s="11"/>
      <c r="I16" s="11"/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</row>
    <row r="17" spans="1:52" ht="30" x14ac:dyDescent="0.2">
      <c r="A17" s="28" t="s">
        <v>34</v>
      </c>
      <c r="B17" s="18" t="s">
        <v>35</v>
      </c>
      <c r="C17" s="19" t="s">
        <v>35</v>
      </c>
      <c r="D17" s="19" t="s">
        <v>35</v>
      </c>
      <c r="E17" s="11"/>
      <c r="F17" s="11"/>
      <c r="G17" s="11"/>
      <c r="H17" s="11"/>
      <c r="I17" s="11"/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</row>
    <row r="18" spans="1:52" ht="30" x14ac:dyDescent="0.2">
      <c r="A18" s="28" t="s">
        <v>36</v>
      </c>
      <c r="B18" s="18" t="s">
        <v>37</v>
      </c>
      <c r="C18" s="19" t="s">
        <v>37</v>
      </c>
      <c r="D18" s="19" t="s">
        <v>37</v>
      </c>
      <c r="E18" s="11"/>
      <c r="F18" s="11"/>
      <c r="G18" s="11"/>
      <c r="H18" s="11"/>
      <c r="I18" s="11"/>
      <c r="J18" s="11"/>
      <c r="K18" s="11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</row>
    <row r="19" spans="1:52" ht="30" x14ac:dyDescent="0.2">
      <c r="A19" s="28" t="s">
        <v>38</v>
      </c>
      <c r="B19" s="18" t="s">
        <v>39</v>
      </c>
      <c r="C19" s="19" t="s">
        <v>39</v>
      </c>
      <c r="D19" s="19" t="s">
        <v>39</v>
      </c>
      <c r="E19" s="11"/>
      <c r="F19" s="11"/>
      <c r="G19" s="11"/>
      <c r="H19" s="11"/>
      <c r="I19" s="11"/>
      <c r="J19" s="11"/>
      <c r="K19" s="11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</row>
    <row r="20" spans="1:52" ht="16" x14ac:dyDescent="0.2">
      <c r="A20" s="8" t="s">
        <v>40</v>
      </c>
      <c r="B20" s="29">
        <v>62</v>
      </c>
      <c r="C20" s="30"/>
      <c r="D20" s="30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</row>
    <row r="21" spans="1:52" ht="15.75" customHeight="1" x14ac:dyDescent="0.2">
      <c r="A21" s="8" t="s">
        <v>41</v>
      </c>
      <c r="B21" s="29">
        <f>B20+B8+C8+D8</f>
        <v>69.209999999999994</v>
      </c>
      <c r="C21" s="30"/>
      <c r="D21" s="30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</row>
    <row r="22" spans="1:52" ht="15.75" customHeight="1" x14ac:dyDescent="0.2">
      <c r="A22" s="7"/>
      <c r="B22" s="30"/>
      <c r="C22" s="30"/>
      <c r="D22" s="30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</row>
    <row r="23" spans="1:52" ht="15.75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</row>
    <row r="24" spans="1:52" ht="15.75" customHeight="1" x14ac:dyDescent="0.2">
      <c r="A24" s="124" t="s">
        <v>42</v>
      </c>
      <c r="B24" s="125"/>
      <c r="C24" s="125"/>
      <c r="D24" s="125"/>
      <c r="E24" s="125"/>
      <c r="F24" s="125"/>
      <c r="G24" s="125"/>
      <c r="H24" s="125"/>
      <c r="I24" s="125"/>
      <c r="J24" s="125"/>
      <c r="K24" s="126"/>
      <c r="L24" s="31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</row>
    <row r="25" spans="1:52" ht="15.75" customHeight="1" x14ac:dyDescent="0.2">
      <c r="A25" s="32" t="s">
        <v>43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</row>
    <row r="26" spans="1:52" ht="15.75" hidden="1" customHeight="1" x14ac:dyDescent="0.2">
      <c r="A26" s="32" t="s">
        <v>44</v>
      </c>
      <c r="B26" s="34" t="str">
        <f t="shared" ref="B26:K26" si="0">CONCATENATE(B9," - ",B11)</f>
        <v>Pommier - Axe</v>
      </c>
      <c r="C26" s="34" t="str">
        <f t="shared" si="0"/>
        <v>Pommier - Axe</v>
      </c>
      <c r="D26" s="34" t="str">
        <f t="shared" si="0"/>
        <v>Pommier - Axe</v>
      </c>
      <c r="E26" s="34" t="str">
        <f t="shared" si="0"/>
        <v xml:space="preserve"> - </v>
      </c>
      <c r="F26" s="34" t="str">
        <f t="shared" si="0"/>
        <v xml:space="preserve"> - </v>
      </c>
      <c r="G26" s="34" t="str">
        <f t="shared" si="0"/>
        <v xml:space="preserve"> - </v>
      </c>
      <c r="H26" s="34" t="str">
        <f t="shared" si="0"/>
        <v xml:space="preserve"> - </v>
      </c>
      <c r="I26" s="34" t="str">
        <f t="shared" si="0"/>
        <v xml:space="preserve"> - </v>
      </c>
      <c r="J26" s="34" t="str">
        <f t="shared" si="0"/>
        <v xml:space="preserve"> - </v>
      </c>
      <c r="K26" s="34" t="str">
        <f t="shared" si="0"/>
        <v xml:space="preserve"> - 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</row>
    <row r="27" spans="1:52" ht="15.75" customHeight="1" x14ac:dyDescent="0.2">
      <c r="A27" s="35" t="s">
        <v>45</v>
      </c>
      <c r="B27" s="36">
        <f>IF(B12="","",VLOOKUP(B26,'(ne pas modifier) BDD_REF'!$C$21:$D$42,2,FALSE))</f>
        <v>1000</v>
      </c>
      <c r="C27" s="36">
        <f>IF(C12="","",VLOOKUP(C26,'(ne pas modifier) BDD_REF'!$C$21:$D$42,2,FALSE))</f>
        <v>1000</v>
      </c>
      <c r="D27" s="36">
        <f>IF(D12="","",VLOOKUP(D26,'(ne pas modifier) BDD_REF'!$C$21:$D$42,2,FALSE))</f>
        <v>1000</v>
      </c>
      <c r="E27" s="36" t="str">
        <f>IF(E12="","",VLOOKUP(E26,'(ne pas modifier) BDD_REF'!$C$21:$D$42,2,FALSE))</f>
        <v/>
      </c>
      <c r="F27" s="36" t="str">
        <f>IF(F12="","",VLOOKUP(F26,'(ne pas modifier) BDD_REF'!$C$21:$D$42,2,FALSE))</f>
        <v/>
      </c>
      <c r="G27" s="36" t="str">
        <f>IF(G12="","",VLOOKUP(G26,'(ne pas modifier) BDD_REF'!$C$21:$D$42,2,FALSE))</f>
        <v/>
      </c>
      <c r="H27" s="36" t="str">
        <f>IF(H12="","",VLOOKUP(H26,'(ne pas modifier) BDD_REF'!$C$21:$D$42,2,FALSE))</f>
        <v/>
      </c>
      <c r="I27" s="36" t="str">
        <f>IF(I12="","",VLOOKUP(I26,'(ne pas modifier) BDD_REF'!$C$21:$D$42,2,FALSE))</f>
        <v/>
      </c>
      <c r="J27" s="36" t="str">
        <f>IF(J12="","",VLOOKUP(J26,'(ne pas modifier) BDD_REF'!$C$21:$D$42,2,FALSE))</f>
        <v/>
      </c>
      <c r="K27" s="36" t="str">
        <f>IF(K12="","",VLOOKUP(K26,'(ne pas modifier) BDD_REF'!$C$21:$D$42,2,FALSE))</f>
        <v/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</row>
    <row r="28" spans="1:52" ht="15.75" customHeight="1" x14ac:dyDescent="0.2">
      <c r="A28" s="35" t="s">
        <v>46</v>
      </c>
      <c r="B28" s="37" t="str">
        <f t="shared" ref="B28:K28" si="1">IF(B12="","",IF(B12&gt;=B27,"OUI","NON"))</f>
        <v>OUI</v>
      </c>
      <c r="C28" s="37" t="str">
        <f t="shared" si="1"/>
        <v>OUI</v>
      </c>
      <c r="D28" s="37" t="str">
        <f t="shared" si="1"/>
        <v>OUI</v>
      </c>
      <c r="E28" s="37" t="str">
        <f t="shared" si="1"/>
        <v/>
      </c>
      <c r="F28" s="37" t="str">
        <f t="shared" si="1"/>
        <v/>
      </c>
      <c r="G28" s="37" t="str">
        <f t="shared" si="1"/>
        <v/>
      </c>
      <c r="H28" s="37" t="str">
        <f t="shared" si="1"/>
        <v/>
      </c>
      <c r="I28" s="37" t="str">
        <f t="shared" si="1"/>
        <v/>
      </c>
      <c r="J28" s="37" t="str">
        <f t="shared" si="1"/>
        <v/>
      </c>
      <c r="K28" s="37" t="str">
        <f t="shared" si="1"/>
        <v/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</row>
    <row r="29" spans="1:52" ht="15.75" customHeight="1" x14ac:dyDescent="0.2">
      <c r="A29" s="38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</row>
    <row r="30" spans="1:52" ht="15.75" customHeight="1" x14ac:dyDescent="0.2">
      <c r="A30" s="32" t="s">
        <v>47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</row>
    <row r="31" spans="1:52" ht="15" customHeight="1" x14ac:dyDescent="0.2">
      <c r="A31" s="35" t="s">
        <v>48</v>
      </c>
      <c r="B31" s="37" t="str">
        <f t="shared" ref="B31:K31" si="2">IF(B21="","",IF(B21&gt;=B20,"OUI","NON"))</f>
        <v>OUI</v>
      </c>
      <c r="C31" s="39" t="str">
        <f t="shared" si="2"/>
        <v/>
      </c>
      <c r="D31" s="39" t="str">
        <f t="shared" si="2"/>
        <v/>
      </c>
      <c r="E31" s="39" t="str">
        <f t="shared" si="2"/>
        <v/>
      </c>
      <c r="F31" s="39" t="str">
        <f t="shared" si="2"/>
        <v/>
      </c>
      <c r="G31" s="39" t="str">
        <f t="shared" si="2"/>
        <v/>
      </c>
      <c r="H31" s="39" t="str">
        <f t="shared" si="2"/>
        <v/>
      </c>
      <c r="I31" s="39" t="str">
        <f t="shared" si="2"/>
        <v/>
      </c>
      <c r="J31" s="39" t="str">
        <f t="shared" si="2"/>
        <v/>
      </c>
      <c r="K31" s="39" t="str">
        <f t="shared" si="2"/>
        <v/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</row>
    <row r="32" spans="1:52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</row>
    <row r="33" spans="1:52" ht="15.75" customHeight="1" x14ac:dyDescent="0.2">
      <c r="A33" s="32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6" t="s">
        <v>18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</row>
    <row r="34" spans="1:52" ht="15.75" hidden="1" customHeight="1" x14ac:dyDescent="0.2">
      <c r="A34" s="35" t="s">
        <v>50</v>
      </c>
      <c r="B34" s="40" t="str">
        <f>CONCATENATE(Eligibilité_projet!B13," - ",Eligibilité_projet!B16)</f>
        <v>Hors climat Mediterranéen - Grandes cultures</v>
      </c>
      <c r="C34" s="40" t="str">
        <f>CONCATENATE(Eligibilité_projet!C13," - ",Eligibilité_projet!C16)</f>
        <v>Hors climat Mediterranéen - Grandes cultures</v>
      </c>
      <c r="D34" s="40" t="str">
        <f>CONCATENATE(Eligibilité_projet!D13," - ",Eligibilité_projet!D16)</f>
        <v>Hors climat Mediterranéen - Grandes cultures</v>
      </c>
      <c r="E34" s="40" t="str">
        <f>CONCATENATE(Eligibilité_projet!E13," - ",Eligibilité_projet!E16)</f>
        <v xml:space="preserve"> - </v>
      </c>
      <c r="F34" s="40" t="str">
        <f>CONCATENATE(Eligibilité_projet!F13," - ",Eligibilité_projet!F16)</f>
        <v xml:space="preserve"> - </v>
      </c>
      <c r="G34" s="40" t="str">
        <f>CONCATENATE(Eligibilité_projet!G13," - ",Eligibilité_projet!G16)</f>
        <v xml:space="preserve"> - </v>
      </c>
      <c r="H34" s="40" t="str">
        <f>CONCATENATE(Eligibilité_projet!H13," - ",Eligibilité_projet!H16)</f>
        <v xml:space="preserve"> - </v>
      </c>
      <c r="I34" s="40" t="str">
        <f>CONCATENATE(Eligibilité_projet!I13," - ",Eligibilité_projet!I16)</f>
        <v xml:space="preserve"> - </v>
      </c>
      <c r="J34" s="40" t="str">
        <f>CONCATENATE(Eligibilité_projet!J13," - ",Eligibilité_projet!J16)</f>
        <v xml:space="preserve"> - </v>
      </c>
      <c r="K34" s="40" t="str">
        <f>CONCATENATE(Eligibilité_projet!K13," - ",Eligibilité_projet!K16)</f>
        <v xml:space="preserve"> - 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</row>
    <row r="35" spans="1:52" ht="15.75" hidden="1" customHeight="1" x14ac:dyDescent="0.2">
      <c r="A35" s="35" t="s">
        <v>51</v>
      </c>
      <c r="B35" s="40" t="str">
        <f>CONCATENATE(Eligibilité_projet!B14," - ",Eligibilité_projet!B16,"-",Eligibilité_projet!B13)</f>
        <v>20 - Grandes cultures-Hors climat Mediterranéen</v>
      </c>
      <c r="C35" s="40" t="str">
        <f>CONCATENATE(Eligibilité_projet!C14," - ",Eligibilité_projet!C16,"-",Eligibilité_projet!C13)</f>
        <v>20 - Grandes cultures-Hors climat Mediterranéen</v>
      </c>
      <c r="D35" s="40" t="str">
        <f>CONCATENATE(Eligibilité_projet!D14," - ",Eligibilité_projet!D16,"-",Eligibilité_projet!D13)</f>
        <v>20 - Grandes cultures-Hors climat Mediterranéen</v>
      </c>
      <c r="E35" s="40" t="str">
        <f>CONCATENATE(Eligibilité_projet!E14," - ",Eligibilité_projet!E16,"-",Eligibilité_projet!E13)</f>
        <v xml:space="preserve"> - -</v>
      </c>
      <c r="F35" s="40" t="str">
        <f>CONCATENATE(Eligibilité_projet!F14," - ",Eligibilité_projet!F16,"-",Eligibilité_projet!F13)</f>
        <v xml:space="preserve"> - -</v>
      </c>
      <c r="G35" s="40" t="str">
        <f>CONCATENATE(Eligibilité_projet!G14," - ",Eligibilité_projet!G16,"-",Eligibilité_projet!G13)</f>
        <v xml:space="preserve"> - -</v>
      </c>
      <c r="H35" s="40" t="str">
        <f>CONCATENATE(Eligibilité_projet!H14," - ",Eligibilité_projet!H16,"-",Eligibilité_projet!H13)</f>
        <v xml:space="preserve"> - -</v>
      </c>
      <c r="I35" s="40" t="str">
        <f>CONCATENATE(Eligibilité_projet!I14," - ",Eligibilité_projet!I16,"-",Eligibilité_projet!I13)</f>
        <v xml:space="preserve"> - -</v>
      </c>
      <c r="J35" s="40" t="str">
        <f>CONCATENATE(Eligibilité_projet!J14," - ",Eligibilité_projet!J16,"-",Eligibilité_projet!J13)</f>
        <v xml:space="preserve"> - -</v>
      </c>
      <c r="K35" s="40" t="str">
        <f>CONCATENATE(Eligibilité_projet!K14," - ",Eligibilité_projet!K16,"-",Eligibilité_projet!K13)</f>
        <v xml:space="preserve"> - -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</row>
    <row r="36" spans="1:52" ht="15.75" customHeight="1" x14ac:dyDescent="0.2">
      <c r="A36" s="35" t="s">
        <v>52</v>
      </c>
      <c r="B36" s="41">
        <f>RECant_sol!C9</f>
        <v>40.412166666666664</v>
      </c>
      <c r="C36" s="41">
        <f>RECant_sol!D9</f>
        <v>19.990666666666662</v>
      </c>
      <c r="D36" s="41">
        <f>RECant_sol!E9</f>
        <v>1.7233333333333334</v>
      </c>
      <c r="E36" s="41">
        <f>RECant_sol!F9</f>
        <v>0</v>
      </c>
      <c r="F36" s="41">
        <f>RECant_sol!G9</f>
        <v>0</v>
      </c>
      <c r="G36" s="41">
        <f>RECant_sol!H9</f>
        <v>0</v>
      </c>
      <c r="H36" s="41">
        <f>RECant_sol!I9</f>
        <v>0</v>
      </c>
      <c r="I36" s="41">
        <f>RECant_sol!J9</f>
        <v>0</v>
      </c>
      <c r="J36" s="41">
        <f>RECant_sol!K9</f>
        <v>0</v>
      </c>
      <c r="K36" s="41">
        <f>RECant_sol!L9</f>
        <v>0</v>
      </c>
      <c r="L36" s="42">
        <f t="shared" ref="L36:L38" si="3">SUM(B36:K36)</f>
        <v>62.126166666666663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</row>
    <row r="37" spans="1:52" ht="15.75" customHeight="1" x14ac:dyDescent="0.2">
      <c r="A37" s="35" t="s">
        <v>53</v>
      </c>
      <c r="B37" s="43">
        <f>RECant_biom!C28</f>
        <v>192.35700000000006</v>
      </c>
      <c r="C37" s="43">
        <f>RECant_biom!D28</f>
        <v>95.153142857142868</v>
      </c>
      <c r="D37" s="44">
        <f>RECant_biom!E28</f>
        <v>8.2028571428571446</v>
      </c>
      <c r="E37" s="44">
        <f>RECant_biom!F28</f>
        <v>0</v>
      </c>
      <c r="F37" s="44">
        <f>RECant_biom!G28</f>
        <v>0</v>
      </c>
      <c r="G37" s="44">
        <f>RECant_biom!H28</f>
        <v>0</v>
      </c>
      <c r="H37" s="44">
        <f>RECant_biom!I28</f>
        <v>0</v>
      </c>
      <c r="I37" s="44">
        <f>RECant_biom!J28</f>
        <v>0</v>
      </c>
      <c r="J37" s="44">
        <f>RECant_biom!K28</f>
        <v>0</v>
      </c>
      <c r="K37" s="44">
        <f>RECant_biom!L28</f>
        <v>0</v>
      </c>
      <c r="L37" s="45">
        <f t="shared" si="3"/>
        <v>295.71300000000008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</row>
    <row r="38" spans="1:52" ht="15.75" customHeight="1" x14ac:dyDescent="0.2">
      <c r="A38" s="46" t="s">
        <v>54</v>
      </c>
      <c r="B38" s="43">
        <f t="shared" ref="B38:K38" si="4">IF(B36="","",B36+B37)</f>
        <v>232.76916666666671</v>
      </c>
      <c r="C38" s="43">
        <f t="shared" si="4"/>
        <v>115.14380952380952</v>
      </c>
      <c r="D38" s="44">
        <f t="shared" si="4"/>
        <v>9.9261904761904773</v>
      </c>
      <c r="E38" s="44">
        <f t="shared" si="4"/>
        <v>0</v>
      </c>
      <c r="F38" s="44">
        <f t="shared" si="4"/>
        <v>0</v>
      </c>
      <c r="G38" s="44">
        <f t="shared" si="4"/>
        <v>0</v>
      </c>
      <c r="H38" s="44">
        <f t="shared" si="4"/>
        <v>0</v>
      </c>
      <c r="I38" s="44">
        <f t="shared" si="4"/>
        <v>0</v>
      </c>
      <c r="J38" s="44">
        <f t="shared" si="4"/>
        <v>0</v>
      </c>
      <c r="K38" s="44">
        <f t="shared" si="4"/>
        <v>0</v>
      </c>
      <c r="L38" s="45">
        <f t="shared" si="3"/>
        <v>357.8391666666667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</row>
    <row r="39" spans="1:52" ht="15.75" customHeight="1" x14ac:dyDescent="0.2">
      <c r="A39" s="35" t="s">
        <v>48</v>
      </c>
      <c r="B39" s="37" t="str">
        <f t="shared" ref="B39:K39" si="5">IF(AND(B36=0,B37=0),"",IF(B38&gt;0,"OUI","NON"))</f>
        <v>OUI</v>
      </c>
      <c r="C39" s="37" t="str">
        <f t="shared" si="5"/>
        <v>OUI</v>
      </c>
      <c r="D39" s="37" t="str">
        <f t="shared" si="5"/>
        <v>OUI</v>
      </c>
      <c r="E39" s="37" t="str">
        <f t="shared" si="5"/>
        <v/>
      </c>
      <c r="F39" s="37" t="str">
        <f t="shared" si="5"/>
        <v/>
      </c>
      <c r="G39" s="37" t="str">
        <f t="shared" si="5"/>
        <v/>
      </c>
      <c r="H39" s="37" t="str">
        <f t="shared" si="5"/>
        <v/>
      </c>
      <c r="I39" s="37" t="str">
        <f t="shared" si="5"/>
        <v/>
      </c>
      <c r="J39" s="37" t="str">
        <f t="shared" si="5"/>
        <v/>
      </c>
      <c r="K39" s="37" t="str">
        <f t="shared" si="5"/>
        <v/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</row>
    <row r="40" spans="1:52" ht="15.75" customHeight="1" x14ac:dyDescent="0.2">
      <c r="A40" s="47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</row>
    <row r="41" spans="1:52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</row>
    <row r="42" spans="1:52" ht="15.75" customHeight="1" x14ac:dyDescent="0.2">
      <c r="A42" s="32" t="s">
        <v>55</v>
      </c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</row>
    <row r="43" spans="1:52" ht="15.75" customHeight="1" x14ac:dyDescent="0.2">
      <c r="A43" s="35" t="s">
        <v>48</v>
      </c>
      <c r="B43" s="37" t="str">
        <f t="shared" ref="B43:K43" si="6">IF(B15="","",IF(B15&gt;=0.5,"OUI","NON"))</f>
        <v>OUI</v>
      </c>
      <c r="C43" s="37" t="str">
        <f t="shared" si="6"/>
        <v>OUI</v>
      </c>
      <c r="D43" s="37" t="str">
        <f t="shared" si="6"/>
        <v>OUI</v>
      </c>
      <c r="E43" s="37" t="str">
        <f t="shared" si="6"/>
        <v/>
      </c>
      <c r="F43" s="37" t="str">
        <f t="shared" si="6"/>
        <v/>
      </c>
      <c r="G43" s="37" t="str">
        <f t="shared" si="6"/>
        <v/>
      </c>
      <c r="H43" s="37" t="str">
        <f t="shared" si="6"/>
        <v/>
      </c>
      <c r="I43" s="37" t="str">
        <f t="shared" si="6"/>
        <v/>
      </c>
      <c r="J43" s="37" t="str">
        <f t="shared" si="6"/>
        <v/>
      </c>
      <c r="K43" s="37" t="str">
        <f t="shared" si="6"/>
        <v/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</row>
    <row r="44" spans="1:52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</row>
    <row r="45" spans="1:52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</row>
    <row r="46" spans="1:52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</row>
    <row r="47" spans="1:52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</row>
    <row r="48" spans="1:52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</row>
    <row r="49" spans="1:52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</row>
    <row r="50" spans="1:52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</row>
    <row r="51" spans="1:52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</row>
    <row r="52" spans="1:52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</row>
    <row r="53" spans="1:52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</row>
    <row r="54" spans="1:52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</row>
    <row r="55" spans="1:52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</row>
    <row r="56" spans="1:52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</row>
    <row r="57" spans="1:52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</row>
    <row r="58" spans="1:52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</row>
    <row r="59" spans="1:52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spans="1:52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spans="1:52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spans="1:52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spans="1:52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spans="1:52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spans="1:52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spans="1:52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spans="1:52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spans="1:52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spans="1:52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spans="1:52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spans="1:52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spans="1:52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spans="1:52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spans="1:52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spans="1:52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spans="1:52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spans="1:52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spans="1:52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spans="1:52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spans="1:52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spans="1:52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spans="1:52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spans="1:52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spans="1:52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spans="1:52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spans="1:52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spans="1:52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spans="1:52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spans="1:52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spans="1:52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spans="1:52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spans="1:52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spans="1:52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spans="1:52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spans="1:52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spans="1:52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spans="1:52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spans="1:52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spans="1:52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spans="1:52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spans="1:52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spans="1:52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spans="1:52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spans="1:52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spans="1:52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spans="1:52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spans="1:52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</row>
    <row r="108" spans="1:52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</row>
    <row r="109" spans="1:52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</row>
    <row r="110" spans="1:52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</row>
    <row r="111" spans="1:52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</row>
    <row r="112" spans="1:52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</row>
    <row r="113" spans="1:52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</row>
    <row r="114" spans="1:52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</row>
    <row r="115" spans="1:52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</row>
    <row r="116" spans="1:52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</row>
    <row r="117" spans="1:52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</row>
    <row r="118" spans="1:52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</row>
    <row r="119" spans="1:52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</row>
    <row r="120" spans="1:52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</row>
    <row r="121" spans="1:52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</row>
    <row r="122" spans="1:52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</row>
    <row r="123" spans="1:52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</row>
    <row r="124" spans="1:52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</row>
    <row r="125" spans="1:52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</row>
    <row r="126" spans="1:52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</row>
    <row r="127" spans="1:52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</row>
    <row r="128" spans="1:52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</row>
    <row r="129" spans="1:52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</row>
    <row r="130" spans="1:52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</row>
    <row r="131" spans="1:52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</row>
    <row r="132" spans="1:52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</row>
    <row r="133" spans="1:52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</row>
    <row r="134" spans="1:52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</row>
    <row r="135" spans="1:52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</row>
    <row r="136" spans="1:52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</row>
    <row r="137" spans="1:52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</row>
    <row r="138" spans="1:52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</row>
    <row r="139" spans="1:52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</row>
    <row r="140" spans="1:52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</row>
    <row r="141" spans="1:52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</row>
    <row r="142" spans="1:52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</row>
    <row r="143" spans="1:52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</row>
    <row r="144" spans="1:52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</row>
    <row r="145" spans="1:52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</row>
    <row r="146" spans="1:52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</row>
    <row r="147" spans="1:52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</row>
    <row r="148" spans="1:52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</row>
    <row r="149" spans="1:52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</row>
    <row r="150" spans="1:52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</row>
    <row r="151" spans="1:52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</row>
    <row r="152" spans="1:52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</row>
    <row r="153" spans="1:52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</row>
    <row r="154" spans="1:52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</row>
    <row r="155" spans="1:52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</row>
    <row r="156" spans="1:52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</row>
    <row r="157" spans="1:52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</row>
    <row r="158" spans="1:52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</row>
    <row r="159" spans="1:52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</row>
    <row r="160" spans="1:52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</row>
    <row r="161" spans="1:52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</row>
    <row r="162" spans="1:52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</row>
    <row r="163" spans="1:52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</row>
    <row r="164" spans="1:52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</row>
    <row r="165" spans="1:52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</row>
    <row r="166" spans="1:52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</row>
    <row r="167" spans="1:52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</row>
    <row r="168" spans="1:52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</row>
    <row r="169" spans="1:52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</row>
    <row r="170" spans="1:52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</row>
    <row r="171" spans="1:52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</row>
    <row r="172" spans="1:52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</row>
    <row r="173" spans="1:52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</row>
    <row r="174" spans="1:52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</row>
    <row r="175" spans="1:52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</row>
    <row r="176" spans="1:52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</row>
    <row r="177" spans="1:52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</row>
    <row r="178" spans="1:52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</row>
    <row r="179" spans="1:52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</row>
    <row r="180" spans="1:52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</row>
    <row r="181" spans="1:52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</row>
    <row r="182" spans="1:52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</row>
    <row r="183" spans="1:52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</row>
    <row r="184" spans="1:52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</row>
    <row r="185" spans="1:52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</row>
    <row r="186" spans="1:52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</row>
    <row r="187" spans="1:52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</row>
    <row r="188" spans="1:52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</row>
    <row r="189" spans="1:52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</row>
    <row r="190" spans="1:52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</row>
    <row r="191" spans="1:52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</row>
    <row r="192" spans="1:52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</row>
    <row r="193" spans="1:52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</row>
    <row r="194" spans="1:52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</row>
    <row r="195" spans="1:52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</row>
    <row r="196" spans="1:52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</row>
    <row r="197" spans="1:52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</row>
    <row r="198" spans="1:52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</row>
    <row r="199" spans="1:52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</row>
    <row r="200" spans="1:52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</row>
    <row r="201" spans="1:52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</row>
    <row r="202" spans="1:52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</row>
    <row r="203" spans="1:52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</row>
    <row r="204" spans="1:52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</row>
    <row r="205" spans="1:52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</row>
    <row r="206" spans="1:52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</row>
    <row r="207" spans="1:52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</row>
    <row r="208" spans="1:52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</row>
    <row r="209" spans="1:52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</row>
    <row r="210" spans="1:52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</row>
    <row r="211" spans="1:52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</row>
    <row r="212" spans="1:52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</row>
    <row r="213" spans="1:52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</row>
    <row r="214" spans="1:52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</row>
    <row r="215" spans="1:52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</row>
    <row r="216" spans="1:52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</row>
    <row r="217" spans="1:52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</row>
    <row r="218" spans="1:52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</row>
    <row r="219" spans="1:52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</row>
    <row r="220" spans="1:52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</row>
    <row r="221" spans="1:52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</row>
    <row r="222" spans="1:52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</row>
    <row r="223" spans="1:52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</row>
    <row r="224" spans="1:52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</row>
    <row r="225" spans="1:52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</row>
    <row r="226" spans="1:52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</row>
    <row r="227" spans="1:52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</row>
    <row r="228" spans="1:52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</row>
    <row r="229" spans="1:52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</row>
    <row r="230" spans="1:52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</row>
    <row r="231" spans="1:52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</row>
    <row r="232" spans="1:52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</row>
    <row r="233" spans="1:52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</row>
    <row r="234" spans="1:52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</row>
    <row r="235" spans="1:52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</row>
    <row r="236" spans="1:52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</row>
    <row r="237" spans="1:52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</row>
    <row r="238" spans="1:52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</row>
    <row r="239" spans="1:52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</row>
    <row r="240" spans="1:52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</row>
    <row r="241" spans="1:52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</row>
    <row r="242" spans="1:52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</row>
    <row r="243" spans="1:52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</row>
    <row r="244" spans="1:52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</row>
    <row r="245" spans="1:52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</row>
    <row r="246" spans="1:52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</row>
    <row r="247" spans="1:52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</row>
    <row r="248" spans="1:52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</row>
    <row r="249" spans="1:52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</row>
    <row r="250" spans="1:52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</row>
    <row r="251" spans="1:52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</row>
    <row r="252" spans="1:52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</row>
    <row r="253" spans="1:52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</row>
    <row r="254" spans="1:52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</row>
    <row r="255" spans="1:52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</row>
    <row r="256" spans="1:52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</row>
    <row r="257" spans="1:52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</row>
    <row r="258" spans="1:52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</row>
    <row r="259" spans="1:52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</row>
    <row r="260" spans="1:52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</row>
    <row r="261" spans="1:52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</row>
    <row r="262" spans="1:52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</row>
    <row r="263" spans="1:52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</row>
    <row r="264" spans="1:52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</row>
    <row r="265" spans="1:52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</row>
    <row r="266" spans="1:52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</row>
    <row r="267" spans="1:52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</row>
    <row r="268" spans="1:52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</row>
    <row r="269" spans="1:52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</row>
    <row r="270" spans="1:52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</row>
    <row r="271" spans="1:52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</row>
    <row r="272" spans="1:52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</row>
    <row r="273" spans="1:52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</row>
    <row r="274" spans="1:52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</row>
    <row r="275" spans="1:52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</row>
    <row r="276" spans="1:52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</row>
    <row r="277" spans="1:52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</row>
    <row r="278" spans="1:52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</row>
    <row r="279" spans="1:52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</row>
    <row r="280" spans="1:52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</row>
    <row r="281" spans="1:52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</row>
    <row r="282" spans="1:52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</row>
    <row r="283" spans="1:52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</row>
    <row r="284" spans="1:52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</row>
    <row r="285" spans="1:52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</row>
    <row r="286" spans="1:52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</row>
    <row r="287" spans="1:52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</row>
    <row r="288" spans="1:52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</row>
    <row r="289" spans="1:52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</row>
    <row r="290" spans="1:52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</row>
    <row r="291" spans="1:52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</row>
    <row r="292" spans="1:52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</row>
    <row r="293" spans="1:52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</row>
    <row r="294" spans="1:52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</row>
    <row r="295" spans="1:52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</row>
    <row r="296" spans="1:52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</row>
    <row r="297" spans="1:52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</row>
    <row r="298" spans="1:52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</row>
    <row r="299" spans="1:52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</row>
    <row r="300" spans="1:52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</row>
    <row r="301" spans="1:52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</row>
    <row r="302" spans="1:52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</row>
    <row r="303" spans="1:52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</row>
    <row r="304" spans="1:52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</row>
    <row r="305" spans="1:52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</row>
    <row r="306" spans="1:52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</row>
    <row r="307" spans="1:52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</row>
    <row r="308" spans="1:52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</row>
    <row r="309" spans="1:52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</row>
    <row r="310" spans="1:52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</row>
    <row r="311" spans="1:52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</row>
    <row r="312" spans="1:52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</row>
    <row r="313" spans="1:52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</row>
    <row r="314" spans="1:52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</row>
    <row r="315" spans="1:52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</row>
    <row r="316" spans="1:52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</row>
    <row r="317" spans="1:52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</row>
    <row r="318" spans="1:52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</row>
    <row r="319" spans="1:52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</row>
    <row r="320" spans="1:52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</row>
    <row r="321" spans="1:52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</row>
    <row r="322" spans="1:52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</row>
    <row r="323" spans="1:52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</row>
    <row r="324" spans="1:52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</row>
    <row r="325" spans="1:52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</row>
    <row r="326" spans="1:52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</row>
    <row r="327" spans="1:52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</row>
    <row r="328" spans="1:52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</row>
    <row r="329" spans="1:52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</row>
    <row r="330" spans="1:52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</row>
    <row r="331" spans="1:52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</row>
    <row r="332" spans="1:52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</row>
    <row r="333" spans="1:52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</row>
    <row r="334" spans="1:52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</row>
    <row r="335" spans="1:52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</row>
    <row r="336" spans="1:52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</row>
    <row r="337" spans="1:52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</row>
    <row r="338" spans="1:52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</row>
    <row r="339" spans="1:52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</row>
    <row r="340" spans="1:52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</row>
    <row r="341" spans="1:52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</row>
    <row r="342" spans="1:52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</row>
    <row r="343" spans="1:52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</row>
    <row r="344" spans="1:52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</row>
    <row r="345" spans="1:52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</row>
    <row r="346" spans="1:52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</row>
    <row r="347" spans="1:52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</row>
    <row r="348" spans="1:52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</row>
    <row r="349" spans="1:52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</row>
    <row r="350" spans="1:52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</row>
    <row r="351" spans="1:52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</row>
    <row r="352" spans="1:52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</row>
    <row r="353" spans="1:52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</row>
    <row r="354" spans="1:52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</row>
    <row r="355" spans="1:52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</row>
    <row r="356" spans="1:52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</row>
    <row r="357" spans="1:52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</row>
    <row r="358" spans="1:52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</row>
    <row r="359" spans="1:52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</row>
    <row r="360" spans="1:52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</row>
    <row r="361" spans="1:52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</row>
    <row r="362" spans="1:52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</row>
    <row r="363" spans="1:52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</row>
    <row r="364" spans="1:52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</row>
    <row r="365" spans="1:52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</row>
    <row r="366" spans="1:52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</row>
    <row r="367" spans="1:52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</row>
    <row r="368" spans="1:52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</row>
    <row r="369" spans="1:52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</row>
    <row r="370" spans="1:52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</row>
    <row r="371" spans="1:52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</row>
    <row r="372" spans="1:52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</row>
    <row r="373" spans="1:52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</row>
    <row r="374" spans="1:52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</row>
    <row r="375" spans="1:52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</row>
    <row r="376" spans="1:52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</row>
    <row r="377" spans="1:52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</row>
    <row r="378" spans="1:52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</row>
    <row r="379" spans="1:52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</row>
    <row r="380" spans="1:52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</row>
    <row r="381" spans="1:52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</row>
    <row r="382" spans="1:52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</row>
    <row r="383" spans="1:52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</row>
    <row r="384" spans="1:52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</row>
    <row r="385" spans="1:52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</row>
    <row r="386" spans="1:52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</row>
    <row r="387" spans="1:52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</row>
    <row r="388" spans="1:52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</row>
    <row r="389" spans="1:52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</row>
    <row r="390" spans="1:52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</row>
    <row r="391" spans="1:52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</row>
    <row r="392" spans="1:52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</row>
    <row r="393" spans="1:52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</row>
    <row r="394" spans="1:52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</row>
    <row r="395" spans="1:52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</row>
    <row r="396" spans="1:52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</row>
    <row r="397" spans="1:52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</row>
    <row r="398" spans="1:52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</row>
    <row r="399" spans="1:52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</row>
    <row r="400" spans="1:52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</row>
    <row r="401" spans="1:52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</row>
    <row r="402" spans="1:52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</row>
    <row r="403" spans="1:52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</row>
    <row r="404" spans="1:52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</row>
    <row r="405" spans="1:52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</row>
    <row r="406" spans="1:52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</row>
    <row r="407" spans="1:52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</row>
    <row r="408" spans="1:52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</row>
    <row r="409" spans="1:52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</row>
    <row r="410" spans="1:52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</row>
    <row r="411" spans="1:52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</row>
    <row r="412" spans="1:52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</row>
    <row r="413" spans="1:52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</row>
    <row r="414" spans="1:52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</row>
    <row r="415" spans="1:52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</row>
    <row r="416" spans="1:52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</row>
    <row r="417" spans="1:52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</row>
    <row r="418" spans="1:52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</row>
    <row r="419" spans="1:52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</row>
    <row r="420" spans="1:52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</row>
    <row r="421" spans="1:52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</row>
    <row r="422" spans="1:52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</row>
    <row r="423" spans="1:52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</row>
    <row r="424" spans="1:52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</row>
    <row r="425" spans="1:52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</row>
    <row r="426" spans="1:52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</row>
    <row r="427" spans="1:52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</row>
    <row r="428" spans="1:52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</row>
    <row r="429" spans="1:52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</row>
    <row r="430" spans="1:52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</row>
    <row r="431" spans="1:52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</row>
    <row r="432" spans="1:52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</row>
    <row r="433" spans="1:52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</row>
    <row r="434" spans="1:52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</row>
    <row r="435" spans="1:52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</row>
    <row r="436" spans="1:52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</row>
    <row r="437" spans="1:52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</row>
    <row r="438" spans="1:52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</row>
    <row r="439" spans="1:52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</row>
    <row r="440" spans="1:52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</row>
    <row r="441" spans="1:52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</row>
    <row r="442" spans="1:52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</row>
    <row r="443" spans="1:52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</row>
    <row r="444" spans="1:52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</row>
    <row r="445" spans="1:52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</row>
    <row r="446" spans="1:52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</row>
    <row r="447" spans="1:52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</row>
    <row r="448" spans="1:52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</row>
    <row r="449" spans="1:52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</row>
    <row r="450" spans="1:52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</row>
    <row r="451" spans="1:52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</row>
    <row r="452" spans="1:52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</row>
    <row r="453" spans="1:52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</row>
    <row r="454" spans="1:52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</row>
    <row r="455" spans="1:52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</row>
    <row r="456" spans="1:52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</row>
    <row r="457" spans="1:52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</row>
    <row r="458" spans="1:52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</row>
    <row r="459" spans="1:52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</row>
    <row r="460" spans="1:52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</row>
    <row r="461" spans="1:52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</row>
    <row r="462" spans="1:52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</row>
    <row r="463" spans="1:52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</row>
    <row r="464" spans="1:52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</row>
    <row r="465" spans="1:52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</row>
    <row r="466" spans="1:52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</row>
    <row r="467" spans="1:52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</row>
    <row r="468" spans="1:52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</row>
    <row r="469" spans="1:52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</row>
    <row r="470" spans="1:52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</row>
    <row r="471" spans="1:52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</row>
    <row r="472" spans="1:52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</row>
    <row r="473" spans="1:52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</row>
    <row r="474" spans="1:52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</row>
    <row r="475" spans="1:52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</row>
    <row r="476" spans="1:52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</row>
    <row r="477" spans="1:52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</row>
    <row r="478" spans="1:52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</row>
    <row r="479" spans="1:52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</row>
    <row r="480" spans="1:52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</row>
    <row r="481" spans="1:52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</row>
    <row r="482" spans="1:52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</row>
    <row r="483" spans="1:52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</row>
    <row r="484" spans="1:52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</row>
    <row r="485" spans="1:52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</row>
    <row r="486" spans="1:52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</row>
    <row r="487" spans="1:52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</row>
    <row r="488" spans="1:52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</row>
    <row r="489" spans="1:52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</row>
    <row r="490" spans="1:52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</row>
    <row r="491" spans="1:52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</row>
    <row r="492" spans="1:52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</row>
    <row r="493" spans="1:52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</row>
    <row r="494" spans="1:52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</row>
    <row r="495" spans="1:52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</row>
    <row r="496" spans="1:52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</row>
    <row r="497" spans="1:52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</row>
    <row r="498" spans="1:52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</row>
    <row r="499" spans="1:52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</row>
    <row r="500" spans="1:52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</row>
    <row r="501" spans="1:52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</row>
    <row r="502" spans="1:52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</row>
    <row r="503" spans="1:52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</row>
    <row r="504" spans="1:52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</row>
    <row r="505" spans="1:52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</row>
    <row r="506" spans="1:52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</row>
    <row r="507" spans="1:52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</row>
    <row r="508" spans="1:52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</row>
    <row r="509" spans="1:52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</row>
    <row r="510" spans="1:52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</row>
    <row r="511" spans="1:52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</row>
    <row r="512" spans="1:52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</row>
    <row r="513" spans="1:52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</row>
    <row r="514" spans="1:52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</row>
    <row r="515" spans="1:52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</row>
    <row r="516" spans="1:52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</row>
    <row r="517" spans="1:52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</row>
    <row r="518" spans="1:52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</row>
    <row r="519" spans="1:52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</row>
    <row r="520" spans="1:52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</row>
    <row r="521" spans="1:52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</row>
    <row r="522" spans="1:52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</row>
    <row r="523" spans="1:52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</row>
    <row r="524" spans="1:52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</row>
    <row r="525" spans="1:52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</row>
    <row r="526" spans="1:52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</row>
    <row r="527" spans="1:52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</row>
    <row r="528" spans="1:52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</row>
    <row r="529" spans="1:52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</row>
    <row r="530" spans="1:52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</row>
    <row r="531" spans="1:52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</row>
    <row r="532" spans="1:52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</row>
    <row r="533" spans="1:52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</row>
    <row r="534" spans="1:52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</row>
    <row r="535" spans="1:52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</row>
    <row r="536" spans="1:52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</row>
    <row r="537" spans="1:52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</row>
    <row r="538" spans="1:52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</row>
    <row r="539" spans="1:52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</row>
    <row r="540" spans="1:52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</row>
    <row r="541" spans="1:52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</row>
    <row r="542" spans="1:52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</row>
    <row r="543" spans="1:52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</row>
    <row r="544" spans="1:52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</row>
    <row r="545" spans="1:52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</row>
    <row r="546" spans="1:52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</row>
    <row r="547" spans="1:52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</row>
    <row r="548" spans="1:52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</row>
    <row r="549" spans="1:52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</row>
    <row r="550" spans="1:52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</row>
    <row r="551" spans="1:52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</row>
    <row r="552" spans="1:52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</row>
    <row r="553" spans="1:52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</row>
    <row r="554" spans="1:52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</row>
    <row r="555" spans="1:52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</row>
    <row r="556" spans="1:52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</row>
    <row r="557" spans="1:52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</row>
    <row r="558" spans="1:52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</row>
    <row r="559" spans="1:52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</row>
    <row r="560" spans="1:52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</row>
    <row r="561" spans="1:52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</row>
    <row r="562" spans="1:52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</row>
    <row r="563" spans="1:52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</row>
    <row r="564" spans="1:52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</row>
    <row r="565" spans="1:52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</row>
    <row r="566" spans="1:52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</row>
    <row r="567" spans="1:52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</row>
    <row r="568" spans="1:52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</row>
    <row r="569" spans="1:52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</row>
    <row r="570" spans="1:52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</row>
    <row r="571" spans="1:52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</row>
    <row r="572" spans="1:52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</row>
    <row r="573" spans="1:52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</row>
    <row r="574" spans="1:52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</row>
    <row r="575" spans="1:52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</row>
    <row r="576" spans="1:52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</row>
    <row r="577" spans="1:52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</row>
    <row r="578" spans="1:52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</row>
    <row r="579" spans="1:52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</row>
    <row r="580" spans="1:52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</row>
    <row r="581" spans="1:52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</row>
    <row r="582" spans="1:52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</row>
    <row r="583" spans="1:52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</row>
    <row r="584" spans="1:52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</row>
    <row r="585" spans="1:52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</row>
    <row r="586" spans="1:52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</row>
    <row r="587" spans="1:52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</row>
    <row r="588" spans="1:52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</row>
    <row r="589" spans="1:52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</row>
    <row r="590" spans="1:52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</row>
    <row r="591" spans="1:52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</row>
    <row r="592" spans="1:52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</row>
    <row r="593" spans="1:52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</row>
    <row r="594" spans="1:52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</row>
    <row r="595" spans="1:52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</row>
    <row r="596" spans="1:52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</row>
    <row r="597" spans="1:52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</row>
    <row r="598" spans="1:52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</row>
    <row r="599" spans="1:52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</row>
    <row r="600" spans="1:52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</row>
    <row r="601" spans="1:52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</row>
    <row r="602" spans="1:52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</row>
    <row r="603" spans="1:52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</row>
    <row r="604" spans="1:52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</row>
    <row r="605" spans="1:52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</row>
    <row r="606" spans="1:52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</row>
    <row r="607" spans="1:52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</row>
    <row r="608" spans="1:52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</row>
    <row r="609" spans="1:52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</row>
    <row r="610" spans="1:52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</row>
    <row r="611" spans="1:52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</row>
    <row r="612" spans="1:52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</row>
    <row r="613" spans="1:52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</row>
    <row r="614" spans="1:52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</row>
    <row r="615" spans="1:52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</row>
    <row r="616" spans="1:52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</row>
    <row r="617" spans="1:52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</row>
    <row r="618" spans="1:52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</row>
    <row r="619" spans="1:52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</row>
    <row r="620" spans="1:52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</row>
    <row r="621" spans="1:52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</row>
    <row r="622" spans="1:52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</row>
    <row r="623" spans="1:52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</row>
    <row r="624" spans="1:52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</row>
    <row r="625" spans="1:52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</row>
    <row r="626" spans="1:52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</row>
    <row r="627" spans="1:52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</row>
    <row r="628" spans="1:52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</row>
    <row r="629" spans="1:52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</row>
    <row r="630" spans="1:52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</row>
    <row r="631" spans="1:52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</row>
    <row r="632" spans="1:52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</row>
    <row r="633" spans="1:52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</row>
    <row r="634" spans="1:52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</row>
    <row r="635" spans="1:52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</row>
    <row r="636" spans="1:52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</row>
    <row r="637" spans="1:52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</row>
    <row r="638" spans="1:52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</row>
    <row r="639" spans="1:52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</row>
    <row r="640" spans="1:52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</row>
    <row r="641" spans="1:52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</row>
    <row r="642" spans="1:52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</row>
    <row r="643" spans="1:52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</row>
    <row r="644" spans="1:52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</row>
    <row r="645" spans="1:52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</row>
    <row r="646" spans="1:52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</row>
    <row r="647" spans="1:52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</row>
    <row r="648" spans="1:52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</row>
    <row r="649" spans="1:52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</row>
    <row r="650" spans="1:52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</row>
    <row r="651" spans="1:52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</row>
    <row r="652" spans="1:52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</row>
    <row r="653" spans="1:52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</row>
    <row r="654" spans="1:52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</row>
    <row r="655" spans="1:52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</row>
    <row r="656" spans="1:52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</row>
    <row r="657" spans="1:52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</row>
    <row r="658" spans="1:52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</row>
    <row r="659" spans="1:52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</row>
    <row r="660" spans="1:52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</row>
    <row r="661" spans="1:52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</row>
    <row r="662" spans="1:52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</row>
    <row r="663" spans="1:52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</row>
    <row r="664" spans="1:52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</row>
    <row r="665" spans="1:52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</row>
    <row r="666" spans="1:52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</row>
    <row r="667" spans="1:52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</row>
    <row r="668" spans="1:52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</row>
    <row r="669" spans="1:52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</row>
    <row r="670" spans="1:52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</row>
    <row r="671" spans="1:52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</row>
    <row r="672" spans="1:52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</row>
    <row r="673" spans="1:52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</row>
    <row r="674" spans="1:52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</row>
    <row r="675" spans="1:52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</row>
    <row r="676" spans="1:52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</row>
    <row r="677" spans="1:52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</row>
    <row r="678" spans="1:52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</row>
    <row r="679" spans="1:52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</row>
    <row r="680" spans="1:52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</row>
    <row r="681" spans="1:52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</row>
    <row r="682" spans="1:52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</row>
    <row r="683" spans="1:52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</row>
    <row r="684" spans="1:52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</row>
    <row r="685" spans="1:52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</row>
    <row r="686" spans="1:52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</row>
    <row r="687" spans="1:52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</row>
    <row r="688" spans="1:52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</row>
    <row r="689" spans="1:52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</row>
    <row r="690" spans="1:52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</row>
    <row r="691" spans="1:52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</row>
    <row r="692" spans="1:52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</row>
    <row r="693" spans="1:52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</row>
    <row r="694" spans="1:52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</row>
    <row r="695" spans="1:52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</row>
    <row r="696" spans="1:52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</row>
    <row r="697" spans="1:52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</row>
    <row r="698" spans="1:52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</row>
    <row r="699" spans="1:52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</row>
    <row r="700" spans="1:52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</row>
    <row r="701" spans="1:52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</row>
    <row r="702" spans="1:52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</row>
    <row r="703" spans="1:52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</row>
    <row r="704" spans="1:52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</row>
    <row r="705" spans="1:52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</row>
    <row r="706" spans="1:52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</row>
    <row r="707" spans="1:52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</row>
    <row r="708" spans="1:52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</row>
    <row r="709" spans="1:52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</row>
    <row r="710" spans="1:52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</row>
    <row r="711" spans="1:52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</row>
    <row r="712" spans="1:52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</row>
    <row r="713" spans="1:52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</row>
    <row r="714" spans="1:52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</row>
    <row r="715" spans="1:52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</row>
    <row r="716" spans="1:52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</row>
    <row r="717" spans="1:52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</row>
    <row r="718" spans="1:52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</row>
    <row r="719" spans="1:52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</row>
    <row r="720" spans="1:52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</row>
    <row r="721" spans="1:52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</row>
    <row r="722" spans="1:52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</row>
    <row r="723" spans="1:52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</row>
    <row r="724" spans="1:52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</row>
    <row r="725" spans="1:52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</row>
    <row r="726" spans="1:52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</row>
    <row r="727" spans="1:52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</row>
    <row r="728" spans="1:52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</row>
    <row r="729" spans="1:52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</row>
    <row r="730" spans="1:52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</row>
    <row r="731" spans="1:52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</row>
    <row r="732" spans="1:52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</row>
    <row r="733" spans="1:52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</row>
    <row r="734" spans="1:52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</row>
    <row r="735" spans="1:52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</row>
    <row r="736" spans="1:52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</row>
    <row r="737" spans="1:52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</row>
    <row r="738" spans="1:52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</row>
    <row r="739" spans="1:52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</row>
    <row r="740" spans="1:52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</row>
    <row r="741" spans="1:52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</row>
    <row r="742" spans="1:52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</row>
    <row r="743" spans="1:52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</row>
    <row r="744" spans="1:52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</row>
    <row r="745" spans="1:52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</row>
    <row r="746" spans="1:52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</row>
    <row r="747" spans="1:52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</row>
    <row r="748" spans="1:52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</row>
    <row r="749" spans="1:52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</row>
    <row r="750" spans="1:52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</row>
    <row r="751" spans="1:52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</row>
    <row r="752" spans="1:52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</row>
    <row r="753" spans="1:52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</row>
    <row r="754" spans="1:52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</row>
    <row r="755" spans="1:52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</row>
    <row r="756" spans="1:52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</row>
    <row r="757" spans="1:52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</row>
    <row r="758" spans="1:52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</row>
    <row r="759" spans="1:52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</row>
    <row r="760" spans="1:52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</row>
    <row r="761" spans="1:52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</row>
    <row r="762" spans="1:52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</row>
    <row r="763" spans="1:52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</row>
    <row r="764" spans="1:52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</row>
    <row r="765" spans="1:52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</row>
    <row r="766" spans="1:52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</row>
    <row r="767" spans="1:52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</row>
    <row r="768" spans="1:52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</row>
    <row r="769" spans="1:52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</row>
    <row r="770" spans="1:52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</row>
    <row r="771" spans="1:52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</row>
    <row r="772" spans="1:52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</row>
    <row r="773" spans="1:52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</row>
    <row r="774" spans="1:52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</row>
    <row r="775" spans="1:52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</row>
    <row r="776" spans="1:52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</row>
    <row r="777" spans="1:52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</row>
    <row r="778" spans="1:52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</row>
    <row r="779" spans="1:52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</row>
    <row r="780" spans="1:52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</row>
    <row r="781" spans="1:52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</row>
    <row r="782" spans="1:52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</row>
    <row r="783" spans="1:52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</row>
    <row r="784" spans="1:52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</row>
    <row r="785" spans="1:52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</row>
    <row r="786" spans="1:52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</row>
    <row r="787" spans="1:52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</row>
    <row r="788" spans="1:52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</row>
    <row r="789" spans="1:52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</row>
    <row r="790" spans="1:52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</row>
    <row r="791" spans="1:52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</row>
    <row r="792" spans="1:52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</row>
    <row r="793" spans="1:52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</row>
    <row r="794" spans="1:52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</row>
    <row r="795" spans="1:52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</row>
    <row r="796" spans="1:52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</row>
    <row r="797" spans="1:52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</row>
    <row r="798" spans="1:52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</row>
    <row r="799" spans="1:52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</row>
    <row r="800" spans="1:52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</row>
    <row r="801" spans="1:52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</row>
    <row r="802" spans="1:52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</row>
    <row r="803" spans="1:52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</row>
    <row r="804" spans="1:52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</row>
    <row r="805" spans="1:52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</row>
    <row r="806" spans="1:52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</row>
    <row r="807" spans="1:52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</row>
    <row r="808" spans="1:52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</row>
    <row r="809" spans="1:52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</row>
    <row r="810" spans="1:52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</row>
    <row r="811" spans="1:52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</row>
    <row r="812" spans="1:52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</row>
    <row r="813" spans="1:52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</row>
    <row r="814" spans="1:52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</row>
    <row r="815" spans="1:52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</row>
    <row r="816" spans="1:52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</row>
    <row r="817" spans="1:52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</row>
    <row r="818" spans="1:52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</row>
    <row r="819" spans="1:52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</row>
    <row r="820" spans="1:52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</row>
    <row r="821" spans="1:52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</row>
    <row r="822" spans="1:52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</row>
    <row r="823" spans="1:52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</row>
    <row r="824" spans="1:52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</row>
    <row r="825" spans="1:52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</row>
    <row r="826" spans="1:52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</row>
    <row r="827" spans="1:52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</row>
    <row r="828" spans="1:52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</row>
    <row r="829" spans="1:52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</row>
    <row r="830" spans="1:52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</row>
    <row r="831" spans="1:52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</row>
    <row r="832" spans="1:52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</row>
    <row r="833" spans="1:52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</row>
    <row r="834" spans="1:52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</row>
    <row r="835" spans="1:52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</row>
    <row r="836" spans="1:52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</row>
    <row r="837" spans="1:52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</row>
    <row r="838" spans="1:52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</row>
    <row r="839" spans="1:52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</row>
    <row r="840" spans="1:52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</row>
    <row r="841" spans="1:52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</row>
    <row r="842" spans="1:52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</row>
    <row r="843" spans="1:52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</row>
    <row r="844" spans="1:52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</row>
    <row r="845" spans="1:52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</row>
    <row r="846" spans="1:52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</row>
    <row r="847" spans="1:52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</row>
    <row r="848" spans="1:52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</row>
    <row r="849" spans="1:52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</row>
    <row r="850" spans="1:52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</row>
    <row r="851" spans="1:52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</row>
    <row r="852" spans="1:52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</row>
    <row r="853" spans="1:52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</row>
    <row r="854" spans="1:52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</row>
    <row r="855" spans="1:52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</row>
    <row r="856" spans="1:52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</row>
    <row r="857" spans="1:52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</row>
    <row r="858" spans="1:52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</row>
    <row r="859" spans="1:52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</row>
    <row r="860" spans="1:52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</row>
    <row r="861" spans="1:52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</row>
    <row r="862" spans="1:52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</row>
    <row r="863" spans="1:52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</row>
    <row r="864" spans="1:52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</row>
    <row r="865" spans="1:52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</row>
    <row r="866" spans="1:52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</row>
    <row r="867" spans="1:52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</row>
    <row r="868" spans="1:52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</row>
    <row r="869" spans="1:52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</row>
    <row r="870" spans="1:52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</row>
    <row r="871" spans="1:52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</row>
    <row r="872" spans="1:52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</row>
    <row r="873" spans="1:52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</row>
    <row r="874" spans="1:52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</row>
    <row r="875" spans="1:52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</row>
    <row r="876" spans="1:52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</row>
    <row r="877" spans="1:52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</row>
    <row r="878" spans="1:52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</row>
    <row r="879" spans="1:52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</row>
    <row r="880" spans="1:52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</row>
    <row r="881" spans="1:52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</row>
    <row r="882" spans="1:52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</row>
    <row r="883" spans="1:52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</row>
    <row r="884" spans="1:52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</row>
    <row r="885" spans="1:52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</row>
    <row r="886" spans="1:52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</row>
    <row r="887" spans="1:52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</row>
    <row r="888" spans="1:52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</row>
    <row r="889" spans="1:52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</row>
    <row r="890" spans="1:52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</row>
    <row r="891" spans="1:52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</row>
    <row r="892" spans="1:52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</row>
    <row r="893" spans="1:52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</row>
    <row r="894" spans="1:52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</row>
    <row r="895" spans="1:52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</row>
    <row r="896" spans="1:52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</row>
    <row r="897" spans="1:52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</row>
    <row r="898" spans="1:52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</row>
    <row r="899" spans="1:52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</row>
    <row r="900" spans="1:52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</row>
    <row r="901" spans="1:52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</row>
    <row r="902" spans="1:52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</row>
    <row r="903" spans="1:52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</row>
    <row r="904" spans="1:52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</row>
    <row r="905" spans="1:52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</row>
    <row r="906" spans="1:52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</row>
    <row r="907" spans="1:52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</row>
    <row r="908" spans="1:52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</row>
    <row r="909" spans="1:52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</row>
    <row r="910" spans="1:52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</row>
    <row r="911" spans="1:52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</row>
    <row r="912" spans="1:52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</row>
    <row r="913" spans="1:52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</row>
    <row r="914" spans="1:52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</row>
    <row r="915" spans="1:52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</row>
    <row r="916" spans="1:52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</row>
    <row r="917" spans="1:52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</row>
    <row r="918" spans="1:52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</row>
    <row r="919" spans="1:52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</row>
    <row r="920" spans="1:52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</row>
    <row r="921" spans="1:52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</row>
    <row r="922" spans="1:52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</row>
    <row r="923" spans="1:52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</row>
    <row r="924" spans="1:52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</row>
    <row r="925" spans="1:52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</row>
    <row r="926" spans="1:52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</row>
    <row r="927" spans="1:52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</row>
    <row r="928" spans="1:52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</row>
    <row r="929" spans="1:52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</row>
    <row r="930" spans="1:52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</row>
    <row r="931" spans="1:52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</row>
    <row r="932" spans="1:52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</row>
    <row r="933" spans="1:52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</row>
    <row r="934" spans="1:52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</row>
    <row r="935" spans="1:52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</row>
    <row r="936" spans="1:52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</row>
    <row r="937" spans="1:52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</row>
    <row r="938" spans="1:52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</row>
    <row r="939" spans="1:52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</row>
    <row r="940" spans="1:52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</row>
    <row r="941" spans="1:52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</row>
    <row r="942" spans="1:52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</row>
    <row r="943" spans="1:52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</row>
    <row r="944" spans="1:52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</row>
    <row r="945" spans="1:52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</row>
    <row r="946" spans="1:52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</row>
    <row r="947" spans="1:52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</row>
    <row r="948" spans="1:52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</row>
    <row r="949" spans="1:52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</row>
    <row r="950" spans="1:52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</row>
    <row r="951" spans="1:52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</row>
    <row r="952" spans="1:52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</row>
    <row r="953" spans="1:52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</row>
    <row r="954" spans="1:52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</row>
    <row r="955" spans="1:52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</row>
    <row r="956" spans="1:52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</row>
    <row r="957" spans="1:52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</row>
    <row r="958" spans="1:52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</row>
    <row r="959" spans="1:52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</row>
    <row r="960" spans="1:52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</row>
    <row r="961" spans="1:52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</row>
    <row r="962" spans="1:52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</row>
    <row r="963" spans="1:52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</row>
    <row r="964" spans="1:52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</row>
    <row r="965" spans="1:52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</row>
    <row r="966" spans="1:52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</row>
    <row r="967" spans="1:52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</row>
    <row r="968" spans="1:52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</row>
    <row r="969" spans="1:52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</row>
    <row r="970" spans="1:52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</row>
    <row r="971" spans="1:52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</row>
    <row r="972" spans="1:52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</row>
    <row r="973" spans="1:52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</row>
    <row r="974" spans="1:52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</row>
    <row r="975" spans="1:52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</row>
    <row r="976" spans="1:52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</row>
    <row r="977" spans="1:52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</row>
    <row r="978" spans="1:52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</row>
    <row r="979" spans="1:52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</row>
    <row r="980" spans="1:52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</row>
    <row r="981" spans="1:52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</row>
    <row r="982" spans="1:52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</row>
    <row r="983" spans="1:52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</row>
    <row r="984" spans="1:52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</row>
    <row r="985" spans="1:52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</row>
    <row r="986" spans="1:52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</row>
    <row r="987" spans="1:52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</row>
    <row r="988" spans="1:52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</row>
    <row r="989" spans="1:52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</row>
    <row r="990" spans="1:52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</row>
    <row r="991" spans="1:52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</row>
    <row r="992" spans="1:52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</row>
    <row r="993" spans="1:52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</row>
    <row r="994" spans="1:52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</row>
    <row r="995" spans="1:52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</row>
    <row r="996" spans="1:52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</row>
    <row r="997" spans="1:52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</row>
    <row r="998" spans="1:52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</row>
    <row r="999" spans="1:52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</row>
    <row r="1000" spans="1:52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</row>
  </sheetData>
  <mergeCells count="3">
    <mergeCell ref="A2:B2"/>
    <mergeCell ref="A5:K5"/>
    <mergeCell ref="A24:K24"/>
  </mergeCells>
  <dataValidations count="1">
    <dataValidation type="list" allowBlank="1" showErrorMessage="1" sqref="C2" xr:uid="{00000000-0002-0000-0100-000006000000}">
      <formula1>$AG$2:$AG$3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xr:uid="{00000000-0002-0000-0100-000000000000}">
          <x14:formula1>
            <xm:f>'(ne pas modifier) LISTES'!$D$2:$D$7</xm:f>
          </x14:formula1>
          <xm:sqref>B8:K8 B11:K11 B13:K13</xm:sqref>
        </x14:dataValidation>
        <x14:dataValidation type="list" allowBlank="1" showErrorMessage="1" xr:uid="{00000000-0002-0000-0100-000001000000}">
          <x14:formula1>
            <xm:f>'(ne pas modifier) LISTES'!$C$2:$C$17</xm:f>
          </x14:formula1>
          <xm:sqref>B9:K9</xm:sqref>
        </x14:dataValidation>
        <x14:dataValidation type="list" allowBlank="1" showErrorMessage="1" xr:uid="{00000000-0002-0000-0100-000002000000}">
          <x14:formula1>
            <xm:f>'(ne pas modifier) LISTES'!$F$2:$F$57</xm:f>
          </x14:formula1>
          <xm:sqref>B17:K19</xm:sqref>
        </x14:dataValidation>
        <x14:dataValidation type="list" allowBlank="1" showErrorMessage="1" xr:uid="{00000000-0002-0000-0100-000003000000}">
          <x14:formula1>
            <xm:f>'(ne pas modifier) BDD_REF'!$A$194:$A$203</xm:f>
          </x14:formula1>
          <xm:sqref>B10:K10</xm:sqref>
        </x14:dataValidation>
        <x14:dataValidation type="list" allowBlank="1" showErrorMessage="1" xr:uid="{00000000-0002-0000-0100-000004000000}">
          <x14:formula1>
            <xm:f>'(ne pas modifier) LISTES'!$E$2:$E$12</xm:f>
          </x14:formula1>
          <xm:sqref>B14:K14</xm:sqref>
        </x14:dataValidation>
        <x14:dataValidation type="list" allowBlank="1" showErrorMessage="1" xr:uid="{00000000-0002-0000-0100-000005000000}">
          <x14:formula1>
            <xm:f>'(ne pas modifier) LISTES'!$B$2:$B$5</xm:f>
          </x14:formula1>
          <xm:sqref>B16:K16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baseColWidth="10" defaultColWidth="14.5" defaultRowHeight="15" customHeight="1" x14ac:dyDescent="0.2"/>
  <cols>
    <col min="1" max="1" width="46.6640625" customWidth="1"/>
    <col min="2" max="26" width="11.5" customWidth="1"/>
  </cols>
  <sheetData>
    <row r="1" spans="1:26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2">
      <c r="A2" s="127" t="s">
        <v>56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9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2" x14ac:dyDescent="0.2">
      <c r="A4" s="2"/>
      <c r="B4" s="48" t="s">
        <v>8</v>
      </c>
      <c r="C4" s="48" t="s">
        <v>9</v>
      </c>
      <c r="D4" s="48" t="s">
        <v>10</v>
      </c>
      <c r="E4" s="48" t="s">
        <v>11</v>
      </c>
      <c r="F4" s="48" t="s">
        <v>12</v>
      </c>
      <c r="G4" s="48" t="s">
        <v>13</v>
      </c>
      <c r="H4" s="48" t="s">
        <v>14</v>
      </c>
      <c r="I4" s="48" t="s">
        <v>15</v>
      </c>
      <c r="J4" s="48" t="s">
        <v>16</v>
      </c>
      <c r="K4" s="48" t="s">
        <v>17</v>
      </c>
      <c r="L4" s="48" t="s">
        <v>57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8" t="s">
        <v>58</v>
      </c>
      <c r="B5" s="49">
        <f>IF(OR(Eligibilité_projet!B19="",Eligibilité_projet!B18="",Eligibilité_projet!B17=""),0,(VLOOKUP(Eligibilité_projet!B19,'(ne pas modifier) BDD_REF'!$A$137:$B$191,2,FALSE)+VLOOKUP(Eligibilité_projet!B18,'(ne pas modifier) BDD_REF'!$A$137:$B$191,2,FALSE)+VLOOKUP(Eligibilité_projet!B17,'(ne pas modifier) BDD_REF'!$A$137:$B$191,2,FALSE))/3/1000)</f>
        <v>2.871054472909333</v>
      </c>
      <c r="C5" s="49">
        <f>IF(OR(Eligibilité_projet!C19="",Eligibilité_projet!C18="",Eligibilité_projet!C17=""),0,(VLOOKUP(Eligibilité_projet!C19,'(ne pas modifier) BDD_REF'!$A$137:$B$191,2,FALSE)+VLOOKUP(Eligibilité_projet!C18,'(ne pas modifier) BDD_REF'!$A$137:$B$191,2,FALSE)+VLOOKUP(Eligibilité_projet!C17,'(ne pas modifier) BDD_REF'!$A$137:$B$191,2,FALSE))/3/1000)</f>
        <v>2.871054472909333</v>
      </c>
      <c r="D5" s="49">
        <f>IF(OR(Eligibilité_projet!D19="",Eligibilité_projet!D18="",Eligibilité_projet!D17=""),0,(VLOOKUP(Eligibilité_projet!D19,'(ne pas modifier) BDD_REF'!$A$137:$B$191,2,FALSE)+VLOOKUP(Eligibilité_projet!D18,'(ne pas modifier) BDD_REF'!$A$137:$B$191,2,FALSE)+VLOOKUP(Eligibilité_projet!D17,'(ne pas modifier) BDD_REF'!$A$137:$B$191,2,FALSE))/3/1000)</f>
        <v>2.871054472909333</v>
      </c>
      <c r="E5" s="49">
        <f>IF(OR(Eligibilité_projet!E19="",Eligibilité_projet!E18="",Eligibilité_projet!E17=""),0,(VLOOKUP(Eligibilité_projet!E19,'(ne pas modifier) BDD_REF'!$A$137:$B$191,2,FALSE)+VLOOKUP(Eligibilité_projet!E18,'(ne pas modifier) BDD_REF'!$A$137:$B$191,2,FALSE)+VLOOKUP(Eligibilité_projet!E17,'(ne pas modifier) BDD_REF'!$A$137:$B$191,2,FALSE))/3/1000)</f>
        <v>0</v>
      </c>
      <c r="F5" s="49">
        <f>IF(OR(Eligibilité_projet!F19="",Eligibilité_projet!F18="",Eligibilité_projet!F17=""),0,(VLOOKUP(Eligibilité_projet!F19,'(ne pas modifier) BDD_REF'!$A$137:$B$191,2,FALSE)+VLOOKUP(Eligibilité_projet!F18,'(ne pas modifier) BDD_REF'!$A$137:$B$191,2,FALSE)+VLOOKUP(Eligibilité_projet!F17,'(ne pas modifier) BDD_REF'!$A$137:$B$191,2,FALSE))/3/1000)</f>
        <v>0</v>
      </c>
      <c r="G5" s="49">
        <f>IF(OR(Eligibilité_projet!G19="",Eligibilité_projet!G18="",Eligibilité_projet!G17=""),0,(VLOOKUP(Eligibilité_projet!G19,'(ne pas modifier) BDD_REF'!$A$137:$B$191,2,FALSE)+VLOOKUP(Eligibilité_projet!G18,'(ne pas modifier) BDD_REF'!$A$137:$B$191,2,FALSE)+VLOOKUP(Eligibilité_projet!G17,'(ne pas modifier) BDD_REF'!$A$137:$B$191,2,FALSE))/3/1000)</f>
        <v>0</v>
      </c>
      <c r="H5" s="49">
        <f>IF(OR(Eligibilité_projet!H19="",Eligibilité_projet!H18="",Eligibilité_projet!H17=""),0,(VLOOKUP(Eligibilité_projet!H19,'(ne pas modifier) BDD_REF'!$A$137:$B$191,2,FALSE)+VLOOKUP(Eligibilité_projet!H18,'(ne pas modifier) BDD_REF'!$A$137:$B$191,2,FALSE)+VLOOKUP(Eligibilité_projet!H17,'(ne pas modifier) BDD_REF'!$A$137:$B$191,2,FALSE))/3/1000)</f>
        <v>0</v>
      </c>
      <c r="I5" s="49">
        <f>IF(OR(Eligibilité_projet!I19="",Eligibilité_projet!I18="",Eligibilité_projet!I17=""),0,(VLOOKUP(Eligibilité_projet!I19,'(ne pas modifier) BDD_REF'!$A$137:$B$191,2,FALSE)+VLOOKUP(Eligibilité_projet!I18,'(ne pas modifier) BDD_REF'!$A$137:$B$191,2,FALSE)+VLOOKUP(Eligibilité_projet!I17,'(ne pas modifier) BDD_REF'!$A$137:$B$191,2,FALSE))/3/1000)</f>
        <v>0</v>
      </c>
      <c r="J5" s="49">
        <f>IF(OR(Eligibilité_projet!J19="",Eligibilité_projet!J18="",Eligibilité_projet!J17=""),0,(VLOOKUP(Eligibilité_projet!J19,'(ne pas modifier) BDD_REF'!$A$137:$B$191,2,FALSE)+VLOOKUP(Eligibilité_projet!J18,'(ne pas modifier) BDD_REF'!$A$137:$B$191,2,FALSE)+VLOOKUP(Eligibilité_projet!J17,'(ne pas modifier) BDD_REF'!$A$137:$B$191,2,FALSE))/3/1000)</f>
        <v>0</v>
      </c>
      <c r="K5" s="49">
        <f>IF(OR(Eligibilité_projet!K19="",Eligibilité_projet!K18="",Eligibilité_projet!K17=""),0,(VLOOKUP(Eligibilité_projet!K19,'(ne pas modifier) BDD_REF'!$A$137:$B$191,2,FALSE)+VLOOKUP(Eligibilité_projet!K18,'(ne pas modifier) BDD_REF'!$A$137:$B$191,2,FALSE)+VLOOKUP(Eligibilité_projet!K17,'(ne pas modifier) BDD_REF'!$A$137:$B$191,2,FALSE))/3/1000)</f>
        <v>0</v>
      </c>
      <c r="L5" s="49">
        <f t="shared" ref="L5:L7" si="0">SUM(B5:K5)</f>
        <v>8.613163418728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8" t="s">
        <v>59</v>
      </c>
      <c r="B6" s="49">
        <f>IF(Eligibilité_projet!B10="",0,VLOOKUP(Eligibilité_projet!B10,'(ne pas modifier) BDD_REF'!$A$194:$B$203,2,FALSE)/1000)</f>
        <v>3.3667024762240003</v>
      </c>
      <c r="C6" s="49">
        <f>IF(Eligibilité_projet!C10="",0,VLOOKUP(Eligibilité_projet!C10,'(ne pas modifier) BDD_REF'!$A$194:$B$203,2,FALSE)/1000)</f>
        <v>3.3667024762240003</v>
      </c>
      <c r="D6" s="49">
        <f>IF(Eligibilité_projet!D10="",0,VLOOKUP(Eligibilité_projet!D10,'(ne pas modifier) BDD_REF'!$A$194:$B$203,2,FALSE)/1000)</f>
        <v>3.3667024762240003</v>
      </c>
      <c r="E6" s="49">
        <f>IF(Eligibilité_projet!E10="",0,VLOOKUP(Eligibilité_projet!E10,'(ne pas modifier) BDD_REF'!$A$194:$B$203,2,FALSE)/1000)</f>
        <v>0</v>
      </c>
      <c r="F6" s="49">
        <f>IF(Eligibilité_projet!F10="",0,VLOOKUP(Eligibilité_projet!F10,'(ne pas modifier) BDD_REF'!$A$194:$B$203,2,FALSE)/1000)</f>
        <v>0</v>
      </c>
      <c r="G6" s="49">
        <f>IF(Eligibilité_projet!G10="",0,VLOOKUP(Eligibilité_projet!G10,'(ne pas modifier) BDD_REF'!$A$194:$B$203,2,FALSE)/1000)</f>
        <v>0</v>
      </c>
      <c r="H6" s="49">
        <f>IF(Eligibilité_projet!H10="",0,VLOOKUP(Eligibilité_projet!H10,'(ne pas modifier) BDD_REF'!$A$194:$B$203,2,FALSE)/1000)</f>
        <v>0</v>
      </c>
      <c r="I6" s="49">
        <f>IF(Eligibilité_projet!I10="",0,VLOOKUP(Eligibilité_projet!I10,'(ne pas modifier) BDD_REF'!$A$194:$B$203,2,FALSE)/1000)</f>
        <v>0</v>
      </c>
      <c r="J6" s="49">
        <f>IF(Eligibilité_projet!J10="",0,VLOOKUP(Eligibilité_projet!J10,'(ne pas modifier) BDD_REF'!$A$194:$B$203,2,FALSE)/1000)</f>
        <v>0</v>
      </c>
      <c r="K6" s="49">
        <f>IF(Eligibilité_projet!K10="",0,VLOOKUP(Eligibilité_projet!K10,'(ne pas modifier) BDD_REF'!$A$194:$B$203,2,FALSE)/1000)</f>
        <v>0</v>
      </c>
      <c r="L6" s="49">
        <f t="shared" si="0"/>
        <v>10.100107428672001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8" t="s">
        <v>60</v>
      </c>
      <c r="B7" s="49">
        <f>IF(OR('RECeff + REIamont (1)'!B5="pas de calcul possible",'RECeff + REIamont (1)'!B6="pas de calcul possible"),"pas de calcul possible",('RECeff + REIamont (1)'!B6-'RECeff + REIamont (1)'!B5)*5*Eligibilité_projet!B8)</f>
        <v>11.62294567772895</v>
      </c>
      <c r="C7" s="49">
        <f>IF(OR('RECeff + REIamont (1)'!C5="pas de calcul possible",'RECeff + REIamont (1)'!C6="pas de calcul possible"),"pas de calcul possible",('RECeff + REIamont (1)'!C6-'RECeff + REIamont (1)'!C5)*5*Eligibilité_projet!C8)</f>
        <v>5.7495168384501403</v>
      </c>
      <c r="D7" s="49">
        <f>IF(OR('RECeff + REIamont (1)'!D5="pas de calcul possible",'RECeff + REIamont (1)'!D6="pas de calcul possible"),"pas de calcul possible",('RECeff + REIamont (1)'!D6-'RECeff + REIamont (1)'!D5)*5*Eligibilité_projet!D8)</f>
        <v>0.4956480033146673</v>
      </c>
      <c r="E7" s="49">
        <f>IF(OR('RECeff + REIamont (1)'!E5="pas de calcul possible",'RECeff + REIamont (1)'!E6="pas de calcul possible"),"pas de calcul possible",('RECeff + REIamont (1)'!E6-'RECeff + REIamont (1)'!E5)*5*Eligibilité_projet!E8)</f>
        <v>0</v>
      </c>
      <c r="F7" s="49">
        <f>IF(OR('RECeff + REIamont (1)'!F5="pas de calcul possible",'RECeff + REIamont (1)'!F6="pas de calcul possible"),"pas de calcul possible",('RECeff + REIamont (1)'!F6-'RECeff + REIamont (1)'!F5)*5*Eligibilité_projet!F8)</f>
        <v>0</v>
      </c>
      <c r="G7" s="49">
        <f>IF(OR('RECeff + REIamont (1)'!G5="pas de calcul possible",'RECeff + REIamont (1)'!G6="pas de calcul possible"),"pas de calcul possible",('RECeff + REIamont (1)'!G6-'RECeff + REIamont (1)'!G5)*5*Eligibilité_projet!G8)</f>
        <v>0</v>
      </c>
      <c r="H7" s="49">
        <f>IF(OR('RECeff + REIamont (1)'!H5="pas de calcul possible",'RECeff + REIamont (1)'!H6="pas de calcul possible"),"pas de calcul possible",('RECeff + REIamont (1)'!H6-'RECeff + REIamont (1)'!H5)*5*Eligibilité_projet!H8)</f>
        <v>0</v>
      </c>
      <c r="I7" s="49">
        <f>IF(OR('RECeff + REIamont (1)'!I5="pas de calcul possible",'RECeff + REIamont (1)'!I6="pas de calcul possible"),"pas de calcul possible",('RECeff + REIamont (1)'!I6-'RECeff + REIamont (1)'!I5)*5*Eligibilité_projet!I8)</f>
        <v>0</v>
      </c>
      <c r="J7" s="49">
        <f>IF(OR('RECeff + REIamont (1)'!J5="pas de calcul possible",'RECeff + REIamont (1)'!J6="pas de calcul possible"),"pas de calcul possible",('RECeff + REIamont (1)'!J6-'RECeff + REIamont (1)'!J5)*5*Eligibilité_projet!J8)</f>
        <v>0</v>
      </c>
      <c r="K7" s="49">
        <f>IF(OR('RECeff + REIamont (1)'!K5="pas de calcul possible",'RECeff + REIamont (1)'!K6="pas de calcul possible"),"pas de calcul possible",('RECeff + REIamont (1)'!K6-'RECeff + REIamont (1)'!K5)*5*Eligibilité_projet!K8)</f>
        <v>0</v>
      </c>
      <c r="L7" s="49">
        <f t="shared" si="0"/>
        <v>17.868110519493758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2:L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1000"/>
  <sheetViews>
    <sheetView workbookViewId="0"/>
  </sheetViews>
  <sheetFormatPr baseColWidth="10" defaultColWidth="14.5" defaultRowHeight="15" customHeight="1" x14ac:dyDescent="0.2"/>
  <cols>
    <col min="1" max="1" width="12.5" customWidth="1"/>
    <col min="2" max="2" width="53.83203125" customWidth="1"/>
    <col min="3" max="33" width="11.5" customWidth="1"/>
  </cols>
  <sheetData>
    <row r="1" spans="1:33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36" customHeight="1" x14ac:dyDescent="0.2">
      <c r="A2" s="1"/>
      <c r="B2" s="130" t="s">
        <v>61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9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8.5" customHeight="1" x14ac:dyDescent="0.2">
      <c r="A4" s="2"/>
      <c r="B4" s="2"/>
      <c r="C4" s="48" t="s">
        <v>8</v>
      </c>
      <c r="D4" s="48" t="s">
        <v>9</v>
      </c>
      <c r="E4" s="48" t="s">
        <v>10</v>
      </c>
      <c r="F4" s="48" t="s">
        <v>11</v>
      </c>
      <c r="G4" s="48" t="s">
        <v>12</v>
      </c>
      <c r="H4" s="48" t="s">
        <v>13</v>
      </c>
      <c r="I4" s="48" t="s">
        <v>14</v>
      </c>
      <c r="J4" s="48" t="s">
        <v>15</v>
      </c>
      <c r="K4" s="48" t="s">
        <v>16</v>
      </c>
      <c r="L4" s="48" t="s">
        <v>17</v>
      </c>
      <c r="M4" s="50" t="s">
        <v>57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16" x14ac:dyDescent="0.2">
      <c r="A5" s="1"/>
      <c r="B5" s="8" t="s">
        <v>62</v>
      </c>
      <c r="C5" s="51">
        <f>IF(OR(Eligibilité_projet!B19="",Eligibilité_projet!B18="",Eligibilité_projet!B17=""),0,(VLOOKUP(Eligibilité_projet!B19,'(ne pas modifier) BDD_REF'!$A$137:$B$191,2,FALSE)+VLOOKUP(Eligibilité_projet!B18,'(ne pas modifier) BDD_REF'!$A$137:$B$191,2,FALSE)+VLOOKUP(Eligibilité_projet!B17,'(ne pas modifier) BDD_REF'!$A$137:$B$191,2,FALSE))/3/1000)</f>
        <v>2.871054472909333</v>
      </c>
      <c r="D5" s="51">
        <f>IF(OR(Eligibilité_projet!C19="",Eligibilité_projet!C18="",Eligibilité_projet!C17=""),0,(VLOOKUP(Eligibilité_projet!C19,'(ne pas modifier) BDD_REF'!$A$137:$B$191,2,FALSE)+VLOOKUP(Eligibilité_projet!C18,'(ne pas modifier) BDD_REF'!$A$137:$B$191,2,FALSE)+VLOOKUP(Eligibilité_projet!C17,'(ne pas modifier) BDD_REF'!$A$137:$B$191,2,FALSE))/3/1000)</f>
        <v>2.871054472909333</v>
      </c>
      <c r="E5" s="51">
        <f>IF(OR(Eligibilité_projet!D19="",Eligibilité_projet!D18="",Eligibilité_projet!D17=""),0,(VLOOKUP(Eligibilité_projet!D19,'(ne pas modifier) BDD_REF'!$A$137:$B$191,2,FALSE)+VLOOKUP(Eligibilité_projet!D18,'(ne pas modifier) BDD_REF'!$A$137:$B$191,2,FALSE)+VLOOKUP(Eligibilité_projet!D17,'(ne pas modifier) BDD_REF'!$A$137:$B$191,2,FALSE))/3/1000)</f>
        <v>2.871054472909333</v>
      </c>
      <c r="F5" s="51">
        <f>IF(OR(Eligibilité_projet!E19="",Eligibilité_projet!E18="",Eligibilité_projet!E17=""),0,(VLOOKUP(Eligibilité_projet!E19,'(ne pas modifier) BDD_REF'!$A$137:$B$191,2,FALSE)+VLOOKUP(Eligibilité_projet!E18,'(ne pas modifier) BDD_REF'!$A$137:$B$191,2,FALSE)+VLOOKUP(Eligibilité_projet!E17,'(ne pas modifier) BDD_REF'!$A$137:$B$191,2,FALSE))/3/1000)</f>
        <v>0</v>
      </c>
      <c r="G5" s="51">
        <f>IF(OR(Eligibilité_projet!F19="",Eligibilité_projet!F18="",Eligibilité_projet!F17=""),0,(VLOOKUP(Eligibilité_projet!F19,'(ne pas modifier) BDD_REF'!$A$137:$B$191,2,FALSE)+VLOOKUP(Eligibilité_projet!F18,'(ne pas modifier) BDD_REF'!$A$137:$B$191,2,FALSE)+VLOOKUP(Eligibilité_projet!F17,'(ne pas modifier) BDD_REF'!$A$137:$B$191,2,FALSE))/3/1000)</f>
        <v>0</v>
      </c>
      <c r="H5" s="51">
        <f>IF(OR(Eligibilité_projet!G19="",Eligibilité_projet!G18="",Eligibilité_projet!G17=""),0,(VLOOKUP(Eligibilité_projet!G19,'(ne pas modifier) BDD_REF'!$A$137:$B$191,2,FALSE)+VLOOKUP(Eligibilité_projet!G18,'(ne pas modifier) BDD_REF'!$A$137:$B$191,2,FALSE)+VLOOKUP(Eligibilité_projet!G17,'(ne pas modifier) BDD_REF'!$A$137:$B$191,2,FALSE))/3/1000)</f>
        <v>0</v>
      </c>
      <c r="I5" s="51">
        <f>IF(OR(Eligibilité_projet!H19="",Eligibilité_projet!H18="",Eligibilité_projet!H17=""),0,(VLOOKUP(Eligibilité_projet!H19,'(ne pas modifier) BDD_REF'!$A$137:$B$191,2,FALSE)+VLOOKUP(Eligibilité_projet!H18,'(ne pas modifier) BDD_REF'!$A$137:$B$191,2,FALSE)+VLOOKUP(Eligibilité_projet!H17,'(ne pas modifier) BDD_REF'!$A$137:$B$191,2,FALSE))/3/1000)</f>
        <v>0</v>
      </c>
      <c r="J5" s="51">
        <f>IF(OR(Eligibilité_projet!I19="",Eligibilité_projet!I18="",Eligibilité_projet!I17=""),0,(VLOOKUP(Eligibilité_projet!I19,'(ne pas modifier) BDD_REF'!$A$137:$B$191,2,FALSE)+VLOOKUP(Eligibilité_projet!I18,'(ne pas modifier) BDD_REF'!$A$137:$B$191,2,FALSE)+VLOOKUP(Eligibilité_projet!I17,'(ne pas modifier) BDD_REF'!$A$137:$B$191,2,FALSE))/3/1000)</f>
        <v>0</v>
      </c>
      <c r="K5" s="51">
        <f>IF(OR(Eligibilité_projet!J19="",Eligibilité_projet!J18="",Eligibilité_projet!J17=""),0,(VLOOKUP(Eligibilité_projet!J19,'(ne pas modifier) BDD_REF'!$A$137:$B$191,2,FALSE)+VLOOKUP(Eligibilité_projet!J18,'(ne pas modifier) BDD_REF'!$A$137:$B$191,2,FALSE)+VLOOKUP(Eligibilité_projet!J17,'(ne pas modifier) BDD_REF'!$A$137:$B$191,2,FALSE))/3/1000)</f>
        <v>0</v>
      </c>
      <c r="L5" s="51">
        <f>IF(OR(Eligibilité_projet!K19="",Eligibilité_projet!K18="",Eligibilité_projet!K17=""),0,(VLOOKUP(Eligibilité_projet!K19,'(ne pas modifier) BDD_REF'!$A$137:$B$191,2,FALSE)+VLOOKUP(Eligibilité_projet!K18,'(ne pas modifier) BDD_REF'!$A$137:$B$191,2,FALSE)+VLOOKUP(Eligibilité_projet!K17,'(ne pas modifier) BDD_REF'!$A$137:$B$191,2,FALSE))/3/1000)</f>
        <v>0</v>
      </c>
      <c r="M5" s="51">
        <f>SUM(C5:L5)</f>
        <v>8.613163418728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x14ac:dyDescent="0.2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16" x14ac:dyDescent="0.2">
      <c r="A7" s="48" t="s">
        <v>63</v>
      </c>
      <c r="B7" s="35" t="s">
        <v>64</v>
      </c>
      <c r="C7" s="9">
        <v>51</v>
      </c>
      <c r="D7" s="10">
        <v>51</v>
      </c>
      <c r="E7" s="10">
        <v>51</v>
      </c>
      <c r="F7" s="11"/>
      <c r="G7" s="11"/>
      <c r="H7" s="11"/>
      <c r="I7" s="11"/>
      <c r="J7" s="11"/>
      <c r="K7" s="11"/>
      <c r="L7" s="11"/>
      <c r="M7" s="51">
        <f t="shared" ref="M7:M144" si="0">SUM(C7:L7)</f>
        <v>153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6" x14ac:dyDescent="0.2">
      <c r="A8" s="1"/>
      <c r="B8" s="35" t="s">
        <v>65</v>
      </c>
      <c r="C8" s="16">
        <v>0</v>
      </c>
      <c r="D8" s="17">
        <v>0</v>
      </c>
      <c r="E8" s="17">
        <v>0</v>
      </c>
      <c r="F8" s="11"/>
      <c r="G8" s="11"/>
      <c r="H8" s="11"/>
      <c r="I8" s="11"/>
      <c r="J8" s="11"/>
      <c r="K8" s="11"/>
      <c r="L8" s="11"/>
      <c r="M8" s="51">
        <f t="shared" si="0"/>
        <v>0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16" x14ac:dyDescent="0.2">
      <c r="A9" s="1"/>
      <c r="B9" s="35" t="s">
        <v>66</v>
      </c>
      <c r="C9" s="16">
        <v>30</v>
      </c>
      <c r="D9" s="17">
        <v>30</v>
      </c>
      <c r="E9" s="17">
        <v>30</v>
      </c>
      <c r="F9" s="11"/>
      <c r="G9" s="11"/>
      <c r="H9" s="11"/>
      <c r="I9" s="11"/>
      <c r="J9" s="11"/>
      <c r="K9" s="11"/>
      <c r="L9" s="11"/>
      <c r="M9" s="51">
        <f t="shared" si="0"/>
        <v>90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16" x14ac:dyDescent="0.2">
      <c r="A10" s="1"/>
      <c r="B10" s="52" t="s">
        <v>67</v>
      </c>
      <c r="C10" s="53">
        <f>C7*'(ne pas modifier) BDD_REF'!$B$206 + (C8+C9)*'(ne pas modifier) BDD_REF'!$B$207</f>
        <v>0.996</v>
      </c>
      <c r="D10" s="54">
        <f>D7*'(ne pas modifier) BDD_REF'!$B$206 + (D8+D9)*'(ne pas modifier) BDD_REF'!$B$207</f>
        <v>0.996</v>
      </c>
      <c r="E10" s="54">
        <f>E7*'(ne pas modifier) BDD_REF'!$B$206 + (E8+E9)*'(ne pas modifier) BDD_REF'!$B$207</f>
        <v>0.996</v>
      </c>
      <c r="F10" s="51">
        <f>F7*'(ne pas modifier) BDD_REF'!$B$206 + (F8+F9)*'(ne pas modifier) BDD_REF'!$B$207</f>
        <v>0</v>
      </c>
      <c r="G10" s="51">
        <f>G7*'(ne pas modifier) BDD_REF'!$B$206 + (G8+G9)*'(ne pas modifier) BDD_REF'!$B$207</f>
        <v>0</v>
      </c>
      <c r="H10" s="51">
        <f>H7*'(ne pas modifier) BDD_REF'!$B$206 + (H8+H9)*'(ne pas modifier) BDD_REF'!$B$207</f>
        <v>0</v>
      </c>
      <c r="I10" s="51">
        <f>I7*'(ne pas modifier) BDD_REF'!$B$206 + (I8+I9)*'(ne pas modifier) BDD_REF'!$B$207</f>
        <v>0</v>
      </c>
      <c r="J10" s="51">
        <f>J7*'(ne pas modifier) BDD_REF'!$B$206 + (J8+J9)*'(ne pas modifier) BDD_REF'!$B$207</f>
        <v>0</v>
      </c>
      <c r="K10" s="51">
        <f>K7*'(ne pas modifier) BDD_REF'!$B$206 + (K8+K9)*'(ne pas modifier) BDD_REF'!$B$207</f>
        <v>0</v>
      </c>
      <c r="L10" s="51">
        <f>L7*'(ne pas modifier) BDD_REF'!$B$206 + (L8+L9)*'(ne pas modifier) BDD_REF'!$B$207</f>
        <v>0</v>
      </c>
      <c r="M10" s="51">
        <f t="shared" si="0"/>
        <v>2.988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16" x14ac:dyDescent="0.2">
      <c r="A11" s="1"/>
      <c r="B11" s="52" t="s">
        <v>68</v>
      </c>
      <c r="C11" s="53">
        <f>((C7*'(ne pas modifier) BDD_REF'!$B$219)+('RECeff + REIamont (2)'!C8+'RECeff + REIamont (2)'!C9)*'(ne pas modifier) BDD_REF'!$B$220)*'(ne pas modifier) BDD_REF'!$B$208</f>
        <v>0.1191</v>
      </c>
      <c r="D11" s="54">
        <f>((D7*'(ne pas modifier) BDD_REF'!$B$219)+('RECeff + REIamont (2)'!D8+'RECeff + REIamont (2)'!D9)*'(ne pas modifier) BDD_REF'!$B$220)*'(ne pas modifier) BDD_REF'!$B$208</f>
        <v>0.1191</v>
      </c>
      <c r="E11" s="54">
        <f>((E7*'(ne pas modifier) BDD_REF'!$B$219)+('RECeff + REIamont (2)'!E8+'RECeff + REIamont (2)'!E9)*'(ne pas modifier) BDD_REF'!$B$220)*'(ne pas modifier) BDD_REF'!$B$208</f>
        <v>0.1191</v>
      </c>
      <c r="F11" s="51">
        <f>((F7*'(ne pas modifier) BDD_REF'!$B$219)+('RECeff + REIamont (2)'!F8+'RECeff + REIamont (2)'!F9)*'(ne pas modifier) BDD_REF'!$B$220)*'(ne pas modifier) BDD_REF'!$B$208</f>
        <v>0</v>
      </c>
      <c r="G11" s="51">
        <f>((G7*'(ne pas modifier) BDD_REF'!$B$219)+('RECeff + REIamont (2)'!G8+'RECeff + REIamont (2)'!G9)*'(ne pas modifier) BDD_REF'!$B$220)*'(ne pas modifier) BDD_REF'!$B$208</f>
        <v>0</v>
      </c>
      <c r="H11" s="51">
        <f>((H7*'(ne pas modifier) BDD_REF'!$B$219)+('RECeff + REIamont (2)'!H8+'RECeff + REIamont (2)'!H9)*'(ne pas modifier) BDD_REF'!$B$220)*'(ne pas modifier) BDD_REF'!$B$208</f>
        <v>0</v>
      </c>
      <c r="I11" s="51">
        <f>((I7*'(ne pas modifier) BDD_REF'!$B$219)+('RECeff + REIamont (2)'!I8+'RECeff + REIamont (2)'!I9)*'(ne pas modifier) BDD_REF'!$B$220)*'(ne pas modifier) BDD_REF'!$B$208</f>
        <v>0</v>
      </c>
      <c r="J11" s="51">
        <f>((J7*'(ne pas modifier) BDD_REF'!$B$219)+('RECeff + REIamont (2)'!J8+'RECeff + REIamont (2)'!J9)*'(ne pas modifier) BDD_REF'!$B$220)*'(ne pas modifier) BDD_REF'!$B$208</f>
        <v>0</v>
      </c>
      <c r="K11" s="51">
        <f>((K7*'(ne pas modifier) BDD_REF'!$B$219)+('RECeff + REIamont (2)'!K8+'RECeff + REIamont (2)'!K9)*'(ne pas modifier) BDD_REF'!$B$220)*'(ne pas modifier) BDD_REF'!$B$208</f>
        <v>0</v>
      </c>
      <c r="L11" s="51">
        <f>((L7*'(ne pas modifier) BDD_REF'!$B$219)+('RECeff + REIamont (2)'!L8+'RECeff + REIamont (2)'!L9)*'(ne pas modifier) BDD_REF'!$B$220)*'(ne pas modifier) BDD_REF'!$B$208</f>
        <v>0</v>
      </c>
      <c r="M11" s="51">
        <f t="shared" si="0"/>
        <v>0.35730000000000001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6" x14ac:dyDescent="0.2">
      <c r="A12" s="1"/>
      <c r="B12" s="52" t="s">
        <v>69</v>
      </c>
      <c r="C12" s="53">
        <f>(C7+C8+C9)*'(ne pas modifier) BDD_REF'!$B$221*'(ne pas modifier) BDD_REF'!$B$209</f>
        <v>0.21383999999999997</v>
      </c>
      <c r="D12" s="54">
        <f>(D7+D8+D9)*'(ne pas modifier) BDD_REF'!$B$221*'(ne pas modifier) BDD_REF'!$B$209</f>
        <v>0.21383999999999997</v>
      </c>
      <c r="E12" s="54">
        <f>(E7+E8+E9)*'(ne pas modifier) BDD_REF'!$B$221*'(ne pas modifier) BDD_REF'!$B$209</f>
        <v>0.21383999999999997</v>
      </c>
      <c r="F12" s="51">
        <f>(F7+F8+F9)*'(ne pas modifier) BDD_REF'!$B$221*'(ne pas modifier) BDD_REF'!$B$209</f>
        <v>0</v>
      </c>
      <c r="G12" s="51">
        <f>(G7+G8+G9)*'(ne pas modifier) BDD_REF'!$B$221*'(ne pas modifier) BDD_REF'!$B$209</f>
        <v>0</v>
      </c>
      <c r="H12" s="51">
        <f>(H7+H8+H9)*'(ne pas modifier) BDD_REF'!$B$221*'(ne pas modifier) BDD_REF'!$B$209</f>
        <v>0</v>
      </c>
      <c r="I12" s="51">
        <f>(I7+I8+I9)*'(ne pas modifier) BDD_REF'!$B$221*'(ne pas modifier) BDD_REF'!$B$209</f>
        <v>0</v>
      </c>
      <c r="J12" s="51">
        <f>(J7+J8+J9)*'(ne pas modifier) BDD_REF'!$B$221*'(ne pas modifier) BDD_REF'!$B$209</f>
        <v>0</v>
      </c>
      <c r="K12" s="51">
        <f>(K7+K8+K9)*'(ne pas modifier) BDD_REF'!$B$221*'(ne pas modifier) BDD_REF'!$B$209</f>
        <v>0</v>
      </c>
      <c r="L12" s="51">
        <f>(L7+L8+L9)*'(ne pas modifier) BDD_REF'!$B$221*'(ne pas modifier) BDD_REF'!$B$209</f>
        <v>0</v>
      </c>
      <c r="M12" s="51">
        <f t="shared" si="0"/>
        <v>0.64151999999999987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6" x14ac:dyDescent="0.2">
      <c r="A13" s="1"/>
      <c r="B13" s="35" t="s">
        <v>70</v>
      </c>
      <c r="C13" s="16">
        <v>0</v>
      </c>
      <c r="D13" s="17">
        <v>0</v>
      </c>
      <c r="E13" s="17">
        <v>0</v>
      </c>
      <c r="F13" s="11"/>
      <c r="G13" s="11"/>
      <c r="H13" s="11"/>
      <c r="I13" s="11"/>
      <c r="J13" s="11"/>
      <c r="K13" s="11"/>
      <c r="L13" s="11"/>
      <c r="M13" s="51">
        <f t="shared" si="0"/>
        <v>0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6" x14ac:dyDescent="0.2">
      <c r="A14" s="1"/>
      <c r="B14" s="35" t="s">
        <v>71</v>
      </c>
      <c r="C14" s="16">
        <v>193.5</v>
      </c>
      <c r="D14" s="17">
        <v>193.5</v>
      </c>
      <c r="E14" s="17">
        <v>193.5</v>
      </c>
      <c r="F14" s="11"/>
      <c r="G14" s="11"/>
      <c r="H14" s="11"/>
      <c r="I14" s="11"/>
      <c r="J14" s="11"/>
      <c r="K14" s="11"/>
      <c r="L14" s="11"/>
      <c r="M14" s="51">
        <f t="shared" si="0"/>
        <v>580.5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6" x14ac:dyDescent="0.2">
      <c r="A15" s="1"/>
      <c r="B15" s="35" t="s">
        <v>72</v>
      </c>
      <c r="C15" s="16">
        <v>0</v>
      </c>
      <c r="D15" s="17">
        <v>0</v>
      </c>
      <c r="E15" s="17">
        <v>0</v>
      </c>
      <c r="F15" s="11"/>
      <c r="G15" s="11"/>
      <c r="H15" s="11"/>
      <c r="I15" s="11"/>
      <c r="J15" s="11"/>
      <c r="K15" s="11"/>
      <c r="L15" s="11"/>
      <c r="M15" s="51">
        <f t="shared" si="0"/>
        <v>0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6" x14ac:dyDescent="0.2">
      <c r="A16" s="1"/>
      <c r="B16" s="35" t="s">
        <v>73</v>
      </c>
      <c r="C16" s="16">
        <v>0</v>
      </c>
      <c r="D16" s="17">
        <v>0</v>
      </c>
      <c r="E16" s="17">
        <v>0</v>
      </c>
      <c r="F16" s="11"/>
      <c r="G16" s="11"/>
      <c r="H16" s="11"/>
      <c r="I16" s="11"/>
      <c r="J16" s="11"/>
      <c r="K16" s="11"/>
      <c r="L16" s="11"/>
      <c r="M16" s="51">
        <f t="shared" si="0"/>
        <v>0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6" x14ac:dyDescent="0.2">
      <c r="A17" s="1"/>
      <c r="B17" s="35" t="s">
        <v>74</v>
      </c>
      <c r="C17" s="16">
        <v>0</v>
      </c>
      <c r="D17" s="17">
        <v>0</v>
      </c>
      <c r="E17" s="17">
        <v>0</v>
      </c>
      <c r="F17" s="11"/>
      <c r="G17" s="11"/>
      <c r="H17" s="11"/>
      <c r="I17" s="11"/>
      <c r="J17" s="11"/>
      <c r="K17" s="11"/>
      <c r="L17" s="11"/>
      <c r="M17" s="51">
        <f t="shared" si="0"/>
        <v>0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6" x14ac:dyDescent="0.2">
      <c r="A18" s="1"/>
      <c r="B18" s="35" t="s">
        <v>75</v>
      </c>
      <c r="C18" s="16">
        <v>0</v>
      </c>
      <c r="D18" s="17">
        <v>0</v>
      </c>
      <c r="E18" s="17">
        <v>0</v>
      </c>
      <c r="F18" s="11"/>
      <c r="G18" s="11"/>
      <c r="H18" s="11"/>
      <c r="I18" s="11"/>
      <c r="J18" s="11"/>
      <c r="K18" s="11"/>
      <c r="L18" s="11"/>
      <c r="M18" s="51">
        <f t="shared" si="0"/>
        <v>0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6" x14ac:dyDescent="0.2">
      <c r="A19" s="1"/>
      <c r="B19" s="8" t="s">
        <v>76</v>
      </c>
      <c r="C19" s="53">
        <f>(C13*'(ne pas modifier) BDD_REF'!$C$224+'RECeff + REIamont (2)'!C14*'(ne pas modifier) BDD_REF'!$C$225+'RECeff + REIamont (2)'!C15*'(ne pas modifier) BDD_REF'!$C$226+'RECeff + REIamont (2)'!C16*'(ne pas modifier) BDD_REF'!$C$227+'RECeff + REIamont (2)'!C17*'(ne pas modifier) BDD_REF'!$C$228+'RECeff + REIamont (2)'!C18*'(ne pas modifier) BDD_REF'!$C$229)/1000</f>
        <v>0.59423849999999989</v>
      </c>
      <c r="D19" s="54">
        <f>(D13*'(ne pas modifier) BDD_REF'!$C$224+'RECeff + REIamont (2)'!D14*'(ne pas modifier) BDD_REF'!$C$225+'RECeff + REIamont (2)'!D15*'(ne pas modifier) BDD_REF'!$C$226+'RECeff + REIamont (2)'!D16*'(ne pas modifier) BDD_REF'!$C$227+'RECeff + REIamont (2)'!D17*'(ne pas modifier) BDD_REF'!$C$228+'RECeff + REIamont (2)'!D18*'(ne pas modifier) BDD_REF'!$C$229)/1000</f>
        <v>0.59423849999999989</v>
      </c>
      <c r="E19" s="54">
        <f>(E13*'(ne pas modifier) BDD_REF'!$C$224+'RECeff + REIamont (2)'!E14*'(ne pas modifier) BDD_REF'!$C$225+'RECeff + REIamont (2)'!E15*'(ne pas modifier) BDD_REF'!$C$226+'RECeff + REIamont (2)'!E16*'(ne pas modifier) BDD_REF'!$C$227+'RECeff + REIamont (2)'!E17*'(ne pas modifier) BDD_REF'!$C$228+'RECeff + REIamont (2)'!E18*'(ne pas modifier) BDD_REF'!$C$229)/1000</f>
        <v>0.59423849999999989</v>
      </c>
      <c r="F19" s="51">
        <f>(F13*'(ne pas modifier) BDD_REF'!$C$224+'RECeff + REIamont (2)'!F14*'(ne pas modifier) BDD_REF'!$C$225+'RECeff + REIamont (2)'!F15*'(ne pas modifier) BDD_REF'!$C$226+'RECeff + REIamont (2)'!F16*'(ne pas modifier) BDD_REF'!$C$227+'RECeff + REIamont (2)'!F17*'(ne pas modifier) BDD_REF'!$C$228+'RECeff + REIamont (2)'!F18*'(ne pas modifier) BDD_REF'!$C$229)/1000</f>
        <v>0</v>
      </c>
      <c r="G19" s="51">
        <f>(G13*'(ne pas modifier) BDD_REF'!$C$224+'RECeff + REIamont (2)'!G14*'(ne pas modifier) BDD_REF'!$C$225+'RECeff + REIamont (2)'!G15*'(ne pas modifier) BDD_REF'!$C$226+'RECeff + REIamont (2)'!G16*'(ne pas modifier) BDD_REF'!$C$227+'RECeff + REIamont (2)'!G17*'(ne pas modifier) BDD_REF'!$C$228+'RECeff + REIamont (2)'!G18*'(ne pas modifier) BDD_REF'!$C$229)/1000</f>
        <v>0</v>
      </c>
      <c r="H19" s="51">
        <f>(H13*'(ne pas modifier) BDD_REF'!$C$224+'RECeff + REIamont (2)'!H14*'(ne pas modifier) BDD_REF'!$C$225+'RECeff + REIamont (2)'!H15*'(ne pas modifier) BDD_REF'!$C$226+'RECeff + REIamont (2)'!H16*'(ne pas modifier) BDD_REF'!$C$227+'RECeff + REIamont (2)'!H17*'(ne pas modifier) BDD_REF'!$C$228+'RECeff + REIamont (2)'!H18*'(ne pas modifier) BDD_REF'!$C$229)/1000</f>
        <v>0</v>
      </c>
      <c r="I19" s="51">
        <f>(I13*'(ne pas modifier) BDD_REF'!$C$224+'RECeff + REIamont (2)'!I14*'(ne pas modifier) BDD_REF'!$C$225+'RECeff + REIamont (2)'!I15*'(ne pas modifier) BDD_REF'!$C$226+'RECeff + REIamont (2)'!I16*'(ne pas modifier) BDD_REF'!$C$227+'RECeff + REIamont (2)'!I17*'(ne pas modifier) BDD_REF'!$C$228+'RECeff + REIamont (2)'!I18*'(ne pas modifier) BDD_REF'!$C$229)/1000</f>
        <v>0</v>
      </c>
      <c r="J19" s="51">
        <f>(J13*'(ne pas modifier) BDD_REF'!$C$224+'RECeff + REIamont (2)'!J14*'(ne pas modifier) BDD_REF'!$C$225+'RECeff + REIamont (2)'!J15*'(ne pas modifier) BDD_REF'!$C$226+'RECeff + REIamont (2)'!J16*'(ne pas modifier) BDD_REF'!$C$227+'RECeff + REIamont (2)'!J17*'(ne pas modifier) BDD_REF'!$C$228+'RECeff + REIamont (2)'!J18*'(ne pas modifier) BDD_REF'!$C$229)/1000</f>
        <v>0</v>
      </c>
      <c r="K19" s="51">
        <f>(K13*'(ne pas modifier) BDD_REF'!$C$224+'RECeff + REIamont (2)'!K14*'(ne pas modifier) BDD_REF'!$C$225+'RECeff + REIamont (2)'!K15*'(ne pas modifier) BDD_REF'!$C$226+'RECeff + REIamont (2)'!K16*'(ne pas modifier) BDD_REF'!$C$227+'RECeff + REIamont (2)'!K17*'(ne pas modifier) BDD_REF'!$C$228+'RECeff + REIamont (2)'!K18*'(ne pas modifier) BDD_REF'!$C$229)/1000</f>
        <v>0</v>
      </c>
      <c r="L19" s="51">
        <f>(L13*'(ne pas modifier) BDD_REF'!$C$224+'RECeff + REIamont (2)'!L14*'(ne pas modifier) BDD_REF'!$C$225+'RECeff + REIamont (2)'!L15*'(ne pas modifier) BDD_REF'!$C$226+'RECeff + REIamont (2)'!L16*'(ne pas modifier) BDD_REF'!$C$227+'RECeff + REIamont (2)'!L17*'(ne pas modifier) BDD_REF'!$C$228+'RECeff + REIamont (2)'!L18*'(ne pas modifier) BDD_REF'!$C$229)/1000</f>
        <v>0</v>
      </c>
      <c r="M19" s="51">
        <f t="shared" si="0"/>
        <v>1.7827154999999997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6" x14ac:dyDescent="0.2">
      <c r="A20" s="1"/>
      <c r="B20" s="35" t="s">
        <v>77</v>
      </c>
      <c r="C20" s="16">
        <v>2000</v>
      </c>
      <c r="D20" s="17">
        <v>2000</v>
      </c>
      <c r="E20" s="17">
        <v>2000</v>
      </c>
      <c r="F20" s="11"/>
      <c r="G20" s="11"/>
      <c r="H20" s="11"/>
      <c r="I20" s="11"/>
      <c r="J20" s="11"/>
      <c r="K20" s="11"/>
      <c r="L20" s="11"/>
      <c r="M20" s="51">
        <f t="shared" si="0"/>
        <v>6000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5.75" customHeight="1" x14ac:dyDescent="0.2">
      <c r="A21" s="1"/>
      <c r="B21" s="8" t="s">
        <v>78</v>
      </c>
      <c r="C21" s="53">
        <f>(C20*'(ne pas modifier) BDD_REF'!$B$210)/1000</f>
        <v>0.114</v>
      </c>
      <c r="D21" s="54">
        <f>(D20*'(ne pas modifier) BDD_REF'!$B$210)/1000</f>
        <v>0.114</v>
      </c>
      <c r="E21" s="54">
        <f>(E20*'(ne pas modifier) BDD_REF'!$B$210)/1000</f>
        <v>0.114</v>
      </c>
      <c r="F21" s="51">
        <f>(F20*'(ne pas modifier) BDD_REF'!$B$210)/1000</f>
        <v>0</v>
      </c>
      <c r="G21" s="51">
        <f>(G20*'(ne pas modifier) BDD_REF'!$B$210)/1000</f>
        <v>0</v>
      </c>
      <c r="H21" s="51">
        <f>(H20*'(ne pas modifier) BDD_REF'!$B$210)/1000</f>
        <v>0</v>
      </c>
      <c r="I21" s="51">
        <f>(I20*'(ne pas modifier) BDD_REF'!$B$210)/1000</f>
        <v>0</v>
      </c>
      <c r="J21" s="51">
        <f>(J20*'(ne pas modifier) BDD_REF'!$B$210)/1000</f>
        <v>0</v>
      </c>
      <c r="K21" s="51">
        <f>(K20*'(ne pas modifier) BDD_REF'!$B$210)/1000</f>
        <v>0</v>
      </c>
      <c r="L21" s="51">
        <f>(L20*'(ne pas modifier) BDD_REF'!$B$210)/1000</f>
        <v>0</v>
      </c>
      <c r="M21" s="51">
        <f t="shared" si="0"/>
        <v>0.34200000000000003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5.75" customHeight="1" x14ac:dyDescent="0.2">
      <c r="A22" s="55"/>
      <c r="B22" s="52" t="s">
        <v>79</v>
      </c>
      <c r="C22" s="56">
        <f t="shared" ref="C22:L22" si="1">C19+C21</f>
        <v>0.70823849999999988</v>
      </c>
      <c r="D22" s="57">
        <f t="shared" si="1"/>
        <v>0.70823849999999988</v>
      </c>
      <c r="E22" s="57">
        <f t="shared" si="1"/>
        <v>0.70823849999999988</v>
      </c>
      <c r="F22" s="58">
        <f t="shared" si="1"/>
        <v>0</v>
      </c>
      <c r="G22" s="58">
        <f t="shared" si="1"/>
        <v>0</v>
      </c>
      <c r="H22" s="58">
        <f t="shared" si="1"/>
        <v>0</v>
      </c>
      <c r="I22" s="58">
        <f t="shared" si="1"/>
        <v>0</v>
      </c>
      <c r="J22" s="58">
        <f t="shared" si="1"/>
        <v>0</v>
      </c>
      <c r="K22" s="58">
        <f t="shared" si="1"/>
        <v>0</v>
      </c>
      <c r="L22" s="58">
        <f t="shared" si="1"/>
        <v>0</v>
      </c>
      <c r="M22" s="51">
        <f t="shared" si="0"/>
        <v>2.1247154999999998</v>
      </c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</row>
    <row r="23" spans="1:33" ht="15.75" customHeight="1" x14ac:dyDescent="0.2">
      <c r="A23" s="1"/>
      <c r="B23" s="35" t="s">
        <v>80</v>
      </c>
      <c r="C23" s="16">
        <v>46</v>
      </c>
      <c r="D23" s="17">
        <v>46</v>
      </c>
      <c r="E23" s="17">
        <v>46</v>
      </c>
      <c r="F23" s="11"/>
      <c r="G23" s="11"/>
      <c r="H23" s="11"/>
      <c r="I23" s="11"/>
      <c r="J23" s="11"/>
      <c r="K23" s="11"/>
      <c r="L23" s="11"/>
      <c r="M23" s="51">
        <f t="shared" si="0"/>
        <v>138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5.75" customHeight="1" x14ac:dyDescent="0.2">
      <c r="A24" s="1"/>
      <c r="B24" s="35" t="s">
        <v>81</v>
      </c>
      <c r="C24" s="16">
        <v>75</v>
      </c>
      <c r="D24" s="17">
        <v>75</v>
      </c>
      <c r="E24" s="17">
        <v>75</v>
      </c>
      <c r="F24" s="11"/>
      <c r="G24" s="11"/>
      <c r="H24" s="11"/>
      <c r="I24" s="11"/>
      <c r="J24" s="11"/>
      <c r="K24" s="11"/>
      <c r="L24" s="11"/>
      <c r="M24" s="51">
        <f t="shared" si="0"/>
        <v>225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5.75" customHeight="1" x14ac:dyDescent="0.2">
      <c r="A25" s="1"/>
      <c r="B25" s="8" t="s">
        <v>82</v>
      </c>
      <c r="C25" s="53">
        <f>(C7*'(ne pas modifier) BDD_REF'!$B$211+'RECeff + REIamont (2)'!C23*'(ne pas modifier) BDD_REF'!$B$212+'RECeff + REIamont (2)'!C24*'(ne pas modifier) BDD_REF'!$B$213)/1000</f>
        <v>0.34995999999999999</v>
      </c>
      <c r="D25" s="54">
        <f>(D7*'(ne pas modifier) BDD_REF'!$B$211+'RECeff + REIamont (2)'!D23*'(ne pas modifier) BDD_REF'!$B$212+'RECeff + REIamont (2)'!D24*'(ne pas modifier) BDD_REF'!$B$213)/1000</f>
        <v>0.34995999999999999</v>
      </c>
      <c r="E25" s="54">
        <f>(E7*'(ne pas modifier) BDD_REF'!$B$211+'RECeff + REIamont (2)'!E23*'(ne pas modifier) BDD_REF'!$B$212+'RECeff + REIamont (2)'!E24*'(ne pas modifier) BDD_REF'!$B$213)/1000</f>
        <v>0.34995999999999999</v>
      </c>
      <c r="F25" s="51">
        <f>(F7*'(ne pas modifier) BDD_REF'!$B$211+'RECeff + REIamont (2)'!F23*'(ne pas modifier) BDD_REF'!$B$212+'RECeff + REIamont (2)'!F24*'(ne pas modifier) BDD_REF'!$B$213)/1000</f>
        <v>0</v>
      </c>
      <c r="G25" s="51">
        <f>(G7*'(ne pas modifier) BDD_REF'!$B$211+'RECeff + REIamont (2)'!G23*'(ne pas modifier) BDD_REF'!$B$212+'RECeff + REIamont (2)'!G24*'(ne pas modifier) BDD_REF'!$B$213)/1000</f>
        <v>0</v>
      </c>
      <c r="H25" s="51">
        <f>(H7*'(ne pas modifier) BDD_REF'!$B$211+'RECeff + REIamont (2)'!H23*'(ne pas modifier) BDD_REF'!$B$212+'RECeff + REIamont (2)'!H24*'(ne pas modifier) BDD_REF'!$B$213)/1000</f>
        <v>0</v>
      </c>
      <c r="I25" s="51">
        <f>(I7*'(ne pas modifier) BDD_REF'!$B$211+'RECeff + REIamont (2)'!I23*'(ne pas modifier) BDD_REF'!$B$212+'RECeff + REIamont (2)'!I24*'(ne pas modifier) BDD_REF'!$B$213)/1000</f>
        <v>0</v>
      </c>
      <c r="J25" s="51">
        <f>(J7*'(ne pas modifier) BDD_REF'!$B$211+'RECeff + REIamont (2)'!J23*'(ne pas modifier) BDD_REF'!$B$212+'RECeff + REIamont (2)'!J24*'(ne pas modifier) BDD_REF'!$B$213)/1000</f>
        <v>0</v>
      </c>
      <c r="K25" s="51">
        <f>(K7*'(ne pas modifier) BDD_REF'!$B$211+'RECeff + REIamont (2)'!K23*'(ne pas modifier) BDD_REF'!$B$212+'RECeff + REIamont (2)'!K24*'(ne pas modifier) BDD_REF'!$B$213)/1000</f>
        <v>0</v>
      </c>
      <c r="L25" s="51">
        <f>(L7*'(ne pas modifier) BDD_REF'!$B$211+'RECeff + REIamont (2)'!L23*'(ne pas modifier) BDD_REF'!$B$212+'RECeff + REIamont (2)'!L24*'(ne pas modifier) BDD_REF'!$B$213)/1000</f>
        <v>0</v>
      </c>
      <c r="M25" s="51">
        <f t="shared" si="0"/>
        <v>1.0498799999999999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5.75" hidden="1" customHeight="1" x14ac:dyDescent="0.2">
      <c r="A26" s="1"/>
      <c r="B26" s="8" t="s">
        <v>83</v>
      </c>
      <c r="C26" s="59"/>
      <c r="D26" s="60"/>
      <c r="E26" s="60"/>
      <c r="F26" s="51"/>
      <c r="G26" s="51"/>
      <c r="H26" s="51"/>
      <c r="I26" s="51"/>
      <c r="J26" s="51"/>
      <c r="K26" s="51"/>
      <c r="L26" s="51"/>
      <c r="M26" s="51">
        <f t="shared" si="0"/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5.75" customHeight="1" x14ac:dyDescent="0.2">
      <c r="A27" s="61" t="s">
        <v>84</v>
      </c>
      <c r="B27" s="35" t="s">
        <v>85</v>
      </c>
      <c r="C27" s="18"/>
      <c r="D27" s="19"/>
      <c r="E27" s="19"/>
      <c r="F27" s="11"/>
      <c r="G27" s="11"/>
      <c r="H27" s="11"/>
      <c r="I27" s="11"/>
      <c r="J27" s="11"/>
      <c r="K27" s="11"/>
      <c r="L27" s="11"/>
      <c r="M27" s="51">
        <f t="shared" si="0"/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5.75" customHeight="1" x14ac:dyDescent="0.2">
      <c r="A28" s="1"/>
      <c r="B28" s="35" t="s">
        <v>86</v>
      </c>
      <c r="C28" s="18"/>
      <c r="D28" s="19"/>
      <c r="E28" s="19"/>
      <c r="F28" s="11"/>
      <c r="G28" s="11"/>
      <c r="H28" s="11"/>
      <c r="I28" s="11"/>
      <c r="J28" s="11"/>
      <c r="K28" s="11"/>
      <c r="L28" s="11"/>
      <c r="M28" s="51">
        <f t="shared" si="0"/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5.75" customHeight="1" x14ac:dyDescent="0.2">
      <c r="A29" s="1"/>
      <c r="B29" s="35" t="s">
        <v>87</v>
      </c>
      <c r="C29" s="18"/>
      <c r="D29" s="19"/>
      <c r="E29" s="19"/>
      <c r="F29" s="11"/>
      <c r="G29" s="11"/>
      <c r="H29" s="11"/>
      <c r="I29" s="11"/>
      <c r="J29" s="11"/>
      <c r="K29" s="11"/>
      <c r="L29" s="11"/>
      <c r="M29" s="51">
        <f t="shared" si="0"/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5.75" customHeight="1" x14ac:dyDescent="0.2">
      <c r="A30" s="1"/>
      <c r="B30" s="35" t="s">
        <v>88</v>
      </c>
      <c r="C30" s="18"/>
      <c r="D30" s="19"/>
      <c r="E30" s="19"/>
      <c r="F30" s="11"/>
      <c r="G30" s="11"/>
      <c r="H30" s="11"/>
      <c r="I30" s="11"/>
      <c r="J30" s="11"/>
      <c r="K30" s="11"/>
      <c r="L30" s="11"/>
      <c r="M30" s="51">
        <f t="shared" si="0"/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5.75" customHeight="1" x14ac:dyDescent="0.2">
      <c r="A31" s="1"/>
      <c r="B31" s="8" t="s">
        <v>89</v>
      </c>
      <c r="C31" s="53">
        <f>(C27*'(ne pas modifier) BDD_REF'!$B$214+'RECeff + REIamont (2)'!C28*'(ne pas modifier) BDD_REF'!$B$215+'RECeff + REIamont (2)'!C29*'(ne pas modifier) BDD_REF'!$B$216+'RECeff + REIamont (2)'!C30*'(ne pas modifier) BDD_REF'!$B$217)/1000</f>
        <v>0</v>
      </c>
      <c r="D31" s="54">
        <f>(D27*'(ne pas modifier) BDD_REF'!$B$214+'RECeff + REIamont (2)'!D28*'(ne pas modifier) BDD_REF'!$B$215+'RECeff + REIamont (2)'!D29*'(ne pas modifier) BDD_REF'!$B$216+'RECeff + REIamont (2)'!D30*'(ne pas modifier) BDD_REF'!$B$217)/1000</f>
        <v>0</v>
      </c>
      <c r="E31" s="54">
        <f>(E27*'(ne pas modifier) BDD_REF'!$B$214+'RECeff + REIamont (2)'!E28*'(ne pas modifier) BDD_REF'!$B$215+'RECeff + REIamont (2)'!E29*'(ne pas modifier) BDD_REF'!$B$216+'RECeff + REIamont (2)'!E30*'(ne pas modifier) BDD_REF'!$B$217)/1000</f>
        <v>0</v>
      </c>
      <c r="F31" s="51">
        <f>(F27*'(ne pas modifier) BDD_REF'!$B$214+'RECeff + REIamont (2)'!F28*'(ne pas modifier) BDD_REF'!$B$215+'RECeff + REIamont (2)'!F29*'(ne pas modifier) BDD_REF'!$B$216+'RECeff + REIamont (2)'!F30*'(ne pas modifier) BDD_REF'!$B$217)/1000</f>
        <v>0</v>
      </c>
      <c r="G31" s="51">
        <f>(G27*'(ne pas modifier) BDD_REF'!$B$214+'RECeff + REIamont (2)'!G28*'(ne pas modifier) BDD_REF'!$B$215+'RECeff + REIamont (2)'!G29*'(ne pas modifier) BDD_REF'!$B$216+'RECeff + REIamont (2)'!G30*'(ne pas modifier) BDD_REF'!$B$217)/1000</f>
        <v>0</v>
      </c>
      <c r="H31" s="51">
        <f>(H27*'(ne pas modifier) BDD_REF'!$B$214+'RECeff + REIamont (2)'!H28*'(ne pas modifier) BDD_REF'!$B$215+'RECeff + REIamont (2)'!H29*'(ne pas modifier) BDD_REF'!$B$216+'RECeff + REIamont (2)'!H30*'(ne pas modifier) BDD_REF'!$B$217)/1000</f>
        <v>0</v>
      </c>
      <c r="I31" s="51">
        <f>(I27*'(ne pas modifier) BDD_REF'!$B$214+'RECeff + REIamont (2)'!I28*'(ne pas modifier) BDD_REF'!$B$215+'RECeff + REIamont (2)'!I29*'(ne pas modifier) BDD_REF'!$B$216+'RECeff + REIamont (2)'!I30*'(ne pas modifier) BDD_REF'!$B$217)/1000</f>
        <v>0</v>
      </c>
      <c r="J31" s="51">
        <f>(J27*'(ne pas modifier) BDD_REF'!$B$214+'RECeff + REIamont (2)'!J28*'(ne pas modifier) BDD_REF'!$B$215+'RECeff + REIamont (2)'!J29*'(ne pas modifier) BDD_REF'!$B$216+'RECeff + REIamont (2)'!J30*'(ne pas modifier) BDD_REF'!$B$217)/1000</f>
        <v>0</v>
      </c>
      <c r="K31" s="51">
        <f>(K27*'(ne pas modifier) BDD_REF'!$B$214+'RECeff + REIamont (2)'!K28*'(ne pas modifier) BDD_REF'!$B$215+'RECeff + REIamont (2)'!K29*'(ne pas modifier) BDD_REF'!$B$216+'RECeff + REIamont (2)'!K30*'(ne pas modifier) BDD_REF'!$B$217)/1000</f>
        <v>0</v>
      </c>
      <c r="L31" s="51">
        <f>(L27*'(ne pas modifier) BDD_REF'!$B$214+'RECeff + REIamont (2)'!L28*'(ne pas modifier) BDD_REF'!$B$215+'RECeff + REIamont (2)'!L29*'(ne pas modifier) BDD_REF'!$B$216+'RECeff + REIamont (2)'!L30*'(ne pas modifier) BDD_REF'!$B$217)/1000</f>
        <v>0</v>
      </c>
      <c r="M31" s="51">
        <f t="shared" si="0"/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5.75" customHeight="1" x14ac:dyDescent="0.2">
      <c r="A32" s="55"/>
      <c r="B32" s="52" t="s">
        <v>90</v>
      </c>
      <c r="C32" s="56">
        <f t="shared" ref="C32:L32" si="2">C25+C26+C31</f>
        <v>0.34995999999999999</v>
      </c>
      <c r="D32" s="57">
        <f t="shared" si="2"/>
        <v>0.34995999999999999</v>
      </c>
      <c r="E32" s="57">
        <f t="shared" si="2"/>
        <v>0.34995999999999999</v>
      </c>
      <c r="F32" s="58">
        <f t="shared" si="2"/>
        <v>0</v>
      </c>
      <c r="G32" s="58">
        <f t="shared" si="2"/>
        <v>0</v>
      </c>
      <c r="H32" s="58">
        <f t="shared" si="2"/>
        <v>0</v>
      </c>
      <c r="I32" s="58">
        <f t="shared" si="2"/>
        <v>0</v>
      </c>
      <c r="J32" s="58">
        <f t="shared" si="2"/>
        <v>0</v>
      </c>
      <c r="K32" s="58">
        <f t="shared" si="2"/>
        <v>0</v>
      </c>
      <c r="L32" s="58">
        <f t="shared" si="2"/>
        <v>0</v>
      </c>
      <c r="M32" s="51">
        <f t="shared" si="0"/>
        <v>1.0498799999999999</v>
      </c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</row>
    <row r="33" spans="1:33" ht="15.75" customHeight="1" x14ac:dyDescent="0.2">
      <c r="A33" s="55"/>
      <c r="B33" s="62" t="s">
        <v>91</v>
      </c>
      <c r="C33" s="63">
        <f>((C10+C11+C12)/1000*44/28*'(ne pas modifier) BDD_REF'!$B$231)+'RECeff + REIamont (2)'!C22+'RECeff + REIamont (2)'!C32</f>
        <v>1.6116070857142857</v>
      </c>
      <c r="D33" s="64">
        <f>((D10+D11+D12)/1000*44/28*'(ne pas modifier) BDD_REF'!$B$231)+'RECeff + REIamont (2)'!D22+'RECeff + REIamont (2)'!D32</f>
        <v>1.6116070857142857</v>
      </c>
      <c r="E33" s="64">
        <f>((E10+E11+E12)/1000*44/28*'(ne pas modifier) BDD_REF'!$B$231)+'RECeff + REIamont (2)'!E22+'RECeff + REIamont (2)'!E32</f>
        <v>1.6116070857142857</v>
      </c>
      <c r="F33" s="62">
        <f>((F10+F11+F12)/1000*44/28*'(ne pas modifier) BDD_REF'!$B$231)+'RECeff + REIamont (2)'!F22+'RECeff + REIamont (2)'!F32</f>
        <v>0</v>
      </c>
      <c r="G33" s="62">
        <f>((G10+G11+G12)/1000*44/28*'(ne pas modifier) BDD_REF'!$B$231)+'RECeff + REIamont (2)'!G22+'RECeff + REIamont (2)'!G32</f>
        <v>0</v>
      </c>
      <c r="H33" s="62">
        <f>((H10+H11+H12)/1000*44/28*'(ne pas modifier) BDD_REF'!$B$231)+'RECeff + REIamont (2)'!H22+'RECeff + REIamont (2)'!H32</f>
        <v>0</v>
      </c>
      <c r="I33" s="62">
        <f>((I10+I11+I12)/1000*44/28*'(ne pas modifier) BDD_REF'!$B$231)+'RECeff + REIamont (2)'!I22+'RECeff + REIamont (2)'!I32</f>
        <v>0</v>
      </c>
      <c r="J33" s="62">
        <f>((J10+J11+J12)/1000*44/28*'(ne pas modifier) BDD_REF'!$B$231)+'RECeff + REIamont (2)'!J22+'RECeff + REIamont (2)'!J32</f>
        <v>0</v>
      </c>
      <c r="K33" s="62">
        <f>((K10+K11+K12)/1000*44/28*'(ne pas modifier) BDD_REF'!$B$231)+'RECeff + REIamont (2)'!K22+'RECeff + REIamont (2)'!K32</f>
        <v>0</v>
      </c>
      <c r="L33" s="62">
        <f>((L10+L11+L12)/1000*44/28*'(ne pas modifier) BDD_REF'!$B$231)+'RECeff + REIamont (2)'!L22+'RECeff + REIamont (2)'!L32</f>
        <v>0</v>
      </c>
      <c r="M33" s="62">
        <f t="shared" si="0"/>
        <v>4.834821257142857</v>
      </c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</row>
    <row r="34" spans="1:33" ht="15.75" customHeight="1" x14ac:dyDescent="0.2">
      <c r="A34" s="48" t="s">
        <v>92</v>
      </c>
      <c r="B34" s="35" t="s">
        <v>64</v>
      </c>
      <c r="C34" s="16">
        <v>51</v>
      </c>
      <c r="D34" s="17">
        <v>51</v>
      </c>
      <c r="E34" s="17">
        <v>51</v>
      </c>
      <c r="F34" s="11"/>
      <c r="G34" s="11"/>
      <c r="H34" s="11"/>
      <c r="I34" s="11"/>
      <c r="J34" s="11"/>
      <c r="K34" s="11"/>
      <c r="L34" s="11"/>
      <c r="M34" s="51">
        <f t="shared" si="0"/>
        <v>153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5.75" customHeight="1" x14ac:dyDescent="0.2">
      <c r="A35" s="1"/>
      <c r="B35" s="35" t="s">
        <v>65</v>
      </c>
      <c r="C35" s="16">
        <v>0</v>
      </c>
      <c r="D35" s="17">
        <v>0</v>
      </c>
      <c r="E35" s="17">
        <v>0</v>
      </c>
      <c r="F35" s="11"/>
      <c r="G35" s="11"/>
      <c r="H35" s="11"/>
      <c r="I35" s="11"/>
      <c r="J35" s="11"/>
      <c r="K35" s="11"/>
      <c r="L35" s="11"/>
      <c r="M35" s="51">
        <f t="shared" si="0"/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5.75" customHeight="1" x14ac:dyDescent="0.2">
      <c r="A36" s="1"/>
      <c r="B36" s="35" t="s">
        <v>66</v>
      </c>
      <c r="C36" s="16">
        <v>30</v>
      </c>
      <c r="D36" s="17">
        <v>30</v>
      </c>
      <c r="E36" s="17">
        <v>30</v>
      </c>
      <c r="F36" s="11"/>
      <c r="G36" s="11"/>
      <c r="H36" s="11"/>
      <c r="I36" s="11"/>
      <c r="J36" s="11"/>
      <c r="K36" s="11"/>
      <c r="L36" s="11"/>
      <c r="M36" s="51">
        <f t="shared" si="0"/>
        <v>90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5.75" customHeight="1" x14ac:dyDescent="0.2">
      <c r="A37" s="1"/>
      <c r="B37" s="52" t="s">
        <v>67</v>
      </c>
      <c r="C37" s="53">
        <f>C34*'(ne pas modifier) BDD_REF'!$B$206 + (C35+C36)*'(ne pas modifier) BDD_REF'!$B$207</f>
        <v>0.996</v>
      </c>
      <c r="D37" s="54">
        <f>D34*'(ne pas modifier) BDD_REF'!$B$206 + (D35+D36)*'(ne pas modifier) BDD_REF'!$B$207</f>
        <v>0.996</v>
      </c>
      <c r="E37" s="54">
        <f>E34*'(ne pas modifier) BDD_REF'!$B$206 + (E35+E36)*'(ne pas modifier) BDD_REF'!$B$207</f>
        <v>0.996</v>
      </c>
      <c r="F37" s="51">
        <f>F34*'(ne pas modifier) BDD_REF'!$B$206 + (F35+F36)*'(ne pas modifier) BDD_REF'!$B$207</f>
        <v>0</v>
      </c>
      <c r="G37" s="51">
        <f>G34*'(ne pas modifier) BDD_REF'!$B$206 + (G35+G36)*'(ne pas modifier) BDD_REF'!$B$207</f>
        <v>0</v>
      </c>
      <c r="H37" s="51">
        <f>H34*'(ne pas modifier) BDD_REF'!$B$206 + (H35+H36)*'(ne pas modifier) BDD_REF'!$B$207</f>
        <v>0</v>
      </c>
      <c r="I37" s="51">
        <f>I34*'(ne pas modifier) BDD_REF'!$B$206 + (I35+I36)*'(ne pas modifier) BDD_REF'!$B$207</f>
        <v>0</v>
      </c>
      <c r="J37" s="51">
        <f>J34*'(ne pas modifier) BDD_REF'!$B$206 + (J35+J36)*'(ne pas modifier) BDD_REF'!$B$207</f>
        <v>0</v>
      </c>
      <c r="K37" s="51">
        <f>K34*'(ne pas modifier) BDD_REF'!$B$206 + (K35+K36)*'(ne pas modifier) BDD_REF'!$B$207</f>
        <v>0</v>
      </c>
      <c r="L37" s="51">
        <f>L34*'(ne pas modifier) BDD_REF'!$B$206 + (L35+L36)*'(ne pas modifier) BDD_REF'!$B$207</f>
        <v>0</v>
      </c>
      <c r="M37" s="51">
        <f t="shared" si="0"/>
        <v>2.988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5.75" customHeight="1" x14ac:dyDescent="0.2">
      <c r="A38" s="1"/>
      <c r="B38" s="52" t="s">
        <v>68</v>
      </c>
      <c r="C38" s="53">
        <f>((C34*'(ne pas modifier) BDD_REF'!$B$219)+('RECeff + REIamont (2)'!C35+'RECeff + REIamont (2)'!C36)*'(ne pas modifier) BDD_REF'!$B$220)*'(ne pas modifier) BDD_REF'!$B$208</f>
        <v>0.1191</v>
      </c>
      <c r="D38" s="54">
        <f>((D34*'(ne pas modifier) BDD_REF'!$B$219)+('RECeff + REIamont (2)'!D35+'RECeff + REIamont (2)'!D36)*'(ne pas modifier) BDD_REF'!$B$220)*'(ne pas modifier) BDD_REF'!$B$208</f>
        <v>0.1191</v>
      </c>
      <c r="E38" s="54">
        <f>((E34*'(ne pas modifier) BDD_REF'!$B$219)+('RECeff + REIamont (2)'!E35+'RECeff + REIamont (2)'!E36)*'(ne pas modifier) BDD_REF'!$B$220)*'(ne pas modifier) BDD_REF'!$B$208</f>
        <v>0.1191</v>
      </c>
      <c r="F38" s="51">
        <f>((F34*'(ne pas modifier) BDD_REF'!$B$219)+('RECeff + REIamont (2)'!F35+'RECeff + REIamont (2)'!F36)*'(ne pas modifier) BDD_REF'!$B$220)*'(ne pas modifier) BDD_REF'!$B$208</f>
        <v>0</v>
      </c>
      <c r="G38" s="51">
        <f>((G34*'(ne pas modifier) BDD_REF'!$B$219)+('RECeff + REIamont (2)'!G35+'RECeff + REIamont (2)'!G36)*'(ne pas modifier) BDD_REF'!$B$220)*'(ne pas modifier) BDD_REF'!$B$208</f>
        <v>0</v>
      </c>
      <c r="H38" s="51">
        <f>((H34*'(ne pas modifier) BDD_REF'!$B$219)+('RECeff + REIamont (2)'!H35+'RECeff + REIamont (2)'!H36)*'(ne pas modifier) BDD_REF'!$B$220)*'(ne pas modifier) BDD_REF'!$B$208</f>
        <v>0</v>
      </c>
      <c r="I38" s="51">
        <f>((I34*'(ne pas modifier) BDD_REF'!$B$219)+('RECeff + REIamont (2)'!I35+'RECeff + REIamont (2)'!I36)*'(ne pas modifier) BDD_REF'!$B$220)*'(ne pas modifier) BDD_REF'!$B$208</f>
        <v>0</v>
      </c>
      <c r="J38" s="51">
        <f>((J34*'(ne pas modifier) BDD_REF'!$B$219)+('RECeff + REIamont (2)'!J35+'RECeff + REIamont (2)'!J36)*'(ne pas modifier) BDD_REF'!$B$220)*'(ne pas modifier) BDD_REF'!$B$208</f>
        <v>0</v>
      </c>
      <c r="K38" s="51">
        <f>((K34*'(ne pas modifier) BDD_REF'!$B$219)+('RECeff + REIamont (2)'!K35+'RECeff + REIamont (2)'!K36)*'(ne pas modifier) BDD_REF'!$B$220)*'(ne pas modifier) BDD_REF'!$B$208</f>
        <v>0</v>
      </c>
      <c r="L38" s="51">
        <f>((L34*'(ne pas modifier) BDD_REF'!$B$219)+('RECeff + REIamont (2)'!L35+'RECeff + REIamont (2)'!L36)*'(ne pas modifier) BDD_REF'!$B$220)*'(ne pas modifier) BDD_REF'!$B$208</f>
        <v>0</v>
      </c>
      <c r="M38" s="51">
        <f t="shared" si="0"/>
        <v>0.35730000000000001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5.75" customHeight="1" x14ac:dyDescent="0.2">
      <c r="A39" s="1"/>
      <c r="B39" s="52" t="s">
        <v>69</v>
      </c>
      <c r="C39" s="53">
        <f>(C34+C35+C36)*'(ne pas modifier) BDD_REF'!$B$221*'(ne pas modifier) BDD_REF'!$B$209</f>
        <v>0.21383999999999997</v>
      </c>
      <c r="D39" s="54">
        <f>(D34+D35+D36)*'(ne pas modifier) BDD_REF'!$B$221*'(ne pas modifier) BDD_REF'!$B$209</f>
        <v>0.21383999999999997</v>
      </c>
      <c r="E39" s="54">
        <f>(E34+E35+E36)*'(ne pas modifier) BDD_REF'!$B$221*'(ne pas modifier) BDD_REF'!$B$209</f>
        <v>0.21383999999999997</v>
      </c>
      <c r="F39" s="51">
        <f>(F34+F35+F36)*'(ne pas modifier) BDD_REF'!$B$221*'(ne pas modifier) BDD_REF'!$B$209</f>
        <v>0</v>
      </c>
      <c r="G39" s="51">
        <f>(G34+G35+G36)*'(ne pas modifier) BDD_REF'!$B$221*'(ne pas modifier) BDD_REF'!$B$209</f>
        <v>0</v>
      </c>
      <c r="H39" s="51">
        <f>(H34+H35+H36)*'(ne pas modifier) BDD_REF'!$B$221*'(ne pas modifier) BDD_REF'!$B$209</f>
        <v>0</v>
      </c>
      <c r="I39" s="51">
        <f>(I34+I35+I36)*'(ne pas modifier) BDD_REF'!$B$221*'(ne pas modifier) BDD_REF'!$B$209</f>
        <v>0</v>
      </c>
      <c r="J39" s="51">
        <f>(J34+J35+J36)*'(ne pas modifier) BDD_REF'!$B$221*'(ne pas modifier) BDD_REF'!$B$209</f>
        <v>0</v>
      </c>
      <c r="K39" s="51">
        <f>(K34+K35+K36)*'(ne pas modifier) BDD_REF'!$B$221*'(ne pas modifier) BDD_REF'!$B$209</f>
        <v>0</v>
      </c>
      <c r="L39" s="51">
        <f>(L34+L35+L36)*'(ne pas modifier) BDD_REF'!$B$221*'(ne pas modifier) BDD_REF'!$B$209</f>
        <v>0</v>
      </c>
      <c r="M39" s="51">
        <f t="shared" si="0"/>
        <v>0.64151999999999987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5.75" customHeight="1" x14ac:dyDescent="0.2">
      <c r="A40" s="1"/>
      <c r="B40" s="35" t="s">
        <v>70</v>
      </c>
      <c r="C40" s="16">
        <v>0</v>
      </c>
      <c r="D40" s="17">
        <v>0</v>
      </c>
      <c r="E40" s="17">
        <v>0</v>
      </c>
      <c r="F40" s="11"/>
      <c r="G40" s="11"/>
      <c r="H40" s="11"/>
      <c r="I40" s="11"/>
      <c r="J40" s="11"/>
      <c r="K40" s="11"/>
      <c r="L40" s="11"/>
      <c r="M40" s="51">
        <f t="shared" si="0"/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5.75" customHeight="1" x14ac:dyDescent="0.2">
      <c r="A41" s="1"/>
      <c r="B41" s="35" t="s">
        <v>71</v>
      </c>
      <c r="C41" s="16">
        <v>193.5</v>
      </c>
      <c r="D41" s="17">
        <v>193.5</v>
      </c>
      <c r="E41" s="17">
        <v>193.5</v>
      </c>
      <c r="F41" s="11"/>
      <c r="G41" s="11"/>
      <c r="H41" s="11"/>
      <c r="I41" s="11"/>
      <c r="J41" s="11"/>
      <c r="K41" s="11"/>
      <c r="L41" s="11"/>
      <c r="M41" s="51">
        <f t="shared" si="0"/>
        <v>580.5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5.75" customHeight="1" x14ac:dyDescent="0.2">
      <c r="A42" s="1"/>
      <c r="B42" s="35" t="s">
        <v>72</v>
      </c>
      <c r="C42" s="16">
        <v>0</v>
      </c>
      <c r="D42" s="17">
        <v>0</v>
      </c>
      <c r="E42" s="17">
        <v>0</v>
      </c>
      <c r="F42" s="11"/>
      <c r="G42" s="11"/>
      <c r="H42" s="11"/>
      <c r="I42" s="11"/>
      <c r="J42" s="11"/>
      <c r="K42" s="11"/>
      <c r="L42" s="11"/>
      <c r="M42" s="51">
        <f t="shared" si="0"/>
        <v>0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5.75" customHeight="1" x14ac:dyDescent="0.2">
      <c r="A43" s="1"/>
      <c r="B43" s="35" t="s">
        <v>73</v>
      </c>
      <c r="C43" s="16">
        <v>0</v>
      </c>
      <c r="D43" s="17">
        <v>0</v>
      </c>
      <c r="E43" s="17">
        <v>0</v>
      </c>
      <c r="F43" s="11"/>
      <c r="G43" s="11"/>
      <c r="H43" s="11"/>
      <c r="I43" s="11"/>
      <c r="J43" s="11"/>
      <c r="K43" s="11"/>
      <c r="L43" s="11"/>
      <c r="M43" s="51">
        <f t="shared" si="0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5.75" customHeight="1" x14ac:dyDescent="0.2">
      <c r="A44" s="1"/>
      <c r="B44" s="35" t="s">
        <v>74</v>
      </c>
      <c r="C44" s="16">
        <v>0</v>
      </c>
      <c r="D44" s="17">
        <v>0</v>
      </c>
      <c r="E44" s="17">
        <v>0</v>
      </c>
      <c r="F44" s="11"/>
      <c r="G44" s="11"/>
      <c r="H44" s="11"/>
      <c r="I44" s="11"/>
      <c r="J44" s="11"/>
      <c r="K44" s="11"/>
      <c r="L44" s="11"/>
      <c r="M44" s="51">
        <f t="shared" si="0"/>
        <v>0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5.75" customHeight="1" x14ac:dyDescent="0.2">
      <c r="A45" s="1"/>
      <c r="B45" s="35" t="s">
        <v>75</v>
      </c>
      <c r="C45" s="16">
        <v>0</v>
      </c>
      <c r="D45" s="17">
        <v>0</v>
      </c>
      <c r="E45" s="17">
        <v>0</v>
      </c>
      <c r="F45" s="11"/>
      <c r="G45" s="11"/>
      <c r="H45" s="11"/>
      <c r="I45" s="11"/>
      <c r="J45" s="11"/>
      <c r="K45" s="11"/>
      <c r="L45" s="11"/>
      <c r="M45" s="51">
        <f t="shared" si="0"/>
        <v>0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5.75" customHeight="1" x14ac:dyDescent="0.2">
      <c r="A46" s="1"/>
      <c r="B46" s="8" t="s">
        <v>76</v>
      </c>
      <c r="C46" s="53">
        <f>(C40*'(ne pas modifier) BDD_REF'!$C$224+'RECeff + REIamont (2)'!C41*'(ne pas modifier) BDD_REF'!$C$225+'RECeff + REIamont (2)'!C42*'(ne pas modifier) BDD_REF'!$C$226+'RECeff + REIamont (2)'!C43*'(ne pas modifier) BDD_REF'!$C$227+'RECeff + REIamont (2)'!C44*'(ne pas modifier) BDD_REF'!$C$228+'RECeff + REIamont (2)'!C45*'(ne pas modifier) BDD_REF'!$C$229)/1000</f>
        <v>0.59423849999999989</v>
      </c>
      <c r="D46" s="54">
        <f>(D40*'(ne pas modifier) BDD_REF'!$C$224+'RECeff + REIamont (2)'!D41*'(ne pas modifier) BDD_REF'!$C$225+'RECeff + REIamont (2)'!D42*'(ne pas modifier) BDD_REF'!$C$226+'RECeff + REIamont (2)'!D43*'(ne pas modifier) BDD_REF'!$C$227+'RECeff + REIamont (2)'!D44*'(ne pas modifier) BDD_REF'!$C$228+'RECeff + REIamont (2)'!D45*'(ne pas modifier) BDD_REF'!$C$229)/1000</f>
        <v>0.59423849999999989</v>
      </c>
      <c r="E46" s="54">
        <f>(E40*'(ne pas modifier) BDD_REF'!$C$224+'RECeff + REIamont (2)'!E41*'(ne pas modifier) BDD_REF'!$C$225+'RECeff + REIamont (2)'!E42*'(ne pas modifier) BDD_REF'!$C$226+'RECeff + REIamont (2)'!E43*'(ne pas modifier) BDD_REF'!$C$227+'RECeff + REIamont (2)'!E44*'(ne pas modifier) BDD_REF'!$C$228+'RECeff + REIamont (2)'!E45*'(ne pas modifier) BDD_REF'!$C$229)/1000</f>
        <v>0.59423849999999989</v>
      </c>
      <c r="F46" s="51">
        <f>(F40*'(ne pas modifier) BDD_REF'!$C$224+'RECeff + REIamont (2)'!F41*'(ne pas modifier) BDD_REF'!$C$225+'RECeff + REIamont (2)'!F42*'(ne pas modifier) BDD_REF'!$C$226+'RECeff + REIamont (2)'!F43*'(ne pas modifier) BDD_REF'!$C$227+'RECeff + REIamont (2)'!F44*'(ne pas modifier) BDD_REF'!$C$228+'RECeff + REIamont (2)'!F45*'(ne pas modifier) BDD_REF'!$C$229)/1000</f>
        <v>0</v>
      </c>
      <c r="G46" s="51">
        <f>(G40*'(ne pas modifier) BDD_REF'!$C$224+'RECeff + REIamont (2)'!G41*'(ne pas modifier) BDD_REF'!$C$225+'RECeff + REIamont (2)'!G42*'(ne pas modifier) BDD_REF'!$C$226+'RECeff + REIamont (2)'!G43*'(ne pas modifier) BDD_REF'!$C$227+'RECeff + REIamont (2)'!G44*'(ne pas modifier) BDD_REF'!$C$228+'RECeff + REIamont (2)'!G45*'(ne pas modifier) BDD_REF'!$C$229)/1000</f>
        <v>0</v>
      </c>
      <c r="H46" s="51">
        <f>(H40*'(ne pas modifier) BDD_REF'!$C$224+'RECeff + REIamont (2)'!H41*'(ne pas modifier) BDD_REF'!$C$225+'RECeff + REIamont (2)'!H42*'(ne pas modifier) BDD_REF'!$C$226+'RECeff + REIamont (2)'!H43*'(ne pas modifier) BDD_REF'!$C$227+'RECeff + REIamont (2)'!H44*'(ne pas modifier) BDD_REF'!$C$228+'RECeff + REIamont (2)'!H45*'(ne pas modifier) BDD_REF'!$C$229)/1000</f>
        <v>0</v>
      </c>
      <c r="I46" s="51">
        <f>(I40*'(ne pas modifier) BDD_REF'!$C$224+'RECeff + REIamont (2)'!I41*'(ne pas modifier) BDD_REF'!$C$225+'RECeff + REIamont (2)'!I42*'(ne pas modifier) BDD_REF'!$C$226+'RECeff + REIamont (2)'!I43*'(ne pas modifier) BDD_REF'!$C$227+'RECeff + REIamont (2)'!I44*'(ne pas modifier) BDD_REF'!$C$228+'RECeff + REIamont (2)'!I45*'(ne pas modifier) BDD_REF'!$C$229)/1000</f>
        <v>0</v>
      </c>
      <c r="J46" s="51">
        <f>(J40*'(ne pas modifier) BDD_REF'!$C$224+'RECeff + REIamont (2)'!J41*'(ne pas modifier) BDD_REF'!$C$225+'RECeff + REIamont (2)'!J42*'(ne pas modifier) BDD_REF'!$C$226+'RECeff + REIamont (2)'!J43*'(ne pas modifier) BDD_REF'!$C$227+'RECeff + REIamont (2)'!J44*'(ne pas modifier) BDD_REF'!$C$228+'RECeff + REIamont (2)'!J45*'(ne pas modifier) BDD_REF'!$C$229)/1000</f>
        <v>0</v>
      </c>
      <c r="K46" s="51">
        <f>(K40*'(ne pas modifier) BDD_REF'!$C$224+'RECeff + REIamont (2)'!K41*'(ne pas modifier) BDD_REF'!$C$225+'RECeff + REIamont (2)'!K42*'(ne pas modifier) BDD_REF'!$C$226+'RECeff + REIamont (2)'!K43*'(ne pas modifier) BDD_REF'!$C$227+'RECeff + REIamont (2)'!K44*'(ne pas modifier) BDD_REF'!$C$228+'RECeff + REIamont (2)'!K45*'(ne pas modifier) BDD_REF'!$C$229)/1000</f>
        <v>0</v>
      </c>
      <c r="L46" s="51">
        <f>(L40*'(ne pas modifier) BDD_REF'!$C$224+'RECeff + REIamont (2)'!L41*'(ne pas modifier) BDD_REF'!$C$225+'RECeff + REIamont (2)'!L42*'(ne pas modifier) BDD_REF'!$C$226+'RECeff + REIamont (2)'!L43*'(ne pas modifier) BDD_REF'!$C$227+'RECeff + REIamont (2)'!L44*'(ne pas modifier) BDD_REF'!$C$228+'RECeff + REIamont (2)'!L45*'(ne pas modifier) BDD_REF'!$C$229)/1000</f>
        <v>0</v>
      </c>
      <c r="M46" s="51">
        <f t="shared" si="0"/>
        <v>1.7827154999999997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5.75" customHeight="1" x14ac:dyDescent="0.2">
      <c r="A47" s="1"/>
      <c r="B47" s="35" t="s">
        <v>77</v>
      </c>
      <c r="C47" s="16">
        <v>2000</v>
      </c>
      <c r="D47" s="17">
        <v>2000</v>
      </c>
      <c r="E47" s="17">
        <v>2000</v>
      </c>
      <c r="F47" s="11"/>
      <c r="G47" s="11"/>
      <c r="H47" s="11"/>
      <c r="I47" s="11"/>
      <c r="J47" s="11"/>
      <c r="K47" s="11"/>
      <c r="L47" s="11"/>
      <c r="M47" s="51">
        <f t="shared" si="0"/>
        <v>6000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5.75" customHeight="1" x14ac:dyDescent="0.2">
      <c r="A48" s="1"/>
      <c r="B48" s="8" t="s">
        <v>78</v>
      </c>
      <c r="C48" s="53">
        <f>(C47*'(ne pas modifier) BDD_REF'!$B$210)/1000</f>
        <v>0.114</v>
      </c>
      <c r="D48" s="54">
        <f>(D47*'(ne pas modifier) BDD_REF'!$B$210)/1000</f>
        <v>0.114</v>
      </c>
      <c r="E48" s="54">
        <f>(E47*'(ne pas modifier) BDD_REF'!$B$210)/1000</f>
        <v>0.114</v>
      </c>
      <c r="F48" s="51">
        <f>(F47*'(ne pas modifier) BDD_REF'!$B$210)/1000</f>
        <v>0</v>
      </c>
      <c r="G48" s="51">
        <f>(G47*'(ne pas modifier) BDD_REF'!$B$210)/1000</f>
        <v>0</v>
      </c>
      <c r="H48" s="51">
        <f>(H47*'(ne pas modifier) BDD_REF'!$B$210)/1000</f>
        <v>0</v>
      </c>
      <c r="I48" s="51">
        <f>(I47*'(ne pas modifier) BDD_REF'!$B$210)/1000</f>
        <v>0</v>
      </c>
      <c r="J48" s="51">
        <f>(J47*'(ne pas modifier) BDD_REF'!$B$210)/1000</f>
        <v>0</v>
      </c>
      <c r="K48" s="51">
        <f>(K47*'(ne pas modifier) BDD_REF'!$B$210)/1000</f>
        <v>0</v>
      </c>
      <c r="L48" s="51">
        <f>(L47*'(ne pas modifier) BDD_REF'!$B$210)/1000</f>
        <v>0</v>
      </c>
      <c r="M48" s="51">
        <f t="shared" si="0"/>
        <v>0.34200000000000003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5.75" customHeight="1" x14ac:dyDescent="0.2">
      <c r="A49" s="55"/>
      <c r="B49" s="52" t="s">
        <v>79</v>
      </c>
      <c r="C49" s="56">
        <f t="shared" ref="C49:L49" si="3">C46+C48</f>
        <v>0.70823849999999988</v>
      </c>
      <c r="D49" s="57">
        <f t="shared" si="3"/>
        <v>0.70823849999999988</v>
      </c>
      <c r="E49" s="57">
        <f t="shared" si="3"/>
        <v>0.70823849999999988</v>
      </c>
      <c r="F49" s="58">
        <f t="shared" si="3"/>
        <v>0</v>
      </c>
      <c r="G49" s="58">
        <f t="shared" si="3"/>
        <v>0</v>
      </c>
      <c r="H49" s="58">
        <f t="shared" si="3"/>
        <v>0</v>
      </c>
      <c r="I49" s="58">
        <f t="shared" si="3"/>
        <v>0</v>
      </c>
      <c r="J49" s="58">
        <f t="shared" si="3"/>
        <v>0</v>
      </c>
      <c r="K49" s="58">
        <f t="shared" si="3"/>
        <v>0</v>
      </c>
      <c r="L49" s="58">
        <f t="shared" si="3"/>
        <v>0</v>
      </c>
      <c r="M49" s="51">
        <f t="shared" si="0"/>
        <v>2.1247154999999998</v>
      </c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</row>
    <row r="50" spans="1:33" ht="15.75" customHeight="1" x14ac:dyDescent="0.2">
      <c r="A50" s="1"/>
      <c r="B50" s="35" t="s">
        <v>80</v>
      </c>
      <c r="C50" s="16">
        <v>46</v>
      </c>
      <c r="D50" s="17">
        <v>46</v>
      </c>
      <c r="E50" s="17">
        <v>46</v>
      </c>
      <c r="F50" s="11"/>
      <c r="G50" s="11"/>
      <c r="H50" s="11"/>
      <c r="I50" s="11"/>
      <c r="J50" s="11"/>
      <c r="K50" s="11"/>
      <c r="L50" s="11"/>
      <c r="M50" s="51">
        <f t="shared" si="0"/>
        <v>138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5.75" customHeight="1" x14ac:dyDescent="0.2">
      <c r="A51" s="1"/>
      <c r="B51" s="35" t="s">
        <v>81</v>
      </c>
      <c r="C51" s="16">
        <v>75</v>
      </c>
      <c r="D51" s="17">
        <v>75</v>
      </c>
      <c r="E51" s="17">
        <v>75</v>
      </c>
      <c r="F51" s="11"/>
      <c r="G51" s="11"/>
      <c r="H51" s="11"/>
      <c r="I51" s="11"/>
      <c r="J51" s="11"/>
      <c r="K51" s="11"/>
      <c r="L51" s="11"/>
      <c r="M51" s="51">
        <f t="shared" si="0"/>
        <v>225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5.75" customHeight="1" x14ac:dyDescent="0.2">
      <c r="A52" s="1"/>
      <c r="B52" s="8" t="s">
        <v>82</v>
      </c>
      <c r="C52" s="53">
        <f>(C34*'(ne pas modifier) BDD_REF'!$B$211+'RECeff + REIamont (2)'!C50*'(ne pas modifier) BDD_REF'!$B$212+'RECeff + REIamont (2)'!C51*'(ne pas modifier) BDD_REF'!$B$213)/1000</f>
        <v>0.34995999999999999</v>
      </c>
      <c r="D52" s="54">
        <f>(D34*'(ne pas modifier) BDD_REF'!$B$211+'RECeff + REIamont (2)'!D50*'(ne pas modifier) BDD_REF'!$B$212+'RECeff + REIamont (2)'!D51*'(ne pas modifier) BDD_REF'!$B$213)/1000</f>
        <v>0.34995999999999999</v>
      </c>
      <c r="E52" s="54">
        <f>(E34*'(ne pas modifier) BDD_REF'!$B$211+'RECeff + REIamont (2)'!E50*'(ne pas modifier) BDD_REF'!$B$212+'RECeff + REIamont (2)'!E51*'(ne pas modifier) BDD_REF'!$B$213)/1000</f>
        <v>0.34995999999999999</v>
      </c>
      <c r="F52" s="51">
        <f>(F34*'(ne pas modifier) BDD_REF'!$B$211+'RECeff + REIamont (2)'!F50*'(ne pas modifier) BDD_REF'!$B$212+'RECeff + REIamont (2)'!F51*'(ne pas modifier) BDD_REF'!$B$213)/1000</f>
        <v>0</v>
      </c>
      <c r="G52" s="51">
        <f>(G34*'(ne pas modifier) BDD_REF'!$B$211+'RECeff + REIamont (2)'!G50*'(ne pas modifier) BDD_REF'!$B$212+'RECeff + REIamont (2)'!G51*'(ne pas modifier) BDD_REF'!$B$213)/1000</f>
        <v>0</v>
      </c>
      <c r="H52" s="51">
        <f>(H34*'(ne pas modifier) BDD_REF'!$B$211+'RECeff + REIamont (2)'!H50*'(ne pas modifier) BDD_REF'!$B$212+'RECeff + REIamont (2)'!H51*'(ne pas modifier) BDD_REF'!$B$213)/1000</f>
        <v>0</v>
      </c>
      <c r="I52" s="51">
        <f>(I34*'(ne pas modifier) BDD_REF'!$B$211+'RECeff + REIamont (2)'!I50*'(ne pas modifier) BDD_REF'!$B$212+'RECeff + REIamont (2)'!I51*'(ne pas modifier) BDD_REF'!$B$213)/1000</f>
        <v>0</v>
      </c>
      <c r="J52" s="51">
        <f>(J34*'(ne pas modifier) BDD_REF'!$B$211+'RECeff + REIamont (2)'!J50*'(ne pas modifier) BDD_REF'!$B$212+'RECeff + REIamont (2)'!J51*'(ne pas modifier) BDD_REF'!$B$213)/1000</f>
        <v>0</v>
      </c>
      <c r="K52" s="51">
        <f>(K34*'(ne pas modifier) BDD_REF'!$B$211+'RECeff + REIamont (2)'!K50*'(ne pas modifier) BDD_REF'!$B$212+'RECeff + REIamont (2)'!K51*'(ne pas modifier) BDD_REF'!$B$213)/1000</f>
        <v>0</v>
      </c>
      <c r="L52" s="51">
        <f>(L34*'(ne pas modifier) BDD_REF'!$B$211+'RECeff + REIamont (2)'!L50*'(ne pas modifier) BDD_REF'!$B$212+'RECeff + REIamont (2)'!L51*'(ne pas modifier) BDD_REF'!$B$213)/1000</f>
        <v>0</v>
      </c>
      <c r="M52" s="51">
        <f t="shared" si="0"/>
        <v>1.0498799999999999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5.75" hidden="1" customHeight="1" x14ac:dyDescent="0.2">
      <c r="A53" s="1" t="s">
        <v>93</v>
      </c>
      <c r="B53" s="8" t="s">
        <v>83</v>
      </c>
      <c r="C53" s="59"/>
      <c r="D53" s="60"/>
      <c r="E53" s="60"/>
      <c r="F53" s="51"/>
      <c r="G53" s="51"/>
      <c r="H53" s="51"/>
      <c r="I53" s="51"/>
      <c r="J53" s="51"/>
      <c r="K53" s="51"/>
      <c r="L53" s="51"/>
      <c r="M53" s="51">
        <f t="shared" si="0"/>
        <v>0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5.75" customHeight="1" x14ac:dyDescent="0.2">
      <c r="A54" s="1"/>
      <c r="B54" s="35" t="s">
        <v>85</v>
      </c>
      <c r="C54" s="18"/>
      <c r="D54" s="19"/>
      <c r="E54" s="19"/>
      <c r="F54" s="11"/>
      <c r="G54" s="11"/>
      <c r="H54" s="11"/>
      <c r="I54" s="11"/>
      <c r="J54" s="11"/>
      <c r="K54" s="11"/>
      <c r="L54" s="11"/>
      <c r="M54" s="51">
        <f t="shared" si="0"/>
        <v>0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5.75" customHeight="1" x14ac:dyDescent="0.2">
      <c r="A55" s="1"/>
      <c r="B55" s="35" t="s">
        <v>86</v>
      </c>
      <c r="C55" s="18"/>
      <c r="D55" s="19"/>
      <c r="E55" s="19"/>
      <c r="F55" s="11"/>
      <c r="G55" s="11"/>
      <c r="H55" s="11"/>
      <c r="I55" s="11"/>
      <c r="J55" s="11"/>
      <c r="K55" s="11"/>
      <c r="L55" s="11"/>
      <c r="M55" s="51">
        <f t="shared" si="0"/>
        <v>0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5.75" customHeight="1" x14ac:dyDescent="0.2">
      <c r="A56" s="1"/>
      <c r="B56" s="35" t="s">
        <v>87</v>
      </c>
      <c r="C56" s="18"/>
      <c r="D56" s="19"/>
      <c r="E56" s="19"/>
      <c r="F56" s="11"/>
      <c r="G56" s="11"/>
      <c r="H56" s="11"/>
      <c r="I56" s="11"/>
      <c r="J56" s="11"/>
      <c r="K56" s="11"/>
      <c r="L56" s="11"/>
      <c r="M56" s="51">
        <f t="shared" si="0"/>
        <v>0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5.75" customHeight="1" x14ac:dyDescent="0.2">
      <c r="A57" s="1"/>
      <c r="B57" s="35" t="s">
        <v>88</v>
      </c>
      <c r="C57" s="18"/>
      <c r="D57" s="19"/>
      <c r="E57" s="19"/>
      <c r="F57" s="11"/>
      <c r="G57" s="11"/>
      <c r="H57" s="11"/>
      <c r="I57" s="11"/>
      <c r="J57" s="11"/>
      <c r="K57" s="11"/>
      <c r="L57" s="11"/>
      <c r="M57" s="51">
        <f t="shared" si="0"/>
        <v>0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5.75" customHeight="1" x14ac:dyDescent="0.2">
      <c r="A58" s="1"/>
      <c r="B58" s="8" t="s">
        <v>89</v>
      </c>
      <c r="C58" s="53">
        <f>(C54*'(ne pas modifier) BDD_REF'!$B$214+'RECeff + REIamont (2)'!C55*'(ne pas modifier) BDD_REF'!$B$215+'RECeff + REIamont (2)'!C56*'(ne pas modifier) BDD_REF'!$B$216+'RECeff + REIamont (2)'!C57*'(ne pas modifier) BDD_REF'!$B$217)/1000</f>
        <v>0</v>
      </c>
      <c r="D58" s="54">
        <f>(D54*'(ne pas modifier) BDD_REF'!$B$214+'RECeff + REIamont (2)'!D55*'(ne pas modifier) BDD_REF'!$B$215+'RECeff + REIamont (2)'!D56*'(ne pas modifier) BDD_REF'!$B$216+'RECeff + REIamont (2)'!D57*'(ne pas modifier) BDD_REF'!$B$217)/1000</f>
        <v>0</v>
      </c>
      <c r="E58" s="54">
        <f>(E54*'(ne pas modifier) BDD_REF'!$B$214+'RECeff + REIamont (2)'!E55*'(ne pas modifier) BDD_REF'!$B$215+'RECeff + REIamont (2)'!E56*'(ne pas modifier) BDD_REF'!$B$216+'RECeff + REIamont (2)'!E57*'(ne pas modifier) BDD_REF'!$B$217)/1000</f>
        <v>0</v>
      </c>
      <c r="F58" s="51">
        <f>(F54*'(ne pas modifier) BDD_REF'!$B$214+'RECeff + REIamont (2)'!F55*'(ne pas modifier) BDD_REF'!$B$215+'RECeff + REIamont (2)'!F56*'(ne pas modifier) BDD_REF'!$B$216+'RECeff + REIamont (2)'!F57*'(ne pas modifier) BDD_REF'!$B$217)/1000</f>
        <v>0</v>
      </c>
      <c r="G58" s="51">
        <f>(G54*'(ne pas modifier) BDD_REF'!$B$214+'RECeff + REIamont (2)'!G55*'(ne pas modifier) BDD_REF'!$B$215+'RECeff + REIamont (2)'!G56*'(ne pas modifier) BDD_REF'!$B$216+'RECeff + REIamont (2)'!G57*'(ne pas modifier) BDD_REF'!$B$217)/1000</f>
        <v>0</v>
      </c>
      <c r="H58" s="51">
        <f>(H54*'(ne pas modifier) BDD_REF'!$B$214+'RECeff + REIamont (2)'!H55*'(ne pas modifier) BDD_REF'!$B$215+'RECeff + REIamont (2)'!H56*'(ne pas modifier) BDD_REF'!$B$216+'RECeff + REIamont (2)'!H57*'(ne pas modifier) BDD_REF'!$B$217)/1000</f>
        <v>0</v>
      </c>
      <c r="I58" s="51">
        <f>(I54*'(ne pas modifier) BDD_REF'!$B$214+'RECeff + REIamont (2)'!I55*'(ne pas modifier) BDD_REF'!$B$215+'RECeff + REIamont (2)'!I56*'(ne pas modifier) BDD_REF'!$B$216+'RECeff + REIamont (2)'!I57*'(ne pas modifier) BDD_REF'!$B$217)/1000</f>
        <v>0</v>
      </c>
      <c r="J58" s="51">
        <f>(J54*'(ne pas modifier) BDD_REF'!$B$214+'RECeff + REIamont (2)'!J55*'(ne pas modifier) BDD_REF'!$B$215+'RECeff + REIamont (2)'!J56*'(ne pas modifier) BDD_REF'!$B$216+'RECeff + REIamont (2)'!J57*'(ne pas modifier) BDD_REF'!$B$217)/1000</f>
        <v>0</v>
      </c>
      <c r="K58" s="51">
        <f>(K54*'(ne pas modifier) BDD_REF'!$B$214+'RECeff + REIamont (2)'!K55*'(ne pas modifier) BDD_REF'!$B$215+'RECeff + REIamont (2)'!K56*'(ne pas modifier) BDD_REF'!$B$216+'RECeff + REIamont (2)'!K57*'(ne pas modifier) BDD_REF'!$B$217)/1000</f>
        <v>0</v>
      </c>
      <c r="L58" s="51">
        <f>(L54*'(ne pas modifier) BDD_REF'!$B$214+'RECeff + REIamont (2)'!L55*'(ne pas modifier) BDD_REF'!$B$215+'RECeff + REIamont (2)'!L56*'(ne pas modifier) BDD_REF'!$B$216+'RECeff + REIamont (2)'!L57*'(ne pas modifier) BDD_REF'!$B$217)/1000</f>
        <v>0</v>
      </c>
      <c r="M58" s="51">
        <f t="shared" si="0"/>
        <v>0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5.75" customHeight="1" x14ac:dyDescent="0.2">
      <c r="A59" s="55"/>
      <c r="B59" s="52" t="s">
        <v>90</v>
      </c>
      <c r="C59" s="56">
        <f t="shared" ref="C59:L59" si="4">C52+C53+C58</f>
        <v>0.34995999999999999</v>
      </c>
      <c r="D59" s="57">
        <f t="shared" si="4"/>
        <v>0.34995999999999999</v>
      </c>
      <c r="E59" s="57">
        <f t="shared" si="4"/>
        <v>0.34995999999999999</v>
      </c>
      <c r="F59" s="58">
        <f t="shared" si="4"/>
        <v>0</v>
      </c>
      <c r="G59" s="58">
        <f t="shared" si="4"/>
        <v>0</v>
      </c>
      <c r="H59" s="58">
        <f t="shared" si="4"/>
        <v>0</v>
      </c>
      <c r="I59" s="58">
        <f t="shared" si="4"/>
        <v>0</v>
      </c>
      <c r="J59" s="58">
        <f t="shared" si="4"/>
        <v>0</v>
      </c>
      <c r="K59" s="58">
        <f t="shared" si="4"/>
        <v>0</v>
      </c>
      <c r="L59" s="58">
        <f t="shared" si="4"/>
        <v>0</v>
      </c>
      <c r="M59" s="51">
        <f t="shared" si="0"/>
        <v>1.0498799999999999</v>
      </c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</row>
    <row r="60" spans="1:33" ht="15.75" customHeight="1" x14ac:dyDescent="0.2">
      <c r="A60" s="55"/>
      <c r="B60" s="62" t="s">
        <v>91</v>
      </c>
      <c r="C60" s="63">
        <f>((C37+C38+C39)/1000*44/28*'(ne pas modifier) BDD_REF'!$B$231)+'RECeff + REIamont (2)'!C49+'RECeff + REIamont (2)'!C59</f>
        <v>1.6116070857142857</v>
      </c>
      <c r="D60" s="64">
        <f>((D37+D38+D39)/1000*44/28*'(ne pas modifier) BDD_REF'!$B$231)+'RECeff + REIamont (2)'!D49+'RECeff + REIamont (2)'!D59</f>
        <v>1.6116070857142857</v>
      </c>
      <c r="E60" s="64">
        <f>((E37+E38+E39)/1000*44/28*'(ne pas modifier) BDD_REF'!$B$231)+'RECeff + REIamont (2)'!E49+'RECeff + REIamont (2)'!E59</f>
        <v>1.6116070857142857</v>
      </c>
      <c r="F60" s="62">
        <f>((F37+F38+F39)/1000*44/28*'(ne pas modifier) BDD_REF'!$B$231)+'RECeff + REIamont (2)'!F49+'RECeff + REIamont (2)'!F59</f>
        <v>0</v>
      </c>
      <c r="G60" s="62">
        <f>((G37+G38+G39)/1000*44/28*'(ne pas modifier) BDD_REF'!$B$231)+'RECeff + REIamont (2)'!G49+'RECeff + REIamont (2)'!G59</f>
        <v>0</v>
      </c>
      <c r="H60" s="62">
        <f>((H37+H38+H39)/1000*44/28*'(ne pas modifier) BDD_REF'!$B$231)+'RECeff + REIamont (2)'!H49+'RECeff + REIamont (2)'!H59</f>
        <v>0</v>
      </c>
      <c r="I60" s="62">
        <f>((I37+I38+I39)/1000*44/28*'(ne pas modifier) BDD_REF'!$B$231)+'RECeff + REIamont (2)'!I49+'RECeff + REIamont (2)'!I59</f>
        <v>0</v>
      </c>
      <c r="J60" s="62">
        <f>((J37+J38+J39)/1000*44/28*'(ne pas modifier) BDD_REF'!$B$231)+'RECeff + REIamont (2)'!J49+'RECeff + REIamont (2)'!J59</f>
        <v>0</v>
      </c>
      <c r="K60" s="62">
        <f>((K37+K38+K39)/1000*44/28*'(ne pas modifier) BDD_REF'!$B$231)+'RECeff + REIamont (2)'!K49+'RECeff + REIamont (2)'!K59</f>
        <v>0</v>
      </c>
      <c r="L60" s="62">
        <f>((L37+L38+L39)/1000*44/28*'(ne pas modifier) BDD_REF'!$B$231)+'RECeff + REIamont (2)'!L49+'RECeff + REIamont (2)'!L59</f>
        <v>0</v>
      </c>
      <c r="M60" s="62">
        <f t="shared" si="0"/>
        <v>4.834821257142857</v>
      </c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</row>
    <row r="61" spans="1:33" ht="15.75" customHeight="1" x14ac:dyDescent="0.2">
      <c r="A61" s="48" t="s">
        <v>94</v>
      </c>
      <c r="B61" s="35" t="s">
        <v>64</v>
      </c>
      <c r="C61" s="16">
        <v>51</v>
      </c>
      <c r="D61" s="17">
        <v>51</v>
      </c>
      <c r="E61" s="17">
        <v>51</v>
      </c>
      <c r="F61" s="11"/>
      <c r="G61" s="11"/>
      <c r="H61" s="11"/>
      <c r="I61" s="11"/>
      <c r="J61" s="11"/>
      <c r="K61" s="11"/>
      <c r="L61" s="11"/>
      <c r="M61" s="51">
        <f t="shared" si="0"/>
        <v>153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5.75" customHeight="1" x14ac:dyDescent="0.2">
      <c r="A62" s="1"/>
      <c r="B62" s="35" t="s">
        <v>65</v>
      </c>
      <c r="C62" s="16">
        <v>0</v>
      </c>
      <c r="D62" s="17">
        <v>0</v>
      </c>
      <c r="E62" s="17">
        <v>0</v>
      </c>
      <c r="F62" s="11"/>
      <c r="G62" s="11"/>
      <c r="H62" s="11"/>
      <c r="I62" s="11"/>
      <c r="J62" s="11"/>
      <c r="K62" s="11"/>
      <c r="L62" s="11"/>
      <c r="M62" s="51">
        <f t="shared" si="0"/>
        <v>0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5.75" customHeight="1" x14ac:dyDescent="0.2">
      <c r="A63" s="1"/>
      <c r="B63" s="35" t="s">
        <v>66</v>
      </c>
      <c r="C63" s="16">
        <v>30</v>
      </c>
      <c r="D63" s="17">
        <v>30</v>
      </c>
      <c r="E63" s="17">
        <v>30</v>
      </c>
      <c r="F63" s="11"/>
      <c r="G63" s="11"/>
      <c r="H63" s="11"/>
      <c r="I63" s="11"/>
      <c r="J63" s="11"/>
      <c r="K63" s="11"/>
      <c r="L63" s="11"/>
      <c r="M63" s="51">
        <f t="shared" si="0"/>
        <v>90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5.75" customHeight="1" x14ac:dyDescent="0.2">
      <c r="A64" s="1"/>
      <c r="B64" s="52" t="s">
        <v>67</v>
      </c>
      <c r="C64" s="53">
        <f>C61*'(ne pas modifier) BDD_REF'!$B$206 + (C62+C63)*'(ne pas modifier) BDD_REF'!$B$207</f>
        <v>0.996</v>
      </c>
      <c r="D64" s="54">
        <f>D61*'(ne pas modifier) BDD_REF'!$B$206 + (D62+D63)*'(ne pas modifier) BDD_REF'!$B$207</f>
        <v>0.996</v>
      </c>
      <c r="E64" s="54">
        <f>E61*'(ne pas modifier) BDD_REF'!$B$206 + (E62+E63)*'(ne pas modifier) BDD_REF'!$B$207</f>
        <v>0.996</v>
      </c>
      <c r="F64" s="51">
        <f>F61*'(ne pas modifier) BDD_REF'!$B$206 + (F62+F63)*'(ne pas modifier) BDD_REF'!$B$207</f>
        <v>0</v>
      </c>
      <c r="G64" s="51">
        <f>G61*'(ne pas modifier) BDD_REF'!$B$206 + (G62+G63)*'(ne pas modifier) BDD_REF'!$B$207</f>
        <v>0</v>
      </c>
      <c r="H64" s="51">
        <f>H61*'(ne pas modifier) BDD_REF'!$B$206 + (H62+H63)*'(ne pas modifier) BDD_REF'!$B$207</f>
        <v>0</v>
      </c>
      <c r="I64" s="51">
        <f>I61*'(ne pas modifier) BDD_REF'!$B$206 + (I62+I63)*'(ne pas modifier) BDD_REF'!$B$207</f>
        <v>0</v>
      </c>
      <c r="J64" s="51">
        <f>J61*'(ne pas modifier) BDD_REF'!$B$206 + (J62+J63)*'(ne pas modifier) BDD_REF'!$B$207</f>
        <v>0</v>
      </c>
      <c r="K64" s="51">
        <f>K61*'(ne pas modifier) BDD_REF'!$B$206 + (K62+K63)*'(ne pas modifier) BDD_REF'!$B$207</f>
        <v>0</v>
      </c>
      <c r="L64" s="51">
        <f>L61*'(ne pas modifier) BDD_REF'!$B$206 + (L62+L63)*'(ne pas modifier) BDD_REF'!$B$207</f>
        <v>0</v>
      </c>
      <c r="M64" s="51">
        <f t="shared" si="0"/>
        <v>2.988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5.75" customHeight="1" x14ac:dyDescent="0.2">
      <c r="A65" s="1"/>
      <c r="B65" s="52" t="s">
        <v>68</v>
      </c>
      <c r="C65" s="53">
        <f>((C61*'(ne pas modifier) BDD_REF'!$B$219)+('RECeff + REIamont (2)'!C62+'RECeff + REIamont (2)'!C63)*'(ne pas modifier) BDD_REF'!$B$220)*'(ne pas modifier) BDD_REF'!$B$208</f>
        <v>0.1191</v>
      </c>
      <c r="D65" s="54">
        <f>((D61*'(ne pas modifier) BDD_REF'!$B$219)+('RECeff + REIamont (2)'!D62+'RECeff + REIamont (2)'!D63)*'(ne pas modifier) BDD_REF'!$B$220)*'(ne pas modifier) BDD_REF'!$B$208</f>
        <v>0.1191</v>
      </c>
      <c r="E65" s="54">
        <f>((E61*'(ne pas modifier) BDD_REF'!$B$219)+('RECeff + REIamont (2)'!E62+'RECeff + REIamont (2)'!E63)*'(ne pas modifier) BDD_REF'!$B$220)*'(ne pas modifier) BDD_REF'!$B$208</f>
        <v>0.1191</v>
      </c>
      <c r="F65" s="51">
        <f>((F61*'(ne pas modifier) BDD_REF'!$B$219)+('RECeff + REIamont (2)'!F62+'RECeff + REIamont (2)'!F63)*'(ne pas modifier) BDD_REF'!$B$220)*'(ne pas modifier) BDD_REF'!$B$208</f>
        <v>0</v>
      </c>
      <c r="G65" s="51">
        <f>((G61*'(ne pas modifier) BDD_REF'!$B$219)+('RECeff + REIamont (2)'!G62+'RECeff + REIamont (2)'!G63)*'(ne pas modifier) BDD_REF'!$B$220)*'(ne pas modifier) BDD_REF'!$B$208</f>
        <v>0</v>
      </c>
      <c r="H65" s="51">
        <f>((H61*'(ne pas modifier) BDD_REF'!$B$219)+('RECeff + REIamont (2)'!H62+'RECeff + REIamont (2)'!H63)*'(ne pas modifier) BDD_REF'!$B$220)*'(ne pas modifier) BDD_REF'!$B$208</f>
        <v>0</v>
      </c>
      <c r="I65" s="51">
        <f>((I61*'(ne pas modifier) BDD_REF'!$B$219)+('RECeff + REIamont (2)'!I62+'RECeff + REIamont (2)'!I63)*'(ne pas modifier) BDD_REF'!$B$220)*'(ne pas modifier) BDD_REF'!$B$208</f>
        <v>0</v>
      </c>
      <c r="J65" s="51">
        <f>((J61*'(ne pas modifier) BDD_REF'!$B$219)+('RECeff + REIamont (2)'!J62+'RECeff + REIamont (2)'!J63)*'(ne pas modifier) BDD_REF'!$B$220)*'(ne pas modifier) BDD_REF'!$B$208</f>
        <v>0</v>
      </c>
      <c r="K65" s="51">
        <f>((K61*'(ne pas modifier) BDD_REF'!$B$219)+('RECeff + REIamont (2)'!K62+'RECeff + REIamont (2)'!K63)*'(ne pas modifier) BDD_REF'!$B$220)*'(ne pas modifier) BDD_REF'!$B$208</f>
        <v>0</v>
      </c>
      <c r="L65" s="51">
        <f>((L61*'(ne pas modifier) BDD_REF'!$B$219)+('RECeff + REIamont (2)'!L62+'RECeff + REIamont (2)'!L63)*'(ne pas modifier) BDD_REF'!$B$220)*'(ne pas modifier) BDD_REF'!$B$208</f>
        <v>0</v>
      </c>
      <c r="M65" s="51">
        <f t="shared" si="0"/>
        <v>0.35730000000000001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5.75" customHeight="1" x14ac:dyDescent="0.2">
      <c r="A66" s="1"/>
      <c r="B66" s="52" t="s">
        <v>69</v>
      </c>
      <c r="C66" s="53">
        <f>(C61+C62+C63)*'(ne pas modifier) BDD_REF'!$B$221*'(ne pas modifier) BDD_REF'!$B$209</f>
        <v>0.21383999999999997</v>
      </c>
      <c r="D66" s="54">
        <f>(D61+D62+D63)*'(ne pas modifier) BDD_REF'!$B$221*'(ne pas modifier) BDD_REF'!$B$209</f>
        <v>0.21383999999999997</v>
      </c>
      <c r="E66" s="54">
        <f>(E61+E62+E63)*'(ne pas modifier) BDD_REF'!$B$221*'(ne pas modifier) BDD_REF'!$B$209</f>
        <v>0.21383999999999997</v>
      </c>
      <c r="F66" s="51">
        <f>(F61+F62+F63)*'(ne pas modifier) BDD_REF'!$B$221*'(ne pas modifier) BDD_REF'!$B$209</f>
        <v>0</v>
      </c>
      <c r="G66" s="51">
        <f>(G61+G62+G63)*'(ne pas modifier) BDD_REF'!$B$221*'(ne pas modifier) BDD_REF'!$B$209</f>
        <v>0</v>
      </c>
      <c r="H66" s="51">
        <f>(H61+H62+H63)*'(ne pas modifier) BDD_REF'!$B$221*'(ne pas modifier) BDD_REF'!$B$209</f>
        <v>0</v>
      </c>
      <c r="I66" s="51">
        <f>(I61+I62+I63)*'(ne pas modifier) BDD_REF'!$B$221*'(ne pas modifier) BDD_REF'!$B$209</f>
        <v>0</v>
      </c>
      <c r="J66" s="51">
        <f>(J61+J62+J63)*'(ne pas modifier) BDD_REF'!$B$221*'(ne pas modifier) BDD_REF'!$B$209</f>
        <v>0</v>
      </c>
      <c r="K66" s="51">
        <f>(K61+K62+K63)*'(ne pas modifier) BDD_REF'!$B$221*'(ne pas modifier) BDD_REF'!$B$209</f>
        <v>0</v>
      </c>
      <c r="L66" s="51">
        <f>(L61+L62+L63)*'(ne pas modifier) BDD_REF'!$B$221*'(ne pas modifier) BDD_REF'!$B$209</f>
        <v>0</v>
      </c>
      <c r="M66" s="51">
        <f t="shared" si="0"/>
        <v>0.64151999999999987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5.75" customHeight="1" x14ac:dyDescent="0.2">
      <c r="A67" s="1"/>
      <c r="B67" s="35" t="s">
        <v>70</v>
      </c>
      <c r="C67" s="16">
        <v>0</v>
      </c>
      <c r="D67" s="17">
        <v>0</v>
      </c>
      <c r="E67" s="17">
        <v>0</v>
      </c>
      <c r="F67" s="11"/>
      <c r="G67" s="11"/>
      <c r="H67" s="11"/>
      <c r="I67" s="11"/>
      <c r="J67" s="11"/>
      <c r="K67" s="11"/>
      <c r="L67" s="11"/>
      <c r="M67" s="51">
        <f t="shared" si="0"/>
        <v>0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5.75" customHeight="1" x14ac:dyDescent="0.2">
      <c r="A68" s="1"/>
      <c r="B68" s="35" t="s">
        <v>71</v>
      </c>
      <c r="C68" s="16">
        <v>193.5</v>
      </c>
      <c r="D68" s="17">
        <v>193.5</v>
      </c>
      <c r="E68" s="17">
        <v>193.5</v>
      </c>
      <c r="F68" s="11"/>
      <c r="G68" s="11"/>
      <c r="H68" s="11"/>
      <c r="I68" s="11"/>
      <c r="J68" s="11"/>
      <c r="K68" s="11"/>
      <c r="L68" s="11"/>
      <c r="M68" s="51">
        <f t="shared" si="0"/>
        <v>580.5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5.75" customHeight="1" x14ac:dyDescent="0.2">
      <c r="A69" s="1"/>
      <c r="B69" s="35" t="s">
        <v>72</v>
      </c>
      <c r="C69" s="16">
        <v>0</v>
      </c>
      <c r="D69" s="17">
        <v>0</v>
      </c>
      <c r="E69" s="17">
        <v>0</v>
      </c>
      <c r="F69" s="11"/>
      <c r="G69" s="11"/>
      <c r="H69" s="11"/>
      <c r="I69" s="11"/>
      <c r="J69" s="11"/>
      <c r="K69" s="11"/>
      <c r="L69" s="11"/>
      <c r="M69" s="51">
        <f t="shared" si="0"/>
        <v>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5.75" customHeight="1" x14ac:dyDescent="0.2">
      <c r="A70" s="1"/>
      <c r="B70" s="35" t="s">
        <v>73</v>
      </c>
      <c r="C70" s="16">
        <v>0</v>
      </c>
      <c r="D70" s="17">
        <v>0</v>
      </c>
      <c r="E70" s="17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51">
        <f t="shared" si="0"/>
        <v>0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5.75" customHeight="1" x14ac:dyDescent="0.2">
      <c r="A71" s="1"/>
      <c r="B71" s="35" t="s">
        <v>74</v>
      </c>
      <c r="C71" s="16">
        <v>0</v>
      </c>
      <c r="D71" s="17">
        <v>0</v>
      </c>
      <c r="E71" s="17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51">
        <f t="shared" si="0"/>
        <v>0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5.75" customHeight="1" x14ac:dyDescent="0.2">
      <c r="A72" s="1"/>
      <c r="B72" s="35" t="s">
        <v>75</v>
      </c>
      <c r="C72" s="16">
        <v>0</v>
      </c>
      <c r="D72" s="17">
        <v>0</v>
      </c>
      <c r="E72" s="17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51">
        <f t="shared" si="0"/>
        <v>0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5.75" customHeight="1" x14ac:dyDescent="0.2">
      <c r="A73" s="1"/>
      <c r="B73" s="8" t="s">
        <v>76</v>
      </c>
      <c r="C73" s="53">
        <f>(C67*'(ne pas modifier) BDD_REF'!$C$224+'RECeff + REIamont (2)'!C68*'(ne pas modifier) BDD_REF'!$C$225+'RECeff + REIamont (2)'!C69*'(ne pas modifier) BDD_REF'!$C$226+'RECeff + REIamont (2)'!C70*'(ne pas modifier) BDD_REF'!$C$227+'RECeff + REIamont (2)'!C71*'(ne pas modifier) BDD_REF'!$C$228+'RECeff + REIamont (2)'!C72*'(ne pas modifier) BDD_REF'!$C$229)/1000</f>
        <v>0.59423849999999989</v>
      </c>
      <c r="D73" s="54">
        <f>(D67*'(ne pas modifier) BDD_REF'!$C$224+'RECeff + REIamont (2)'!D68*'(ne pas modifier) BDD_REF'!$C$225+'RECeff + REIamont (2)'!D69*'(ne pas modifier) BDD_REF'!$C$226+'RECeff + REIamont (2)'!D70*'(ne pas modifier) BDD_REF'!$C$227+'RECeff + REIamont (2)'!D71*'(ne pas modifier) BDD_REF'!$C$228+'RECeff + REIamont (2)'!D72*'(ne pas modifier) BDD_REF'!$C$229)/1000</f>
        <v>0.59423849999999989</v>
      </c>
      <c r="E73" s="54">
        <f>(E67*'(ne pas modifier) BDD_REF'!$C$224+'RECeff + REIamont (2)'!E68*'(ne pas modifier) BDD_REF'!$C$225+'RECeff + REIamont (2)'!E69*'(ne pas modifier) BDD_REF'!$C$226+'RECeff + REIamont (2)'!E70*'(ne pas modifier) BDD_REF'!$C$227+'RECeff + REIamont (2)'!E71*'(ne pas modifier) BDD_REF'!$C$228+'RECeff + REIamont (2)'!E72*'(ne pas modifier) BDD_REF'!$C$229)/1000</f>
        <v>0.59423849999999989</v>
      </c>
      <c r="F73" s="51">
        <f>(F67*'(ne pas modifier) BDD_REF'!$C$224+'RECeff + REIamont (2)'!F68*'(ne pas modifier) BDD_REF'!$C$225+'RECeff + REIamont (2)'!F69*'(ne pas modifier) BDD_REF'!$C$226+'RECeff + REIamont (2)'!F70*'(ne pas modifier) BDD_REF'!$C$227+'RECeff + REIamont (2)'!F71*'(ne pas modifier) BDD_REF'!$C$228+'RECeff + REIamont (2)'!F72*'(ne pas modifier) BDD_REF'!$C$229)/1000</f>
        <v>0</v>
      </c>
      <c r="G73" s="51">
        <f>(G67*'(ne pas modifier) BDD_REF'!$C$224+'RECeff + REIamont (2)'!G68*'(ne pas modifier) BDD_REF'!$C$225+'RECeff + REIamont (2)'!G69*'(ne pas modifier) BDD_REF'!$C$226+'RECeff + REIamont (2)'!G70*'(ne pas modifier) BDD_REF'!$C$227+'RECeff + REIamont (2)'!G71*'(ne pas modifier) BDD_REF'!$C$228+'RECeff + REIamont (2)'!G72*'(ne pas modifier) BDD_REF'!$C$229)/1000</f>
        <v>0</v>
      </c>
      <c r="H73" s="51">
        <f>(H67*'(ne pas modifier) BDD_REF'!$C$224+'RECeff + REIamont (2)'!H68*'(ne pas modifier) BDD_REF'!$C$225+'RECeff + REIamont (2)'!H69*'(ne pas modifier) BDD_REF'!$C$226+'RECeff + REIamont (2)'!H70*'(ne pas modifier) BDD_REF'!$C$227+'RECeff + REIamont (2)'!H71*'(ne pas modifier) BDD_REF'!$C$228+'RECeff + REIamont (2)'!H72*'(ne pas modifier) BDD_REF'!$C$229)/1000</f>
        <v>0</v>
      </c>
      <c r="I73" s="51">
        <f>(I67*'(ne pas modifier) BDD_REF'!$C$224+'RECeff + REIamont (2)'!I68*'(ne pas modifier) BDD_REF'!$C$225+'RECeff + REIamont (2)'!I69*'(ne pas modifier) BDD_REF'!$C$226+'RECeff + REIamont (2)'!I70*'(ne pas modifier) BDD_REF'!$C$227+'RECeff + REIamont (2)'!I71*'(ne pas modifier) BDD_REF'!$C$228+'RECeff + REIamont (2)'!I72*'(ne pas modifier) BDD_REF'!$C$229)/1000</f>
        <v>0</v>
      </c>
      <c r="J73" s="51">
        <f>(J67*'(ne pas modifier) BDD_REF'!$C$224+'RECeff + REIamont (2)'!J68*'(ne pas modifier) BDD_REF'!$C$225+'RECeff + REIamont (2)'!J69*'(ne pas modifier) BDD_REF'!$C$226+'RECeff + REIamont (2)'!J70*'(ne pas modifier) BDD_REF'!$C$227+'RECeff + REIamont (2)'!J71*'(ne pas modifier) BDD_REF'!$C$228+'RECeff + REIamont (2)'!J72*'(ne pas modifier) BDD_REF'!$C$229)/1000</f>
        <v>0</v>
      </c>
      <c r="K73" s="51">
        <f>(K67*'(ne pas modifier) BDD_REF'!$C$224+'RECeff + REIamont (2)'!K68*'(ne pas modifier) BDD_REF'!$C$225+'RECeff + REIamont (2)'!K69*'(ne pas modifier) BDD_REF'!$C$226+'RECeff + REIamont (2)'!K70*'(ne pas modifier) BDD_REF'!$C$227+'RECeff + REIamont (2)'!K71*'(ne pas modifier) BDD_REF'!$C$228+'RECeff + REIamont (2)'!K72*'(ne pas modifier) BDD_REF'!$C$229)/1000</f>
        <v>0</v>
      </c>
      <c r="L73" s="51">
        <f>(L67*'(ne pas modifier) BDD_REF'!$C$224+'RECeff + REIamont (2)'!L68*'(ne pas modifier) BDD_REF'!$C$225+'RECeff + REIamont (2)'!L69*'(ne pas modifier) BDD_REF'!$C$226+'RECeff + REIamont (2)'!L70*'(ne pas modifier) BDD_REF'!$C$227+'RECeff + REIamont (2)'!L71*'(ne pas modifier) BDD_REF'!$C$228+'RECeff + REIamont (2)'!L72*'(ne pas modifier) BDD_REF'!$C$229)/1000</f>
        <v>0</v>
      </c>
      <c r="M73" s="51">
        <f t="shared" si="0"/>
        <v>1.7827154999999997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5.75" customHeight="1" x14ac:dyDescent="0.2">
      <c r="A74" s="1"/>
      <c r="B74" s="35" t="s">
        <v>77</v>
      </c>
      <c r="C74" s="16">
        <v>2000</v>
      </c>
      <c r="D74" s="17">
        <v>2000</v>
      </c>
      <c r="E74" s="17">
        <v>2000</v>
      </c>
      <c r="F74" s="11"/>
      <c r="G74" s="11"/>
      <c r="H74" s="11"/>
      <c r="I74" s="11"/>
      <c r="J74" s="11"/>
      <c r="K74" s="11"/>
      <c r="L74" s="11"/>
      <c r="M74" s="51">
        <f t="shared" si="0"/>
        <v>6000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5.75" customHeight="1" x14ac:dyDescent="0.2">
      <c r="A75" s="1"/>
      <c r="B75" s="8" t="s">
        <v>78</v>
      </c>
      <c r="C75" s="53">
        <f>(C74*'(ne pas modifier) BDD_REF'!$B$210)/1000</f>
        <v>0.114</v>
      </c>
      <c r="D75" s="54">
        <f>(D74*'(ne pas modifier) BDD_REF'!$B$210)/1000</f>
        <v>0.114</v>
      </c>
      <c r="E75" s="54">
        <f>(E74*'(ne pas modifier) BDD_REF'!$B$210)/1000</f>
        <v>0.114</v>
      </c>
      <c r="F75" s="51">
        <f>(F74*'(ne pas modifier) BDD_REF'!$B$210)/1000</f>
        <v>0</v>
      </c>
      <c r="G75" s="51">
        <f>(G74*'(ne pas modifier) BDD_REF'!$B$210)/1000</f>
        <v>0</v>
      </c>
      <c r="H75" s="51">
        <f>(H74*'(ne pas modifier) BDD_REF'!$B$210)/1000</f>
        <v>0</v>
      </c>
      <c r="I75" s="51">
        <f>(I74*'(ne pas modifier) BDD_REF'!$B$210)/1000</f>
        <v>0</v>
      </c>
      <c r="J75" s="51">
        <f>(J74*'(ne pas modifier) BDD_REF'!$B$210)/1000</f>
        <v>0</v>
      </c>
      <c r="K75" s="51">
        <f>(K74*'(ne pas modifier) BDD_REF'!$B$210)/1000</f>
        <v>0</v>
      </c>
      <c r="L75" s="51">
        <f>(L74*'(ne pas modifier) BDD_REF'!$B$210)/1000</f>
        <v>0</v>
      </c>
      <c r="M75" s="51">
        <f t="shared" si="0"/>
        <v>0.34200000000000003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5.75" customHeight="1" x14ac:dyDescent="0.2">
      <c r="A76" s="55"/>
      <c r="B76" s="52" t="s">
        <v>79</v>
      </c>
      <c r="C76" s="56">
        <f t="shared" ref="C76:L76" si="5">C73+C75</f>
        <v>0.70823849999999988</v>
      </c>
      <c r="D76" s="57">
        <f t="shared" si="5"/>
        <v>0.70823849999999988</v>
      </c>
      <c r="E76" s="57">
        <f t="shared" si="5"/>
        <v>0.70823849999999988</v>
      </c>
      <c r="F76" s="58">
        <f t="shared" si="5"/>
        <v>0</v>
      </c>
      <c r="G76" s="58">
        <f t="shared" si="5"/>
        <v>0</v>
      </c>
      <c r="H76" s="58">
        <f t="shared" si="5"/>
        <v>0</v>
      </c>
      <c r="I76" s="58">
        <f t="shared" si="5"/>
        <v>0</v>
      </c>
      <c r="J76" s="58">
        <f t="shared" si="5"/>
        <v>0</v>
      </c>
      <c r="K76" s="58">
        <f t="shared" si="5"/>
        <v>0</v>
      </c>
      <c r="L76" s="58">
        <f t="shared" si="5"/>
        <v>0</v>
      </c>
      <c r="M76" s="51">
        <f t="shared" si="0"/>
        <v>2.1247154999999998</v>
      </c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</row>
    <row r="77" spans="1:33" ht="15.75" customHeight="1" x14ac:dyDescent="0.2">
      <c r="A77" s="1"/>
      <c r="B77" s="35" t="s">
        <v>80</v>
      </c>
      <c r="C77" s="16">
        <v>46</v>
      </c>
      <c r="D77" s="17">
        <v>46</v>
      </c>
      <c r="E77" s="19"/>
      <c r="F77" s="11"/>
      <c r="G77" s="11"/>
      <c r="H77" s="11"/>
      <c r="I77" s="11"/>
      <c r="J77" s="11"/>
      <c r="K77" s="11"/>
      <c r="L77" s="11"/>
      <c r="M77" s="51">
        <f t="shared" si="0"/>
        <v>92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5.75" customHeight="1" x14ac:dyDescent="0.2">
      <c r="A78" s="1"/>
      <c r="B78" s="35" t="s">
        <v>81</v>
      </c>
      <c r="C78" s="16">
        <v>75</v>
      </c>
      <c r="D78" s="17">
        <v>75</v>
      </c>
      <c r="E78" s="19"/>
      <c r="F78" s="11"/>
      <c r="G78" s="11"/>
      <c r="H78" s="11"/>
      <c r="I78" s="11"/>
      <c r="J78" s="11"/>
      <c r="K78" s="11"/>
      <c r="L78" s="11"/>
      <c r="M78" s="51">
        <f t="shared" si="0"/>
        <v>150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5.75" customHeight="1" x14ac:dyDescent="0.2">
      <c r="A79" s="1"/>
      <c r="B79" s="8" t="s">
        <v>82</v>
      </c>
      <c r="C79" s="53">
        <f>(C61*'(ne pas modifier) BDD_REF'!$B$211+'RECeff + REIamont (2)'!C77*'(ne pas modifier) BDD_REF'!$B$212+'RECeff + REIamont (2)'!C78*'(ne pas modifier) BDD_REF'!$B$213)/1000</f>
        <v>0.34995999999999999</v>
      </c>
      <c r="D79" s="54">
        <f>(D61*'(ne pas modifier) BDD_REF'!$B$211+'RECeff + REIamont (2)'!D77*'(ne pas modifier) BDD_REF'!$B$212+'RECeff + REIamont (2)'!D78*'(ne pas modifier) BDD_REF'!$B$213)/1000</f>
        <v>0.34995999999999999</v>
      </c>
      <c r="E79" s="54">
        <f>(E61*'(ne pas modifier) BDD_REF'!$B$211+'RECeff + REIamont (2)'!E77*'(ne pas modifier) BDD_REF'!$B$212+'RECeff + REIamont (2)'!E78*'(ne pas modifier) BDD_REF'!$B$213)/1000</f>
        <v>0.23000999999999999</v>
      </c>
      <c r="F79" s="51">
        <f>(F61*'(ne pas modifier) BDD_REF'!$B$211+'RECeff + REIamont (2)'!F77*'(ne pas modifier) BDD_REF'!$B$212+'RECeff + REIamont (2)'!F78*'(ne pas modifier) BDD_REF'!$B$213)/1000</f>
        <v>0</v>
      </c>
      <c r="G79" s="51">
        <f>(G61*'(ne pas modifier) BDD_REF'!$B$211+'RECeff + REIamont (2)'!G77*'(ne pas modifier) BDD_REF'!$B$212+'RECeff + REIamont (2)'!G78*'(ne pas modifier) BDD_REF'!$B$213)/1000</f>
        <v>0</v>
      </c>
      <c r="H79" s="51">
        <f>(H61*'(ne pas modifier) BDD_REF'!$B$211+'RECeff + REIamont (2)'!H77*'(ne pas modifier) BDD_REF'!$B$212+'RECeff + REIamont (2)'!H78*'(ne pas modifier) BDD_REF'!$B$213)/1000</f>
        <v>0</v>
      </c>
      <c r="I79" s="51">
        <f>(I61*'(ne pas modifier) BDD_REF'!$B$211+'RECeff + REIamont (2)'!I77*'(ne pas modifier) BDD_REF'!$B$212+'RECeff + REIamont (2)'!I78*'(ne pas modifier) BDD_REF'!$B$213)/1000</f>
        <v>0</v>
      </c>
      <c r="J79" s="51">
        <f>(J61*'(ne pas modifier) BDD_REF'!$B$211+'RECeff + REIamont (2)'!J77*'(ne pas modifier) BDD_REF'!$B$212+'RECeff + REIamont (2)'!J78*'(ne pas modifier) BDD_REF'!$B$213)/1000</f>
        <v>0</v>
      </c>
      <c r="K79" s="51">
        <f>(K61*'(ne pas modifier) BDD_REF'!$B$211+'RECeff + REIamont (2)'!K77*'(ne pas modifier) BDD_REF'!$B$212+'RECeff + REIamont (2)'!K78*'(ne pas modifier) BDD_REF'!$B$213)/1000</f>
        <v>0</v>
      </c>
      <c r="L79" s="51">
        <f>(L61*'(ne pas modifier) BDD_REF'!$B$211+'RECeff + REIamont (2)'!L77*'(ne pas modifier) BDD_REF'!$B$212+'RECeff + REIamont (2)'!L78*'(ne pas modifier) BDD_REF'!$B$213)/1000</f>
        <v>0</v>
      </c>
      <c r="M79" s="51">
        <f t="shared" si="0"/>
        <v>0.92992999999999992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5.75" hidden="1" customHeight="1" x14ac:dyDescent="0.2">
      <c r="A80" s="1" t="s">
        <v>93</v>
      </c>
      <c r="B80" s="8" t="s">
        <v>83</v>
      </c>
      <c r="C80" s="59"/>
      <c r="D80" s="60"/>
      <c r="E80" s="60"/>
      <c r="F80" s="51"/>
      <c r="G80" s="51"/>
      <c r="H80" s="51"/>
      <c r="I80" s="51"/>
      <c r="J80" s="51"/>
      <c r="K80" s="51"/>
      <c r="L80" s="51"/>
      <c r="M80" s="51">
        <f t="shared" si="0"/>
        <v>0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5.75" customHeight="1" x14ac:dyDescent="0.2">
      <c r="A81" s="1"/>
      <c r="B81" s="35" t="s">
        <v>85</v>
      </c>
      <c r="C81" s="18"/>
      <c r="D81" s="19"/>
      <c r="E81" s="19"/>
      <c r="F81" s="11"/>
      <c r="G81" s="11"/>
      <c r="H81" s="11"/>
      <c r="I81" s="11"/>
      <c r="J81" s="11"/>
      <c r="K81" s="11"/>
      <c r="L81" s="11"/>
      <c r="M81" s="51">
        <f t="shared" si="0"/>
        <v>0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5.75" customHeight="1" x14ac:dyDescent="0.2">
      <c r="A82" s="1"/>
      <c r="B82" s="35" t="s">
        <v>86</v>
      </c>
      <c r="C82" s="18"/>
      <c r="D82" s="19"/>
      <c r="E82" s="19"/>
      <c r="F82" s="11"/>
      <c r="G82" s="11"/>
      <c r="H82" s="11"/>
      <c r="I82" s="11"/>
      <c r="J82" s="11"/>
      <c r="K82" s="11"/>
      <c r="L82" s="11"/>
      <c r="M82" s="51">
        <f t="shared" si="0"/>
        <v>0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5.75" customHeight="1" x14ac:dyDescent="0.2">
      <c r="A83" s="1"/>
      <c r="B83" s="35" t="s">
        <v>87</v>
      </c>
      <c r="C83" s="18"/>
      <c r="D83" s="19"/>
      <c r="E83" s="19"/>
      <c r="F83" s="11"/>
      <c r="G83" s="11"/>
      <c r="H83" s="11"/>
      <c r="I83" s="11"/>
      <c r="J83" s="11"/>
      <c r="K83" s="11"/>
      <c r="L83" s="11"/>
      <c r="M83" s="51">
        <f t="shared" si="0"/>
        <v>0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5.75" customHeight="1" x14ac:dyDescent="0.2">
      <c r="A84" s="1"/>
      <c r="B84" s="35" t="s">
        <v>88</v>
      </c>
      <c r="C84" s="18"/>
      <c r="D84" s="19"/>
      <c r="E84" s="19"/>
      <c r="F84" s="11"/>
      <c r="G84" s="11"/>
      <c r="H84" s="11"/>
      <c r="I84" s="11"/>
      <c r="J84" s="11"/>
      <c r="K84" s="11"/>
      <c r="L84" s="11"/>
      <c r="M84" s="51">
        <f t="shared" si="0"/>
        <v>0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5.75" customHeight="1" x14ac:dyDescent="0.2">
      <c r="A85" s="1"/>
      <c r="B85" s="8" t="s">
        <v>89</v>
      </c>
      <c r="C85" s="53">
        <f>(C81*'(ne pas modifier) BDD_REF'!$B$214+'RECeff + REIamont (2)'!C82*'(ne pas modifier) BDD_REF'!$B$215+'RECeff + REIamont (2)'!C83*'(ne pas modifier) BDD_REF'!$B$216+'RECeff + REIamont (2)'!C84*'(ne pas modifier) BDD_REF'!$B$217)/1000</f>
        <v>0</v>
      </c>
      <c r="D85" s="54">
        <f>(D81*'(ne pas modifier) BDD_REF'!$B$214+'RECeff + REIamont (2)'!D82*'(ne pas modifier) BDD_REF'!$B$215+'RECeff + REIamont (2)'!D83*'(ne pas modifier) BDD_REF'!$B$216+'RECeff + REIamont (2)'!D84*'(ne pas modifier) BDD_REF'!$B$217)/1000</f>
        <v>0</v>
      </c>
      <c r="E85" s="54">
        <f>(E81*'(ne pas modifier) BDD_REF'!$B$214+'RECeff + REIamont (2)'!E82*'(ne pas modifier) BDD_REF'!$B$215+'RECeff + REIamont (2)'!E83*'(ne pas modifier) BDD_REF'!$B$216+'RECeff + REIamont (2)'!E84*'(ne pas modifier) BDD_REF'!$B$217)/1000</f>
        <v>0</v>
      </c>
      <c r="F85" s="51">
        <f>(F81*'(ne pas modifier) BDD_REF'!$B$214+'RECeff + REIamont (2)'!F82*'(ne pas modifier) BDD_REF'!$B$215+'RECeff + REIamont (2)'!F83*'(ne pas modifier) BDD_REF'!$B$216+'RECeff + REIamont (2)'!F84*'(ne pas modifier) BDD_REF'!$B$217)/1000</f>
        <v>0</v>
      </c>
      <c r="G85" s="51">
        <f>(G81*'(ne pas modifier) BDD_REF'!$B$214+'RECeff + REIamont (2)'!G82*'(ne pas modifier) BDD_REF'!$B$215+'RECeff + REIamont (2)'!G83*'(ne pas modifier) BDD_REF'!$B$216+'RECeff + REIamont (2)'!G84*'(ne pas modifier) BDD_REF'!$B$217)/1000</f>
        <v>0</v>
      </c>
      <c r="H85" s="51">
        <f>(H81*'(ne pas modifier) BDD_REF'!$B$214+'RECeff + REIamont (2)'!H82*'(ne pas modifier) BDD_REF'!$B$215+'RECeff + REIamont (2)'!H83*'(ne pas modifier) BDD_REF'!$B$216+'RECeff + REIamont (2)'!H84*'(ne pas modifier) BDD_REF'!$B$217)/1000</f>
        <v>0</v>
      </c>
      <c r="I85" s="51">
        <f>(I81*'(ne pas modifier) BDD_REF'!$B$214+'RECeff + REIamont (2)'!I82*'(ne pas modifier) BDD_REF'!$B$215+'RECeff + REIamont (2)'!I83*'(ne pas modifier) BDD_REF'!$B$216+'RECeff + REIamont (2)'!I84*'(ne pas modifier) BDD_REF'!$B$217)/1000</f>
        <v>0</v>
      </c>
      <c r="J85" s="51">
        <f>(J81*'(ne pas modifier) BDD_REF'!$B$214+'RECeff + REIamont (2)'!J82*'(ne pas modifier) BDD_REF'!$B$215+'RECeff + REIamont (2)'!J83*'(ne pas modifier) BDD_REF'!$B$216+'RECeff + REIamont (2)'!J84*'(ne pas modifier) BDD_REF'!$B$217)/1000</f>
        <v>0</v>
      </c>
      <c r="K85" s="51">
        <f>(K81*'(ne pas modifier) BDD_REF'!$B$214+'RECeff + REIamont (2)'!K82*'(ne pas modifier) BDD_REF'!$B$215+'RECeff + REIamont (2)'!K83*'(ne pas modifier) BDD_REF'!$B$216+'RECeff + REIamont (2)'!K84*'(ne pas modifier) BDD_REF'!$B$217)/1000</f>
        <v>0</v>
      </c>
      <c r="L85" s="51">
        <f>(L81*'(ne pas modifier) BDD_REF'!$B$214+'RECeff + REIamont (2)'!L82*'(ne pas modifier) BDD_REF'!$B$215+'RECeff + REIamont (2)'!L83*'(ne pas modifier) BDD_REF'!$B$216+'RECeff + REIamont (2)'!L84*'(ne pas modifier) BDD_REF'!$B$217)/1000</f>
        <v>0</v>
      </c>
      <c r="M85" s="51">
        <f t="shared" si="0"/>
        <v>0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5.75" customHeight="1" x14ac:dyDescent="0.2">
      <c r="A86" s="55"/>
      <c r="B86" s="52" t="s">
        <v>90</v>
      </c>
      <c r="C86" s="56">
        <f t="shared" ref="C86:L86" si="6">C79+C80+C85</f>
        <v>0.34995999999999999</v>
      </c>
      <c r="D86" s="57">
        <f t="shared" si="6"/>
        <v>0.34995999999999999</v>
      </c>
      <c r="E86" s="57">
        <f t="shared" si="6"/>
        <v>0.23000999999999999</v>
      </c>
      <c r="F86" s="58">
        <f t="shared" si="6"/>
        <v>0</v>
      </c>
      <c r="G86" s="58">
        <f t="shared" si="6"/>
        <v>0</v>
      </c>
      <c r="H86" s="58">
        <f t="shared" si="6"/>
        <v>0</v>
      </c>
      <c r="I86" s="58">
        <f t="shared" si="6"/>
        <v>0</v>
      </c>
      <c r="J86" s="58">
        <f t="shared" si="6"/>
        <v>0</v>
      </c>
      <c r="K86" s="58">
        <f t="shared" si="6"/>
        <v>0</v>
      </c>
      <c r="L86" s="58">
        <f t="shared" si="6"/>
        <v>0</v>
      </c>
      <c r="M86" s="51">
        <f t="shared" si="0"/>
        <v>0.92992999999999992</v>
      </c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</row>
    <row r="87" spans="1:33" ht="15.75" customHeight="1" x14ac:dyDescent="0.2">
      <c r="A87" s="55"/>
      <c r="B87" s="62" t="s">
        <v>91</v>
      </c>
      <c r="C87" s="63">
        <f>((C64+C65+C66)/1000*44/28*'(ne pas modifier) BDD_REF'!$B$231)+'RECeff + REIamont (2)'!C76+'RECeff + REIamont (2)'!C86</f>
        <v>1.6116070857142857</v>
      </c>
      <c r="D87" s="64">
        <f>((D64+D65+D66)/1000*44/28*'(ne pas modifier) BDD_REF'!$B$231)+'RECeff + REIamont (2)'!D76+'RECeff + REIamont (2)'!D86</f>
        <v>1.6116070857142857</v>
      </c>
      <c r="E87" s="64">
        <f>((E64+E65+E66)/1000*44/28*'(ne pas modifier) BDD_REF'!$B$231)+'RECeff + REIamont (2)'!E76+'RECeff + REIamont (2)'!E86</f>
        <v>1.4916570857142857</v>
      </c>
      <c r="F87" s="62">
        <f>((F64+F65+F66)/1000*44/28*'(ne pas modifier) BDD_REF'!$B$231)+'RECeff + REIamont (2)'!F76+'RECeff + REIamont (2)'!F86</f>
        <v>0</v>
      </c>
      <c r="G87" s="62">
        <f>((G64+G65+G66)/1000*44/28*'(ne pas modifier) BDD_REF'!$B$231)+'RECeff + REIamont (2)'!G76+'RECeff + REIamont (2)'!G86</f>
        <v>0</v>
      </c>
      <c r="H87" s="62">
        <f>((H64+H65+H66)/1000*44/28*'(ne pas modifier) BDD_REF'!$B$231)+'RECeff + REIamont (2)'!H76+'RECeff + REIamont (2)'!H86</f>
        <v>0</v>
      </c>
      <c r="I87" s="62">
        <f>((I64+I65+I66)/1000*44/28*'(ne pas modifier) BDD_REF'!$B$231)+'RECeff + REIamont (2)'!I76+'RECeff + REIamont (2)'!I86</f>
        <v>0</v>
      </c>
      <c r="J87" s="62">
        <f>((J64+J65+J66)/1000*44/28*'(ne pas modifier) BDD_REF'!$B$231)+'RECeff + REIamont (2)'!J76+'RECeff + REIamont (2)'!J86</f>
        <v>0</v>
      </c>
      <c r="K87" s="62">
        <f>((K64+K65+K66)/1000*44/28*'(ne pas modifier) BDD_REF'!$B$231)+'RECeff + REIamont (2)'!K76+'RECeff + REIamont (2)'!K86</f>
        <v>0</v>
      </c>
      <c r="L87" s="62">
        <f>((L64+L65+L66)/1000*44/28*'(ne pas modifier) BDD_REF'!$B$231)+'RECeff + REIamont (2)'!L76+'RECeff + REIamont (2)'!L86</f>
        <v>0</v>
      </c>
      <c r="M87" s="62">
        <f t="shared" si="0"/>
        <v>4.7148712571428568</v>
      </c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</row>
    <row r="88" spans="1:33" ht="15.75" customHeight="1" x14ac:dyDescent="0.2">
      <c r="A88" s="48" t="s">
        <v>95</v>
      </c>
      <c r="B88" s="35" t="s">
        <v>64</v>
      </c>
      <c r="C88" s="16">
        <v>51</v>
      </c>
      <c r="D88" s="17">
        <v>51</v>
      </c>
      <c r="E88" s="17">
        <v>51</v>
      </c>
      <c r="F88" s="11"/>
      <c r="G88" s="11"/>
      <c r="H88" s="11"/>
      <c r="I88" s="11"/>
      <c r="J88" s="11"/>
      <c r="K88" s="11"/>
      <c r="L88" s="11"/>
      <c r="M88" s="51">
        <f t="shared" si="0"/>
        <v>153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5.75" customHeight="1" x14ac:dyDescent="0.2">
      <c r="A89" s="1"/>
      <c r="B89" s="35" t="s">
        <v>65</v>
      </c>
      <c r="C89" s="16">
        <v>0</v>
      </c>
      <c r="D89" s="17">
        <v>0</v>
      </c>
      <c r="E89" s="17">
        <v>0</v>
      </c>
      <c r="F89" s="11"/>
      <c r="G89" s="11"/>
      <c r="H89" s="11"/>
      <c r="I89" s="11"/>
      <c r="J89" s="11"/>
      <c r="K89" s="11"/>
      <c r="L89" s="11"/>
      <c r="M89" s="51">
        <f t="shared" si="0"/>
        <v>0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5.75" customHeight="1" x14ac:dyDescent="0.2">
      <c r="A90" s="1"/>
      <c r="B90" s="35" t="s">
        <v>66</v>
      </c>
      <c r="C90" s="16">
        <v>30</v>
      </c>
      <c r="D90" s="17">
        <v>30</v>
      </c>
      <c r="E90" s="17">
        <v>30</v>
      </c>
      <c r="F90" s="11"/>
      <c r="G90" s="11"/>
      <c r="H90" s="11"/>
      <c r="I90" s="11"/>
      <c r="J90" s="11"/>
      <c r="K90" s="11"/>
      <c r="L90" s="11"/>
      <c r="M90" s="51">
        <f t="shared" si="0"/>
        <v>90</v>
      </c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5.75" customHeight="1" x14ac:dyDescent="0.2">
      <c r="A91" s="1"/>
      <c r="B91" s="52" t="s">
        <v>67</v>
      </c>
      <c r="C91" s="53">
        <f>C88*'(ne pas modifier) BDD_REF'!$B$206 + (C89+C90)*'(ne pas modifier) BDD_REF'!$B$207</f>
        <v>0.996</v>
      </c>
      <c r="D91" s="54">
        <f>D88*'(ne pas modifier) BDD_REF'!$B$206 + (D89+D90)*'(ne pas modifier) BDD_REF'!$B$207</f>
        <v>0.996</v>
      </c>
      <c r="E91" s="54">
        <f>E88*'(ne pas modifier) BDD_REF'!$B$206 + (E89+E90)*'(ne pas modifier) BDD_REF'!$B$207</f>
        <v>0.996</v>
      </c>
      <c r="F91" s="51">
        <f>F88*'(ne pas modifier) BDD_REF'!$B$206 + (F89+F90)*'(ne pas modifier) BDD_REF'!$B$207</f>
        <v>0</v>
      </c>
      <c r="G91" s="51">
        <f>G88*'(ne pas modifier) BDD_REF'!$B$206 + (G89+G90)*'(ne pas modifier) BDD_REF'!$B$207</f>
        <v>0</v>
      </c>
      <c r="H91" s="51">
        <f>H88*'(ne pas modifier) BDD_REF'!$B$206 + (H89+H90)*'(ne pas modifier) BDD_REF'!$B$207</f>
        <v>0</v>
      </c>
      <c r="I91" s="51">
        <f>I88*'(ne pas modifier) BDD_REF'!$B$206 + (I89+I90)*'(ne pas modifier) BDD_REF'!$B$207</f>
        <v>0</v>
      </c>
      <c r="J91" s="51">
        <f>J88*'(ne pas modifier) BDD_REF'!$B$206 + (J89+J90)*'(ne pas modifier) BDD_REF'!$B$207</f>
        <v>0</v>
      </c>
      <c r="K91" s="51">
        <f>K88*'(ne pas modifier) BDD_REF'!$B$206 + (K89+K90)*'(ne pas modifier) BDD_REF'!$B$207</f>
        <v>0</v>
      </c>
      <c r="L91" s="51">
        <f>L88*'(ne pas modifier) BDD_REF'!$B$206 + (L89+L90)*'(ne pas modifier) BDD_REF'!$B$207</f>
        <v>0</v>
      </c>
      <c r="M91" s="51">
        <f t="shared" si="0"/>
        <v>2.988</v>
      </c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5.75" customHeight="1" x14ac:dyDescent="0.2">
      <c r="A92" s="1"/>
      <c r="B92" s="52" t="s">
        <v>68</v>
      </c>
      <c r="C92" s="53">
        <f>((C88*'(ne pas modifier) BDD_REF'!$B$219)+('RECeff + REIamont (2)'!C89+'RECeff + REIamont (2)'!C90)*'(ne pas modifier) BDD_REF'!$B$220)*'(ne pas modifier) BDD_REF'!$B$208</f>
        <v>0.1191</v>
      </c>
      <c r="D92" s="54">
        <f>((D88*'(ne pas modifier) BDD_REF'!$B$219)+('RECeff + REIamont (2)'!D89+'RECeff + REIamont (2)'!D90)*'(ne pas modifier) BDD_REF'!$B$220)*'(ne pas modifier) BDD_REF'!$B$208</f>
        <v>0.1191</v>
      </c>
      <c r="E92" s="54">
        <f>((E88*'(ne pas modifier) BDD_REF'!$B$219)+('RECeff + REIamont (2)'!E89+'RECeff + REIamont (2)'!E90)*'(ne pas modifier) BDD_REF'!$B$220)*'(ne pas modifier) BDD_REF'!$B$208</f>
        <v>0.1191</v>
      </c>
      <c r="F92" s="51">
        <f>((F88*'(ne pas modifier) BDD_REF'!$B$219)+('RECeff + REIamont (2)'!F89+'RECeff + REIamont (2)'!F90)*'(ne pas modifier) BDD_REF'!$B$220)*'(ne pas modifier) BDD_REF'!$B$208</f>
        <v>0</v>
      </c>
      <c r="G92" s="51">
        <f>((G88*'(ne pas modifier) BDD_REF'!$B$219)+('RECeff + REIamont (2)'!G89+'RECeff + REIamont (2)'!G90)*'(ne pas modifier) BDD_REF'!$B$220)*'(ne pas modifier) BDD_REF'!$B$208</f>
        <v>0</v>
      </c>
      <c r="H92" s="51">
        <f>((H88*'(ne pas modifier) BDD_REF'!$B$219)+('RECeff + REIamont (2)'!H89+'RECeff + REIamont (2)'!H90)*'(ne pas modifier) BDD_REF'!$B$220)*'(ne pas modifier) BDD_REF'!$B$208</f>
        <v>0</v>
      </c>
      <c r="I92" s="51">
        <f>((I88*'(ne pas modifier) BDD_REF'!$B$219)+('RECeff + REIamont (2)'!I89+'RECeff + REIamont (2)'!I90)*'(ne pas modifier) BDD_REF'!$B$220)*'(ne pas modifier) BDD_REF'!$B$208</f>
        <v>0</v>
      </c>
      <c r="J92" s="51">
        <f>((J88*'(ne pas modifier) BDD_REF'!$B$219)+('RECeff + REIamont (2)'!J89+'RECeff + REIamont (2)'!J90)*'(ne pas modifier) BDD_REF'!$B$220)*'(ne pas modifier) BDD_REF'!$B$208</f>
        <v>0</v>
      </c>
      <c r="K92" s="51">
        <f>((K88*'(ne pas modifier) BDD_REF'!$B$219)+('RECeff + REIamont (2)'!K89+'RECeff + REIamont (2)'!K90)*'(ne pas modifier) BDD_REF'!$B$220)*'(ne pas modifier) BDD_REF'!$B$208</f>
        <v>0</v>
      </c>
      <c r="L92" s="51">
        <f>((L88*'(ne pas modifier) BDD_REF'!$B$219)+('RECeff + REIamont (2)'!L89+'RECeff + REIamont (2)'!L90)*'(ne pas modifier) BDD_REF'!$B$220)*'(ne pas modifier) BDD_REF'!$B$208</f>
        <v>0</v>
      </c>
      <c r="M92" s="51">
        <f t="shared" si="0"/>
        <v>0.35730000000000001</v>
      </c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5.75" customHeight="1" x14ac:dyDescent="0.2">
      <c r="A93" s="1"/>
      <c r="B93" s="52" t="s">
        <v>69</v>
      </c>
      <c r="C93" s="53">
        <f>(C88+C89+C90)*'(ne pas modifier) BDD_REF'!$B$221*'(ne pas modifier) BDD_REF'!$B$209</f>
        <v>0.21383999999999997</v>
      </c>
      <c r="D93" s="54">
        <f>(D88+D89+D90)*'(ne pas modifier) BDD_REF'!$B$221*'(ne pas modifier) BDD_REF'!$B$209</f>
        <v>0.21383999999999997</v>
      </c>
      <c r="E93" s="54">
        <f>(E88+E89+E90)*'(ne pas modifier) BDD_REF'!$B$221*'(ne pas modifier) BDD_REF'!$B$209</f>
        <v>0.21383999999999997</v>
      </c>
      <c r="F93" s="51">
        <f>(F88+F89+F90)*'(ne pas modifier) BDD_REF'!$B$221*'(ne pas modifier) BDD_REF'!$B$209</f>
        <v>0</v>
      </c>
      <c r="G93" s="51">
        <f>(G88+G89+G90)*'(ne pas modifier) BDD_REF'!$B$221*'(ne pas modifier) BDD_REF'!$B$209</f>
        <v>0</v>
      </c>
      <c r="H93" s="51">
        <f>(H88+H89+H90)*'(ne pas modifier) BDD_REF'!$B$221*'(ne pas modifier) BDD_REF'!$B$209</f>
        <v>0</v>
      </c>
      <c r="I93" s="51">
        <f>(I88+I89+I90)*'(ne pas modifier) BDD_REF'!$B$221*'(ne pas modifier) BDD_REF'!$B$209</f>
        <v>0</v>
      </c>
      <c r="J93" s="51">
        <f>(J88+J89+J90)*'(ne pas modifier) BDD_REF'!$B$221*'(ne pas modifier) BDD_REF'!$B$209</f>
        <v>0</v>
      </c>
      <c r="K93" s="51">
        <f>(K88+K89+K90)*'(ne pas modifier) BDD_REF'!$B$221*'(ne pas modifier) BDD_REF'!$B$209</f>
        <v>0</v>
      </c>
      <c r="L93" s="51">
        <f>(L88+L89+L90)*'(ne pas modifier) BDD_REF'!$B$221*'(ne pas modifier) BDD_REF'!$B$209</f>
        <v>0</v>
      </c>
      <c r="M93" s="51">
        <f t="shared" si="0"/>
        <v>0.64151999999999987</v>
      </c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5.75" customHeight="1" x14ac:dyDescent="0.2">
      <c r="A94" s="1"/>
      <c r="B94" s="35" t="s">
        <v>70</v>
      </c>
      <c r="C94" s="16">
        <v>0</v>
      </c>
      <c r="D94" s="17">
        <v>0</v>
      </c>
      <c r="E94" s="17">
        <v>0</v>
      </c>
      <c r="F94" s="11"/>
      <c r="G94" s="11"/>
      <c r="H94" s="11"/>
      <c r="I94" s="11"/>
      <c r="J94" s="11"/>
      <c r="K94" s="11"/>
      <c r="L94" s="11"/>
      <c r="M94" s="51">
        <f t="shared" si="0"/>
        <v>0</v>
      </c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5.75" customHeight="1" x14ac:dyDescent="0.2">
      <c r="A95" s="1"/>
      <c r="B95" s="35" t="s">
        <v>71</v>
      </c>
      <c r="C95" s="16">
        <v>193.5</v>
      </c>
      <c r="D95" s="17">
        <v>193.5</v>
      </c>
      <c r="E95" s="17">
        <v>193.5</v>
      </c>
      <c r="F95" s="11"/>
      <c r="G95" s="11"/>
      <c r="H95" s="11"/>
      <c r="I95" s="11"/>
      <c r="J95" s="11"/>
      <c r="K95" s="11"/>
      <c r="L95" s="11"/>
      <c r="M95" s="51">
        <f t="shared" si="0"/>
        <v>580.5</v>
      </c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5.75" customHeight="1" x14ac:dyDescent="0.2">
      <c r="A96" s="1"/>
      <c r="B96" s="35" t="s">
        <v>72</v>
      </c>
      <c r="C96" s="16">
        <v>0</v>
      </c>
      <c r="D96" s="17">
        <v>0</v>
      </c>
      <c r="E96" s="17">
        <v>0</v>
      </c>
      <c r="F96" s="11"/>
      <c r="G96" s="11"/>
      <c r="H96" s="11"/>
      <c r="I96" s="11"/>
      <c r="J96" s="11"/>
      <c r="K96" s="11"/>
      <c r="L96" s="11"/>
      <c r="M96" s="51">
        <f t="shared" si="0"/>
        <v>0</v>
      </c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5.75" customHeight="1" x14ac:dyDescent="0.2">
      <c r="A97" s="1"/>
      <c r="B97" s="35" t="s">
        <v>73</v>
      </c>
      <c r="C97" s="16">
        <v>0</v>
      </c>
      <c r="D97" s="17">
        <v>0</v>
      </c>
      <c r="E97" s="17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51">
        <f t="shared" si="0"/>
        <v>0</v>
      </c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5.75" customHeight="1" x14ac:dyDescent="0.2">
      <c r="A98" s="1"/>
      <c r="B98" s="35" t="s">
        <v>74</v>
      </c>
      <c r="C98" s="16">
        <v>0</v>
      </c>
      <c r="D98" s="17">
        <v>0</v>
      </c>
      <c r="E98" s="17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51">
        <f t="shared" si="0"/>
        <v>0</v>
      </c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5.75" customHeight="1" x14ac:dyDescent="0.2">
      <c r="A99" s="1"/>
      <c r="B99" s="35" t="s">
        <v>75</v>
      </c>
      <c r="C99" s="16">
        <v>0</v>
      </c>
      <c r="D99" s="17">
        <v>0</v>
      </c>
      <c r="E99" s="17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51">
        <f t="shared" si="0"/>
        <v>0</v>
      </c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5.75" customHeight="1" x14ac:dyDescent="0.2">
      <c r="A100" s="1"/>
      <c r="B100" s="8" t="s">
        <v>76</v>
      </c>
      <c r="C100" s="53">
        <f>(C94*'(ne pas modifier) BDD_REF'!$C$224+'RECeff + REIamont (2)'!C95*'(ne pas modifier) BDD_REF'!$C$225+'RECeff + REIamont (2)'!C96*'(ne pas modifier) BDD_REF'!$C$226+'RECeff + REIamont (2)'!C97*'(ne pas modifier) BDD_REF'!$C$227+'RECeff + REIamont (2)'!C98*'(ne pas modifier) BDD_REF'!$C$228+'RECeff + REIamont (2)'!C99*'(ne pas modifier) BDD_REF'!$C$229)/1000</f>
        <v>0.59423849999999989</v>
      </c>
      <c r="D100" s="54">
        <f>(D94*'(ne pas modifier) BDD_REF'!$C$224+'RECeff + REIamont (2)'!D95*'(ne pas modifier) BDD_REF'!$C$225+'RECeff + REIamont (2)'!D96*'(ne pas modifier) BDD_REF'!$C$226+'RECeff + REIamont (2)'!D97*'(ne pas modifier) BDD_REF'!$C$227+'RECeff + REIamont (2)'!D98*'(ne pas modifier) BDD_REF'!$C$228+'RECeff + REIamont (2)'!D99*'(ne pas modifier) BDD_REF'!$C$229)/1000</f>
        <v>0.59423849999999989</v>
      </c>
      <c r="E100" s="54">
        <f>(E94*'(ne pas modifier) BDD_REF'!$C$224+'RECeff + REIamont (2)'!E95*'(ne pas modifier) BDD_REF'!$C$225+'RECeff + REIamont (2)'!E96*'(ne pas modifier) BDD_REF'!$C$226+'RECeff + REIamont (2)'!E97*'(ne pas modifier) BDD_REF'!$C$227+'RECeff + REIamont (2)'!E98*'(ne pas modifier) BDD_REF'!$C$228+'RECeff + REIamont (2)'!E99*'(ne pas modifier) BDD_REF'!$C$229)/1000</f>
        <v>0.59423849999999989</v>
      </c>
      <c r="F100" s="51">
        <f>(F94*'(ne pas modifier) BDD_REF'!$C$224+'RECeff + REIamont (2)'!F95*'(ne pas modifier) BDD_REF'!$C$225+'RECeff + REIamont (2)'!F96*'(ne pas modifier) BDD_REF'!$C$226+'RECeff + REIamont (2)'!F97*'(ne pas modifier) BDD_REF'!$C$227+'RECeff + REIamont (2)'!F98*'(ne pas modifier) BDD_REF'!$C$228+'RECeff + REIamont (2)'!F99*'(ne pas modifier) BDD_REF'!$C$229)/1000</f>
        <v>0</v>
      </c>
      <c r="G100" s="51">
        <f>(G94*'(ne pas modifier) BDD_REF'!$C$224+'RECeff + REIamont (2)'!G95*'(ne pas modifier) BDD_REF'!$C$225+'RECeff + REIamont (2)'!G96*'(ne pas modifier) BDD_REF'!$C$226+'RECeff + REIamont (2)'!G97*'(ne pas modifier) BDD_REF'!$C$227+'RECeff + REIamont (2)'!G98*'(ne pas modifier) BDD_REF'!$C$228+'RECeff + REIamont (2)'!G99*'(ne pas modifier) BDD_REF'!$C$229)/1000</f>
        <v>0</v>
      </c>
      <c r="H100" s="51">
        <f>(H94*'(ne pas modifier) BDD_REF'!$C$224+'RECeff + REIamont (2)'!H95*'(ne pas modifier) BDD_REF'!$C$225+'RECeff + REIamont (2)'!H96*'(ne pas modifier) BDD_REF'!$C$226+'RECeff + REIamont (2)'!H97*'(ne pas modifier) BDD_REF'!$C$227+'RECeff + REIamont (2)'!H98*'(ne pas modifier) BDD_REF'!$C$228+'RECeff + REIamont (2)'!H99*'(ne pas modifier) BDD_REF'!$C$229)/1000</f>
        <v>0</v>
      </c>
      <c r="I100" s="51">
        <f>(I94*'(ne pas modifier) BDD_REF'!$C$224+'RECeff + REIamont (2)'!I95*'(ne pas modifier) BDD_REF'!$C$225+'RECeff + REIamont (2)'!I96*'(ne pas modifier) BDD_REF'!$C$226+'RECeff + REIamont (2)'!I97*'(ne pas modifier) BDD_REF'!$C$227+'RECeff + REIamont (2)'!I98*'(ne pas modifier) BDD_REF'!$C$228+'RECeff + REIamont (2)'!I99*'(ne pas modifier) BDD_REF'!$C$229)/1000</f>
        <v>0</v>
      </c>
      <c r="J100" s="51">
        <f>(J94*'(ne pas modifier) BDD_REF'!$C$224+'RECeff + REIamont (2)'!J95*'(ne pas modifier) BDD_REF'!$C$225+'RECeff + REIamont (2)'!J96*'(ne pas modifier) BDD_REF'!$C$226+'RECeff + REIamont (2)'!J97*'(ne pas modifier) BDD_REF'!$C$227+'RECeff + REIamont (2)'!J98*'(ne pas modifier) BDD_REF'!$C$228+'RECeff + REIamont (2)'!J99*'(ne pas modifier) BDD_REF'!$C$229)/1000</f>
        <v>0</v>
      </c>
      <c r="K100" s="51">
        <f>(K94*'(ne pas modifier) BDD_REF'!$C$224+'RECeff + REIamont (2)'!K95*'(ne pas modifier) BDD_REF'!$C$225+'RECeff + REIamont (2)'!K96*'(ne pas modifier) BDD_REF'!$C$226+'RECeff + REIamont (2)'!K97*'(ne pas modifier) BDD_REF'!$C$227+'RECeff + REIamont (2)'!K98*'(ne pas modifier) BDD_REF'!$C$228+'RECeff + REIamont (2)'!K99*'(ne pas modifier) BDD_REF'!$C$229)/1000</f>
        <v>0</v>
      </c>
      <c r="L100" s="51">
        <f>(L94*'(ne pas modifier) BDD_REF'!$C$224+'RECeff + REIamont (2)'!L95*'(ne pas modifier) BDD_REF'!$C$225+'RECeff + REIamont (2)'!L96*'(ne pas modifier) BDD_REF'!$C$226+'RECeff + REIamont (2)'!L97*'(ne pas modifier) BDD_REF'!$C$227+'RECeff + REIamont (2)'!L98*'(ne pas modifier) BDD_REF'!$C$228+'RECeff + REIamont (2)'!L99*'(ne pas modifier) BDD_REF'!$C$229)/1000</f>
        <v>0</v>
      </c>
      <c r="M100" s="51">
        <f t="shared" si="0"/>
        <v>1.7827154999999997</v>
      </c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5.75" customHeight="1" x14ac:dyDescent="0.2">
      <c r="A101" s="1"/>
      <c r="B101" s="35" t="s">
        <v>77</v>
      </c>
      <c r="C101" s="16">
        <v>2000</v>
      </c>
      <c r="D101" s="17">
        <v>2000</v>
      </c>
      <c r="E101" s="17">
        <v>2000</v>
      </c>
      <c r="F101" s="11"/>
      <c r="G101" s="11"/>
      <c r="H101" s="11"/>
      <c r="I101" s="11"/>
      <c r="J101" s="11"/>
      <c r="K101" s="11"/>
      <c r="L101" s="11"/>
      <c r="M101" s="51">
        <f t="shared" si="0"/>
        <v>6000</v>
      </c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5.75" customHeight="1" x14ac:dyDescent="0.2">
      <c r="A102" s="1"/>
      <c r="B102" s="8" t="s">
        <v>78</v>
      </c>
      <c r="C102" s="53">
        <f>(C101*'(ne pas modifier) BDD_REF'!$B$210)/1000</f>
        <v>0.114</v>
      </c>
      <c r="D102" s="54">
        <f>(D101*'(ne pas modifier) BDD_REF'!$B$210)/1000</f>
        <v>0.114</v>
      </c>
      <c r="E102" s="54">
        <f>(E101*'(ne pas modifier) BDD_REF'!$B$210)/1000</f>
        <v>0.114</v>
      </c>
      <c r="F102" s="51">
        <f>(F101*'(ne pas modifier) BDD_REF'!$B$210)/1000</f>
        <v>0</v>
      </c>
      <c r="G102" s="51">
        <f>(G101*'(ne pas modifier) BDD_REF'!$B$210)/1000</f>
        <v>0</v>
      </c>
      <c r="H102" s="51">
        <f>(H101*'(ne pas modifier) BDD_REF'!$B$210)/1000</f>
        <v>0</v>
      </c>
      <c r="I102" s="51">
        <f>(I101*'(ne pas modifier) BDD_REF'!$B$210)/1000</f>
        <v>0</v>
      </c>
      <c r="J102" s="51">
        <f>(J101*'(ne pas modifier) BDD_REF'!$B$210)/1000</f>
        <v>0</v>
      </c>
      <c r="K102" s="51">
        <f>(K101*'(ne pas modifier) BDD_REF'!$B$210)/1000</f>
        <v>0</v>
      </c>
      <c r="L102" s="51">
        <f>(L101*'(ne pas modifier) BDD_REF'!$B$210)/1000</f>
        <v>0</v>
      </c>
      <c r="M102" s="51">
        <f t="shared" si="0"/>
        <v>0.34200000000000003</v>
      </c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5.75" customHeight="1" x14ac:dyDescent="0.2">
      <c r="A103" s="55"/>
      <c r="B103" s="52" t="s">
        <v>79</v>
      </c>
      <c r="C103" s="56">
        <f t="shared" ref="C103:L103" si="7">C100+C102</f>
        <v>0.70823849999999988</v>
      </c>
      <c r="D103" s="57">
        <f t="shared" si="7"/>
        <v>0.70823849999999988</v>
      </c>
      <c r="E103" s="57">
        <f t="shared" si="7"/>
        <v>0.70823849999999988</v>
      </c>
      <c r="F103" s="58">
        <f t="shared" si="7"/>
        <v>0</v>
      </c>
      <c r="G103" s="58">
        <f t="shared" si="7"/>
        <v>0</v>
      </c>
      <c r="H103" s="58">
        <f t="shared" si="7"/>
        <v>0</v>
      </c>
      <c r="I103" s="58">
        <f t="shared" si="7"/>
        <v>0</v>
      </c>
      <c r="J103" s="58">
        <f t="shared" si="7"/>
        <v>0</v>
      </c>
      <c r="K103" s="58">
        <f t="shared" si="7"/>
        <v>0</v>
      </c>
      <c r="L103" s="58">
        <f t="shared" si="7"/>
        <v>0</v>
      </c>
      <c r="M103" s="51">
        <f t="shared" si="0"/>
        <v>2.1247154999999998</v>
      </c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</row>
    <row r="104" spans="1:33" ht="15.75" customHeight="1" x14ac:dyDescent="0.2">
      <c r="A104" s="1"/>
      <c r="B104" s="35" t="s">
        <v>80</v>
      </c>
      <c r="C104" s="16">
        <v>46</v>
      </c>
      <c r="D104" s="17">
        <v>46</v>
      </c>
      <c r="E104" s="17">
        <v>46</v>
      </c>
      <c r="F104" s="11"/>
      <c r="G104" s="11"/>
      <c r="H104" s="11"/>
      <c r="I104" s="11"/>
      <c r="J104" s="11"/>
      <c r="K104" s="11"/>
      <c r="L104" s="11"/>
      <c r="M104" s="51">
        <f t="shared" si="0"/>
        <v>138</v>
      </c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5.75" customHeight="1" x14ac:dyDescent="0.2">
      <c r="A105" s="1"/>
      <c r="B105" s="35" t="s">
        <v>81</v>
      </c>
      <c r="C105" s="16">
        <v>75</v>
      </c>
      <c r="D105" s="17">
        <v>75</v>
      </c>
      <c r="E105" s="17">
        <v>75</v>
      </c>
      <c r="F105" s="11"/>
      <c r="G105" s="11"/>
      <c r="H105" s="11"/>
      <c r="I105" s="11"/>
      <c r="J105" s="11"/>
      <c r="K105" s="11"/>
      <c r="L105" s="11"/>
      <c r="M105" s="51">
        <f t="shared" si="0"/>
        <v>225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5.75" customHeight="1" x14ac:dyDescent="0.2">
      <c r="A106" s="1"/>
      <c r="B106" s="8" t="s">
        <v>82</v>
      </c>
      <c r="C106" s="53">
        <f>(C88*'(ne pas modifier) BDD_REF'!$B$211+'RECeff + REIamont (2)'!C104*'(ne pas modifier) BDD_REF'!$B$212+'RECeff + REIamont (2)'!C105*'(ne pas modifier) BDD_REF'!$B$213)/1000</f>
        <v>0.34995999999999999</v>
      </c>
      <c r="D106" s="54">
        <f>(D88*'(ne pas modifier) BDD_REF'!$B$211+'RECeff + REIamont (2)'!D104*'(ne pas modifier) BDD_REF'!$B$212+'RECeff + REIamont (2)'!D105*'(ne pas modifier) BDD_REF'!$B$213)/1000</f>
        <v>0.34995999999999999</v>
      </c>
      <c r="E106" s="54">
        <f>(E88*'(ne pas modifier) BDD_REF'!$B$211+'RECeff + REIamont (2)'!E104*'(ne pas modifier) BDD_REF'!$B$212+'RECeff + REIamont (2)'!E105*'(ne pas modifier) BDD_REF'!$B$213)/1000</f>
        <v>0.34995999999999999</v>
      </c>
      <c r="F106" s="51">
        <f>(F88*'(ne pas modifier) BDD_REF'!$B$211+'RECeff + REIamont (2)'!F104*'(ne pas modifier) BDD_REF'!$B$212+'RECeff + REIamont (2)'!F105*'(ne pas modifier) BDD_REF'!$B$213)/1000</f>
        <v>0</v>
      </c>
      <c r="G106" s="51">
        <f>(G88*'(ne pas modifier) BDD_REF'!$B$211+'RECeff + REIamont (2)'!G104*'(ne pas modifier) BDD_REF'!$B$212+'RECeff + REIamont (2)'!G105*'(ne pas modifier) BDD_REF'!$B$213)/1000</f>
        <v>0</v>
      </c>
      <c r="H106" s="51">
        <f>(H88*'(ne pas modifier) BDD_REF'!$B$211+'RECeff + REIamont (2)'!H104*'(ne pas modifier) BDD_REF'!$B$212+'RECeff + REIamont (2)'!H105*'(ne pas modifier) BDD_REF'!$B$213)/1000</f>
        <v>0</v>
      </c>
      <c r="I106" s="51">
        <f>(I88*'(ne pas modifier) BDD_REF'!$B$211+'RECeff + REIamont (2)'!I104*'(ne pas modifier) BDD_REF'!$B$212+'RECeff + REIamont (2)'!I105*'(ne pas modifier) BDD_REF'!$B$213)/1000</f>
        <v>0</v>
      </c>
      <c r="J106" s="51">
        <f>(J88*'(ne pas modifier) BDD_REF'!$B$211+'RECeff + REIamont (2)'!J104*'(ne pas modifier) BDD_REF'!$B$212+'RECeff + REIamont (2)'!J105*'(ne pas modifier) BDD_REF'!$B$213)/1000</f>
        <v>0</v>
      </c>
      <c r="K106" s="51">
        <f>(K88*'(ne pas modifier) BDD_REF'!$B$211+'RECeff + REIamont (2)'!K104*'(ne pas modifier) BDD_REF'!$B$212+'RECeff + REIamont (2)'!K105*'(ne pas modifier) BDD_REF'!$B$213)/1000</f>
        <v>0</v>
      </c>
      <c r="L106" s="51">
        <f>(L88*'(ne pas modifier) BDD_REF'!$B$211+'RECeff + REIamont (2)'!L104*'(ne pas modifier) BDD_REF'!$B$212+'RECeff + REIamont (2)'!L105*'(ne pas modifier) BDD_REF'!$B$213)/1000</f>
        <v>0</v>
      </c>
      <c r="M106" s="51">
        <f t="shared" si="0"/>
        <v>1.0498799999999999</v>
      </c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5.75" hidden="1" customHeight="1" x14ac:dyDescent="0.2">
      <c r="A107" s="1" t="s">
        <v>93</v>
      </c>
      <c r="B107" s="8" t="s">
        <v>83</v>
      </c>
      <c r="C107" s="59"/>
      <c r="D107" s="60"/>
      <c r="E107" s="60"/>
      <c r="F107" s="51"/>
      <c r="G107" s="51"/>
      <c r="H107" s="51"/>
      <c r="I107" s="51"/>
      <c r="J107" s="51"/>
      <c r="K107" s="51"/>
      <c r="L107" s="51"/>
      <c r="M107" s="51">
        <f t="shared" si="0"/>
        <v>0</v>
      </c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5.75" customHeight="1" x14ac:dyDescent="0.2">
      <c r="A108" s="1"/>
      <c r="B108" s="35" t="s">
        <v>85</v>
      </c>
      <c r="C108" s="18"/>
      <c r="D108" s="19"/>
      <c r="E108" s="19"/>
      <c r="F108" s="11"/>
      <c r="G108" s="11"/>
      <c r="H108" s="11"/>
      <c r="I108" s="11"/>
      <c r="J108" s="11"/>
      <c r="K108" s="11"/>
      <c r="L108" s="11"/>
      <c r="M108" s="51">
        <f t="shared" si="0"/>
        <v>0</v>
      </c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5.75" customHeight="1" x14ac:dyDescent="0.2">
      <c r="A109" s="1"/>
      <c r="B109" s="35" t="s">
        <v>86</v>
      </c>
      <c r="C109" s="18"/>
      <c r="D109" s="19"/>
      <c r="E109" s="19"/>
      <c r="F109" s="11"/>
      <c r="G109" s="11"/>
      <c r="H109" s="11"/>
      <c r="I109" s="11"/>
      <c r="J109" s="11"/>
      <c r="K109" s="11"/>
      <c r="L109" s="11"/>
      <c r="M109" s="51">
        <f t="shared" si="0"/>
        <v>0</v>
      </c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5.75" customHeight="1" x14ac:dyDescent="0.2">
      <c r="A110" s="1"/>
      <c r="B110" s="35" t="s">
        <v>87</v>
      </c>
      <c r="C110" s="18"/>
      <c r="D110" s="19"/>
      <c r="E110" s="19"/>
      <c r="F110" s="11"/>
      <c r="G110" s="11"/>
      <c r="H110" s="11"/>
      <c r="I110" s="11"/>
      <c r="J110" s="11"/>
      <c r="K110" s="11"/>
      <c r="L110" s="11"/>
      <c r="M110" s="51">
        <f t="shared" si="0"/>
        <v>0</v>
      </c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5.75" customHeight="1" x14ac:dyDescent="0.2">
      <c r="A111" s="1"/>
      <c r="B111" s="35" t="s">
        <v>88</v>
      </c>
      <c r="C111" s="18"/>
      <c r="D111" s="19"/>
      <c r="E111" s="19"/>
      <c r="F111" s="11"/>
      <c r="G111" s="11"/>
      <c r="H111" s="11"/>
      <c r="I111" s="11"/>
      <c r="J111" s="11"/>
      <c r="K111" s="11"/>
      <c r="L111" s="11"/>
      <c r="M111" s="51">
        <f t="shared" si="0"/>
        <v>0</v>
      </c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5.75" customHeight="1" x14ac:dyDescent="0.2">
      <c r="A112" s="1"/>
      <c r="B112" s="8" t="s">
        <v>89</v>
      </c>
      <c r="C112" s="53">
        <f>(C108*'(ne pas modifier) BDD_REF'!$B$214+'RECeff + REIamont (2)'!C109*'(ne pas modifier) BDD_REF'!$B$215+'RECeff + REIamont (2)'!C110*'(ne pas modifier) BDD_REF'!$B$216+'RECeff + REIamont (2)'!C111*'(ne pas modifier) BDD_REF'!$B$217)/1000</f>
        <v>0</v>
      </c>
      <c r="D112" s="54">
        <f>(D108*'(ne pas modifier) BDD_REF'!$B$214+'RECeff + REIamont (2)'!D109*'(ne pas modifier) BDD_REF'!$B$215+'RECeff + REIamont (2)'!D110*'(ne pas modifier) BDD_REF'!$B$216+'RECeff + REIamont (2)'!D111*'(ne pas modifier) BDD_REF'!$B$217)/1000</f>
        <v>0</v>
      </c>
      <c r="E112" s="54">
        <f>(E108*'(ne pas modifier) BDD_REF'!$B$214+'RECeff + REIamont (2)'!E109*'(ne pas modifier) BDD_REF'!$B$215+'RECeff + REIamont (2)'!E110*'(ne pas modifier) BDD_REF'!$B$216+'RECeff + REIamont (2)'!E111*'(ne pas modifier) BDD_REF'!$B$217)/1000</f>
        <v>0</v>
      </c>
      <c r="F112" s="51">
        <f>(F108*'(ne pas modifier) BDD_REF'!$B$214+'RECeff + REIamont (2)'!F109*'(ne pas modifier) BDD_REF'!$B$215+'RECeff + REIamont (2)'!F110*'(ne pas modifier) BDD_REF'!$B$216+'RECeff + REIamont (2)'!F111*'(ne pas modifier) BDD_REF'!$B$217)/1000</f>
        <v>0</v>
      </c>
      <c r="G112" s="51">
        <f>(G108*'(ne pas modifier) BDD_REF'!$B$214+'RECeff + REIamont (2)'!G109*'(ne pas modifier) BDD_REF'!$B$215+'RECeff + REIamont (2)'!G110*'(ne pas modifier) BDD_REF'!$B$216+'RECeff + REIamont (2)'!G111*'(ne pas modifier) BDD_REF'!$B$217)/1000</f>
        <v>0</v>
      </c>
      <c r="H112" s="51">
        <f>(H108*'(ne pas modifier) BDD_REF'!$B$214+'RECeff + REIamont (2)'!H109*'(ne pas modifier) BDD_REF'!$B$215+'RECeff + REIamont (2)'!H110*'(ne pas modifier) BDD_REF'!$B$216+'RECeff + REIamont (2)'!H111*'(ne pas modifier) BDD_REF'!$B$217)/1000</f>
        <v>0</v>
      </c>
      <c r="I112" s="51">
        <f>(I108*'(ne pas modifier) BDD_REF'!$B$214+'RECeff + REIamont (2)'!I109*'(ne pas modifier) BDD_REF'!$B$215+'RECeff + REIamont (2)'!I110*'(ne pas modifier) BDD_REF'!$B$216+'RECeff + REIamont (2)'!I111*'(ne pas modifier) BDD_REF'!$B$217)/1000</f>
        <v>0</v>
      </c>
      <c r="J112" s="51">
        <f>(J108*'(ne pas modifier) BDD_REF'!$B$214+'RECeff + REIamont (2)'!J109*'(ne pas modifier) BDD_REF'!$B$215+'RECeff + REIamont (2)'!J110*'(ne pas modifier) BDD_REF'!$B$216+'RECeff + REIamont (2)'!J111*'(ne pas modifier) BDD_REF'!$B$217)/1000</f>
        <v>0</v>
      </c>
      <c r="K112" s="51">
        <f>(K108*'(ne pas modifier) BDD_REF'!$B$214+'RECeff + REIamont (2)'!K109*'(ne pas modifier) BDD_REF'!$B$215+'RECeff + REIamont (2)'!K110*'(ne pas modifier) BDD_REF'!$B$216+'RECeff + REIamont (2)'!K111*'(ne pas modifier) BDD_REF'!$B$217)/1000</f>
        <v>0</v>
      </c>
      <c r="L112" s="51">
        <f>(L108*'(ne pas modifier) BDD_REF'!$B$214+'RECeff + REIamont (2)'!L109*'(ne pas modifier) BDD_REF'!$B$215+'RECeff + REIamont (2)'!L110*'(ne pas modifier) BDD_REF'!$B$216+'RECeff + REIamont (2)'!L111*'(ne pas modifier) BDD_REF'!$B$217)/1000</f>
        <v>0</v>
      </c>
      <c r="M112" s="51">
        <f t="shared" si="0"/>
        <v>0</v>
      </c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5.75" customHeight="1" x14ac:dyDescent="0.2">
      <c r="A113" s="55"/>
      <c r="B113" s="52" t="s">
        <v>90</v>
      </c>
      <c r="C113" s="56">
        <f t="shared" ref="C113:L113" si="8">C106+C107+C112</f>
        <v>0.34995999999999999</v>
      </c>
      <c r="D113" s="57">
        <f t="shared" si="8"/>
        <v>0.34995999999999999</v>
      </c>
      <c r="E113" s="57">
        <f t="shared" si="8"/>
        <v>0.34995999999999999</v>
      </c>
      <c r="F113" s="58">
        <f t="shared" si="8"/>
        <v>0</v>
      </c>
      <c r="G113" s="58">
        <f t="shared" si="8"/>
        <v>0</v>
      </c>
      <c r="H113" s="58">
        <f t="shared" si="8"/>
        <v>0</v>
      </c>
      <c r="I113" s="58">
        <f t="shared" si="8"/>
        <v>0</v>
      </c>
      <c r="J113" s="58">
        <f t="shared" si="8"/>
        <v>0</v>
      </c>
      <c r="K113" s="58">
        <f t="shared" si="8"/>
        <v>0</v>
      </c>
      <c r="L113" s="58">
        <f t="shared" si="8"/>
        <v>0</v>
      </c>
      <c r="M113" s="51">
        <f t="shared" si="0"/>
        <v>1.0498799999999999</v>
      </c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</row>
    <row r="114" spans="1:33" ht="15.75" customHeight="1" x14ac:dyDescent="0.2">
      <c r="A114" s="55"/>
      <c r="B114" s="62" t="s">
        <v>91</v>
      </c>
      <c r="C114" s="63">
        <f>((C91+C92+C93)/1000*44/28*'(ne pas modifier) BDD_REF'!$B$231)+'RECeff + REIamont (2)'!C103+'RECeff + REIamont (2)'!C113</f>
        <v>1.6116070857142857</v>
      </c>
      <c r="D114" s="64">
        <f>((D91+D92+D93)/1000*44/28*'(ne pas modifier) BDD_REF'!$B$231)+'RECeff + REIamont (2)'!D103+'RECeff + REIamont (2)'!D113</f>
        <v>1.6116070857142857</v>
      </c>
      <c r="E114" s="64">
        <f>((E91+E92+E93)/1000*44/28*'(ne pas modifier) BDD_REF'!$B$231)+'RECeff + REIamont (2)'!E103+'RECeff + REIamont (2)'!E113</f>
        <v>1.6116070857142857</v>
      </c>
      <c r="F114" s="62">
        <f>((F91+F92+F93)/1000*44/28*'(ne pas modifier) BDD_REF'!$B$231)+'RECeff + REIamont (2)'!F103+'RECeff + REIamont (2)'!F113</f>
        <v>0</v>
      </c>
      <c r="G114" s="62">
        <f>((G91+G92+G93)/1000*44/28*'(ne pas modifier) BDD_REF'!$B$231)+'RECeff + REIamont (2)'!G103+'RECeff + REIamont (2)'!G113</f>
        <v>0</v>
      </c>
      <c r="H114" s="62">
        <f>((H91+H92+H93)/1000*44/28*'(ne pas modifier) BDD_REF'!$B$231)+'RECeff + REIamont (2)'!H103+'RECeff + REIamont (2)'!H113</f>
        <v>0</v>
      </c>
      <c r="I114" s="62">
        <f>((I91+I92+I93)/1000*44/28*'(ne pas modifier) BDD_REF'!$B$231)+'RECeff + REIamont (2)'!I103+'RECeff + REIamont (2)'!I113</f>
        <v>0</v>
      </c>
      <c r="J114" s="62">
        <f>((J91+J92+J93)/1000*44/28*'(ne pas modifier) BDD_REF'!$B$231)+'RECeff + REIamont (2)'!J103+'RECeff + REIamont (2)'!J113</f>
        <v>0</v>
      </c>
      <c r="K114" s="62">
        <f>((K91+K92+K93)/1000*44/28*'(ne pas modifier) BDD_REF'!$B$231)+'RECeff + REIamont (2)'!K103+'RECeff + REIamont (2)'!K113</f>
        <v>0</v>
      </c>
      <c r="L114" s="62">
        <f>((L91+L92+L93)/1000*44/28*'(ne pas modifier) BDD_REF'!$B$231)+'RECeff + REIamont (2)'!L103+'RECeff + REIamont (2)'!L113</f>
        <v>0</v>
      </c>
      <c r="M114" s="62">
        <f t="shared" si="0"/>
        <v>4.834821257142857</v>
      </c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</row>
    <row r="115" spans="1:33" ht="15.75" customHeight="1" x14ac:dyDescent="0.2">
      <c r="A115" s="48" t="s">
        <v>96</v>
      </c>
      <c r="B115" s="35" t="s">
        <v>64</v>
      </c>
      <c r="C115" s="16">
        <v>51</v>
      </c>
      <c r="D115" s="17">
        <v>51</v>
      </c>
      <c r="E115" s="17">
        <v>51</v>
      </c>
      <c r="F115" s="11"/>
      <c r="G115" s="11"/>
      <c r="H115" s="11"/>
      <c r="I115" s="11"/>
      <c r="J115" s="11"/>
      <c r="K115" s="11"/>
      <c r="L115" s="11"/>
      <c r="M115" s="51">
        <f t="shared" si="0"/>
        <v>153</v>
      </c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5.75" customHeight="1" x14ac:dyDescent="0.2">
      <c r="A116" s="1"/>
      <c r="B116" s="35" t="s">
        <v>65</v>
      </c>
      <c r="C116" s="16">
        <v>0</v>
      </c>
      <c r="D116" s="17">
        <v>0</v>
      </c>
      <c r="E116" s="17">
        <v>0</v>
      </c>
      <c r="F116" s="11"/>
      <c r="G116" s="11"/>
      <c r="H116" s="11"/>
      <c r="I116" s="11"/>
      <c r="J116" s="11"/>
      <c r="K116" s="11"/>
      <c r="L116" s="11"/>
      <c r="M116" s="51">
        <f t="shared" si="0"/>
        <v>0</v>
      </c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5.75" customHeight="1" x14ac:dyDescent="0.2">
      <c r="A117" s="1"/>
      <c r="B117" s="35" t="s">
        <v>66</v>
      </c>
      <c r="C117" s="16">
        <v>30</v>
      </c>
      <c r="D117" s="17">
        <v>30</v>
      </c>
      <c r="E117" s="17">
        <v>30</v>
      </c>
      <c r="F117" s="11"/>
      <c r="G117" s="11"/>
      <c r="H117" s="11"/>
      <c r="I117" s="11"/>
      <c r="J117" s="11"/>
      <c r="K117" s="11"/>
      <c r="L117" s="11"/>
      <c r="M117" s="51">
        <f t="shared" si="0"/>
        <v>90</v>
      </c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5.75" customHeight="1" x14ac:dyDescent="0.2">
      <c r="A118" s="1"/>
      <c r="B118" s="52" t="s">
        <v>67</v>
      </c>
      <c r="C118" s="53">
        <f>C115*'(ne pas modifier) BDD_REF'!$B$206 + (C116+C117)*'(ne pas modifier) BDD_REF'!$B$207</f>
        <v>0.996</v>
      </c>
      <c r="D118" s="54">
        <f>D115*'(ne pas modifier) BDD_REF'!$B$206 + (D116+D117)*'(ne pas modifier) BDD_REF'!$B$207</f>
        <v>0.996</v>
      </c>
      <c r="E118" s="54">
        <f>E115*'(ne pas modifier) BDD_REF'!$B$206 + (E116+E117)*'(ne pas modifier) BDD_REF'!$B$207</f>
        <v>0.996</v>
      </c>
      <c r="F118" s="51">
        <f>F115*'(ne pas modifier) BDD_REF'!$B$206 + (F116+F117)*'(ne pas modifier) BDD_REF'!$B$207</f>
        <v>0</v>
      </c>
      <c r="G118" s="51">
        <f>G115*'(ne pas modifier) BDD_REF'!$B$206 + (G116+G117)*'(ne pas modifier) BDD_REF'!$B$207</f>
        <v>0</v>
      </c>
      <c r="H118" s="51">
        <f>H115*'(ne pas modifier) BDD_REF'!$B$206 + (H116+H117)*'(ne pas modifier) BDD_REF'!$B$207</f>
        <v>0</v>
      </c>
      <c r="I118" s="51">
        <f>I115*'(ne pas modifier) BDD_REF'!$B$206 + (I116+I117)*'(ne pas modifier) BDD_REF'!$B$207</f>
        <v>0</v>
      </c>
      <c r="J118" s="51">
        <f>J115*'(ne pas modifier) BDD_REF'!$B$206 + (J116+J117)*'(ne pas modifier) BDD_REF'!$B$207</f>
        <v>0</v>
      </c>
      <c r="K118" s="51">
        <f>K115*'(ne pas modifier) BDD_REF'!$B$206 + (K116+K117)*'(ne pas modifier) BDD_REF'!$B$207</f>
        <v>0</v>
      </c>
      <c r="L118" s="51">
        <f>L115*'(ne pas modifier) BDD_REF'!$B$206 + (L116+L117)*'(ne pas modifier) BDD_REF'!$B$207</f>
        <v>0</v>
      </c>
      <c r="M118" s="51">
        <f t="shared" si="0"/>
        <v>2.988</v>
      </c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5.75" customHeight="1" x14ac:dyDescent="0.2">
      <c r="A119" s="1"/>
      <c r="B119" s="52" t="s">
        <v>68</v>
      </c>
      <c r="C119" s="53">
        <f>((C115*'(ne pas modifier) BDD_REF'!$B$219)+('RECeff + REIamont (2)'!C116+'RECeff + REIamont (2)'!C117)*'(ne pas modifier) BDD_REF'!$B$220)*'(ne pas modifier) BDD_REF'!$B$208</f>
        <v>0.1191</v>
      </c>
      <c r="D119" s="54">
        <f>((D115*'(ne pas modifier) BDD_REF'!$B$219)+('RECeff + REIamont (2)'!D116+'RECeff + REIamont (2)'!D117)*'(ne pas modifier) BDD_REF'!$B$220)*'(ne pas modifier) BDD_REF'!$B$208</f>
        <v>0.1191</v>
      </c>
      <c r="E119" s="54">
        <f>((E115*'(ne pas modifier) BDD_REF'!$B$219)+('RECeff + REIamont (2)'!E116+'RECeff + REIamont (2)'!E117)*'(ne pas modifier) BDD_REF'!$B$220)*'(ne pas modifier) BDD_REF'!$B$208</f>
        <v>0.1191</v>
      </c>
      <c r="F119" s="51">
        <f>((F115*'(ne pas modifier) BDD_REF'!$B$219)+('RECeff + REIamont (2)'!F116+'RECeff + REIamont (2)'!F117)*'(ne pas modifier) BDD_REF'!$B$220)*'(ne pas modifier) BDD_REF'!$B$208</f>
        <v>0</v>
      </c>
      <c r="G119" s="51">
        <f>((G115*'(ne pas modifier) BDD_REF'!$B$219)+('RECeff + REIamont (2)'!G116+'RECeff + REIamont (2)'!G117)*'(ne pas modifier) BDD_REF'!$B$220)*'(ne pas modifier) BDD_REF'!$B$208</f>
        <v>0</v>
      </c>
      <c r="H119" s="51">
        <f>((H115*'(ne pas modifier) BDD_REF'!$B$219)+('RECeff + REIamont (2)'!H116+'RECeff + REIamont (2)'!H117)*'(ne pas modifier) BDD_REF'!$B$220)*'(ne pas modifier) BDD_REF'!$B$208</f>
        <v>0</v>
      </c>
      <c r="I119" s="51">
        <f>((I115*'(ne pas modifier) BDD_REF'!$B$219)+('RECeff + REIamont (2)'!I116+'RECeff + REIamont (2)'!I117)*'(ne pas modifier) BDD_REF'!$B$220)*'(ne pas modifier) BDD_REF'!$B$208</f>
        <v>0</v>
      </c>
      <c r="J119" s="51">
        <f>((J115*'(ne pas modifier) BDD_REF'!$B$219)+('RECeff + REIamont (2)'!J116+'RECeff + REIamont (2)'!J117)*'(ne pas modifier) BDD_REF'!$B$220)*'(ne pas modifier) BDD_REF'!$B$208</f>
        <v>0</v>
      </c>
      <c r="K119" s="51">
        <f>((K115*'(ne pas modifier) BDD_REF'!$B$219)+('RECeff + REIamont (2)'!K116+'RECeff + REIamont (2)'!K117)*'(ne pas modifier) BDD_REF'!$B$220)*'(ne pas modifier) BDD_REF'!$B$208</f>
        <v>0</v>
      </c>
      <c r="L119" s="51">
        <f>((L115*'(ne pas modifier) BDD_REF'!$B$219)+('RECeff + REIamont (2)'!L116+'RECeff + REIamont (2)'!L117)*'(ne pas modifier) BDD_REF'!$B$220)*'(ne pas modifier) BDD_REF'!$B$208</f>
        <v>0</v>
      </c>
      <c r="M119" s="51">
        <f t="shared" si="0"/>
        <v>0.35730000000000001</v>
      </c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5.75" customHeight="1" x14ac:dyDescent="0.2">
      <c r="A120" s="1"/>
      <c r="B120" s="52" t="s">
        <v>69</v>
      </c>
      <c r="C120" s="53">
        <f>(C115+C116+C117)*'(ne pas modifier) BDD_REF'!$B$221*'(ne pas modifier) BDD_REF'!$B$209</f>
        <v>0.21383999999999997</v>
      </c>
      <c r="D120" s="54">
        <f>(D115+D116+D117)*'(ne pas modifier) BDD_REF'!$B$221*'(ne pas modifier) BDD_REF'!$B$209</f>
        <v>0.21383999999999997</v>
      </c>
      <c r="E120" s="54">
        <f>(E115+E116+E117)*'(ne pas modifier) BDD_REF'!$B$221*'(ne pas modifier) BDD_REF'!$B$209</f>
        <v>0.21383999999999997</v>
      </c>
      <c r="F120" s="51">
        <f>(F115+F116+F117)*'(ne pas modifier) BDD_REF'!$B$221*'(ne pas modifier) BDD_REF'!$B$209</f>
        <v>0</v>
      </c>
      <c r="G120" s="51">
        <f>(G115+G116+G117)*'(ne pas modifier) BDD_REF'!$B$221*'(ne pas modifier) BDD_REF'!$B$209</f>
        <v>0</v>
      </c>
      <c r="H120" s="51">
        <f>(H115+H116+H117)*'(ne pas modifier) BDD_REF'!$B$221*'(ne pas modifier) BDD_REF'!$B$209</f>
        <v>0</v>
      </c>
      <c r="I120" s="51">
        <f>(I115+I116+I117)*'(ne pas modifier) BDD_REF'!$B$221*'(ne pas modifier) BDD_REF'!$B$209</f>
        <v>0</v>
      </c>
      <c r="J120" s="51">
        <f>(J115+J116+J117)*'(ne pas modifier) BDD_REF'!$B$221*'(ne pas modifier) BDD_REF'!$B$209</f>
        <v>0</v>
      </c>
      <c r="K120" s="51">
        <f>(K115+K116+K117)*'(ne pas modifier) BDD_REF'!$B$221*'(ne pas modifier) BDD_REF'!$B$209</f>
        <v>0</v>
      </c>
      <c r="L120" s="51">
        <f>(L115+L116+L117)*'(ne pas modifier) BDD_REF'!$B$221*'(ne pas modifier) BDD_REF'!$B$209</f>
        <v>0</v>
      </c>
      <c r="M120" s="51">
        <f t="shared" si="0"/>
        <v>0.64151999999999987</v>
      </c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5.75" customHeight="1" x14ac:dyDescent="0.2">
      <c r="A121" s="1"/>
      <c r="B121" s="35" t="s">
        <v>70</v>
      </c>
      <c r="C121" s="16">
        <v>0</v>
      </c>
      <c r="D121" s="17">
        <v>0</v>
      </c>
      <c r="E121" s="17">
        <v>0</v>
      </c>
      <c r="F121" s="11"/>
      <c r="G121" s="11"/>
      <c r="H121" s="11"/>
      <c r="I121" s="11"/>
      <c r="J121" s="11"/>
      <c r="K121" s="11"/>
      <c r="L121" s="11"/>
      <c r="M121" s="51">
        <f t="shared" si="0"/>
        <v>0</v>
      </c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5.75" customHeight="1" x14ac:dyDescent="0.2">
      <c r="A122" s="1"/>
      <c r="B122" s="35" t="s">
        <v>71</v>
      </c>
      <c r="C122" s="16">
        <v>193.5</v>
      </c>
      <c r="D122" s="17">
        <v>193.5</v>
      </c>
      <c r="E122" s="17">
        <v>193.5</v>
      </c>
      <c r="F122" s="11"/>
      <c r="G122" s="11"/>
      <c r="H122" s="11"/>
      <c r="I122" s="11"/>
      <c r="J122" s="11"/>
      <c r="K122" s="11"/>
      <c r="L122" s="11"/>
      <c r="M122" s="51">
        <f t="shared" si="0"/>
        <v>580.5</v>
      </c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5.75" customHeight="1" x14ac:dyDescent="0.2">
      <c r="A123" s="1"/>
      <c r="B123" s="35" t="s">
        <v>72</v>
      </c>
      <c r="C123" s="16">
        <v>0</v>
      </c>
      <c r="D123" s="17">
        <v>0</v>
      </c>
      <c r="E123" s="17">
        <v>0</v>
      </c>
      <c r="F123" s="11"/>
      <c r="G123" s="11"/>
      <c r="H123" s="11"/>
      <c r="I123" s="11"/>
      <c r="J123" s="11"/>
      <c r="K123" s="11"/>
      <c r="L123" s="11"/>
      <c r="M123" s="51">
        <f t="shared" si="0"/>
        <v>0</v>
      </c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5.75" customHeight="1" x14ac:dyDescent="0.2">
      <c r="A124" s="1"/>
      <c r="B124" s="35" t="s">
        <v>73</v>
      </c>
      <c r="C124" s="16">
        <v>0</v>
      </c>
      <c r="D124" s="17">
        <v>0</v>
      </c>
      <c r="E124" s="17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51">
        <f t="shared" si="0"/>
        <v>0</v>
      </c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5.75" customHeight="1" x14ac:dyDescent="0.2">
      <c r="A125" s="1"/>
      <c r="B125" s="35" t="s">
        <v>74</v>
      </c>
      <c r="C125" s="16">
        <v>0</v>
      </c>
      <c r="D125" s="17">
        <v>0</v>
      </c>
      <c r="E125" s="17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51">
        <f t="shared" si="0"/>
        <v>0</v>
      </c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5.75" customHeight="1" x14ac:dyDescent="0.2">
      <c r="A126" s="1"/>
      <c r="B126" s="35" t="s">
        <v>75</v>
      </c>
      <c r="C126" s="16">
        <v>0</v>
      </c>
      <c r="D126" s="17">
        <v>0</v>
      </c>
      <c r="E126" s="17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51">
        <f t="shared" si="0"/>
        <v>0</v>
      </c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5.75" customHeight="1" x14ac:dyDescent="0.2">
      <c r="A127" s="1"/>
      <c r="B127" s="8" t="s">
        <v>76</v>
      </c>
      <c r="C127" s="53">
        <f>(C121*'(ne pas modifier) BDD_REF'!$C$224+'RECeff + REIamont (2)'!C122*'(ne pas modifier) BDD_REF'!$C$225+'RECeff + REIamont (2)'!C123*'(ne pas modifier) BDD_REF'!$C$226+'RECeff + REIamont (2)'!C124*'(ne pas modifier) BDD_REF'!$C$227+'RECeff + REIamont (2)'!C125*'(ne pas modifier) BDD_REF'!$C$228+'RECeff + REIamont (2)'!C126*'(ne pas modifier) BDD_REF'!$C$229)/1000</f>
        <v>0.59423849999999989</v>
      </c>
      <c r="D127" s="54">
        <f>(D121*'(ne pas modifier) BDD_REF'!$C$224+'RECeff + REIamont (2)'!D122*'(ne pas modifier) BDD_REF'!$C$225+'RECeff + REIamont (2)'!D123*'(ne pas modifier) BDD_REF'!$C$226+'RECeff + REIamont (2)'!D124*'(ne pas modifier) BDD_REF'!$C$227+'RECeff + REIamont (2)'!D125*'(ne pas modifier) BDD_REF'!$C$228+'RECeff + REIamont (2)'!D126*'(ne pas modifier) BDD_REF'!$C$229)/1000</f>
        <v>0.59423849999999989</v>
      </c>
      <c r="E127" s="54">
        <f>(E121*'(ne pas modifier) BDD_REF'!$C$224+'RECeff + REIamont (2)'!E122*'(ne pas modifier) BDD_REF'!$C$225+'RECeff + REIamont (2)'!E123*'(ne pas modifier) BDD_REF'!$C$226+'RECeff + REIamont (2)'!E124*'(ne pas modifier) BDD_REF'!$C$227+'RECeff + REIamont (2)'!E125*'(ne pas modifier) BDD_REF'!$C$228+'RECeff + REIamont (2)'!E126*'(ne pas modifier) BDD_REF'!$C$229)/1000</f>
        <v>0.59423849999999989</v>
      </c>
      <c r="F127" s="51">
        <f>(F121*'(ne pas modifier) BDD_REF'!$C$224+'RECeff + REIamont (2)'!F122*'(ne pas modifier) BDD_REF'!$C$225+'RECeff + REIamont (2)'!F123*'(ne pas modifier) BDD_REF'!$C$226+'RECeff + REIamont (2)'!F124*'(ne pas modifier) BDD_REF'!$C$227+'RECeff + REIamont (2)'!F125*'(ne pas modifier) BDD_REF'!$C$228+'RECeff + REIamont (2)'!F126*'(ne pas modifier) BDD_REF'!$C$229)/1000</f>
        <v>0</v>
      </c>
      <c r="G127" s="51">
        <f>(G121*'(ne pas modifier) BDD_REF'!$C$224+'RECeff + REIamont (2)'!G122*'(ne pas modifier) BDD_REF'!$C$225+'RECeff + REIamont (2)'!G123*'(ne pas modifier) BDD_REF'!$C$226+'RECeff + REIamont (2)'!G124*'(ne pas modifier) BDD_REF'!$C$227+'RECeff + REIamont (2)'!G125*'(ne pas modifier) BDD_REF'!$C$228+'RECeff + REIamont (2)'!G126*'(ne pas modifier) BDD_REF'!$C$229)/1000</f>
        <v>0</v>
      </c>
      <c r="H127" s="51">
        <f>(H121*'(ne pas modifier) BDD_REF'!$C$224+'RECeff + REIamont (2)'!H122*'(ne pas modifier) BDD_REF'!$C$225+'RECeff + REIamont (2)'!H123*'(ne pas modifier) BDD_REF'!$C$226+'RECeff + REIamont (2)'!H124*'(ne pas modifier) BDD_REF'!$C$227+'RECeff + REIamont (2)'!H125*'(ne pas modifier) BDD_REF'!$C$228+'RECeff + REIamont (2)'!H126*'(ne pas modifier) BDD_REF'!$C$229)/1000</f>
        <v>0</v>
      </c>
      <c r="I127" s="51">
        <f>(I121*'(ne pas modifier) BDD_REF'!$C$224+'RECeff + REIamont (2)'!I122*'(ne pas modifier) BDD_REF'!$C$225+'RECeff + REIamont (2)'!I123*'(ne pas modifier) BDD_REF'!$C$226+'RECeff + REIamont (2)'!I124*'(ne pas modifier) BDD_REF'!$C$227+'RECeff + REIamont (2)'!I125*'(ne pas modifier) BDD_REF'!$C$228+'RECeff + REIamont (2)'!I126*'(ne pas modifier) BDD_REF'!$C$229)/1000</f>
        <v>0</v>
      </c>
      <c r="J127" s="51">
        <f>(J121*'(ne pas modifier) BDD_REF'!$C$224+'RECeff + REIamont (2)'!J122*'(ne pas modifier) BDD_REF'!$C$225+'RECeff + REIamont (2)'!J123*'(ne pas modifier) BDD_REF'!$C$226+'RECeff + REIamont (2)'!J124*'(ne pas modifier) BDD_REF'!$C$227+'RECeff + REIamont (2)'!J125*'(ne pas modifier) BDD_REF'!$C$228+'RECeff + REIamont (2)'!J126*'(ne pas modifier) BDD_REF'!$C$229)/1000</f>
        <v>0</v>
      </c>
      <c r="K127" s="51">
        <f>(K121*'(ne pas modifier) BDD_REF'!$C$224+'RECeff + REIamont (2)'!K122*'(ne pas modifier) BDD_REF'!$C$225+'RECeff + REIamont (2)'!K123*'(ne pas modifier) BDD_REF'!$C$226+'RECeff + REIamont (2)'!K124*'(ne pas modifier) BDD_REF'!$C$227+'RECeff + REIamont (2)'!K125*'(ne pas modifier) BDD_REF'!$C$228+'RECeff + REIamont (2)'!K126*'(ne pas modifier) BDD_REF'!$C$229)/1000</f>
        <v>0</v>
      </c>
      <c r="L127" s="51">
        <f>(L121*'(ne pas modifier) BDD_REF'!$C$224+'RECeff + REIamont (2)'!L122*'(ne pas modifier) BDD_REF'!$C$225+'RECeff + REIamont (2)'!L123*'(ne pas modifier) BDD_REF'!$C$226+'RECeff + REIamont (2)'!L124*'(ne pas modifier) BDD_REF'!$C$227+'RECeff + REIamont (2)'!L125*'(ne pas modifier) BDD_REF'!$C$228+'RECeff + REIamont (2)'!L126*'(ne pas modifier) BDD_REF'!$C$229)/1000</f>
        <v>0</v>
      </c>
      <c r="M127" s="51">
        <f t="shared" si="0"/>
        <v>1.7827154999999997</v>
      </c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5.75" customHeight="1" x14ac:dyDescent="0.2">
      <c r="A128" s="1"/>
      <c r="B128" s="35" t="s">
        <v>77</v>
      </c>
      <c r="C128" s="16">
        <v>2000</v>
      </c>
      <c r="D128" s="17">
        <v>2000</v>
      </c>
      <c r="E128" s="17">
        <v>2000</v>
      </c>
      <c r="F128" s="11"/>
      <c r="G128" s="11"/>
      <c r="H128" s="11"/>
      <c r="I128" s="11"/>
      <c r="J128" s="11"/>
      <c r="K128" s="11"/>
      <c r="L128" s="11"/>
      <c r="M128" s="51">
        <f t="shared" si="0"/>
        <v>6000</v>
      </c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5.75" customHeight="1" x14ac:dyDescent="0.2">
      <c r="A129" s="1"/>
      <c r="B129" s="8" t="s">
        <v>78</v>
      </c>
      <c r="C129" s="53">
        <f>(C128*'(ne pas modifier) BDD_REF'!$B$210)/1000</f>
        <v>0.114</v>
      </c>
      <c r="D129" s="54">
        <f>(D128*'(ne pas modifier) BDD_REF'!$B$210)/1000</f>
        <v>0.114</v>
      </c>
      <c r="E129" s="54">
        <f>(E128*'(ne pas modifier) BDD_REF'!$B$210)/1000</f>
        <v>0.114</v>
      </c>
      <c r="F129" s="51">
        <f>(F128*'(ne pas modifier) BDD_REF'!$B$210)/1000</f>
        <v>0</v>
      </c>
      <c r="G129" s="51">
        <f>(G128*'(ne pas modifier) BDD_REF'!$B$210)/1000</f>
        <v>0</v>
      </c>
      <c r="H129" s="51">
        <f>(H128*'(ne pas modifier) BDD_REF'!$B$210)/1000</f>
        <v>0</v>
      </c>
      <c r="I129" s="51">
        <f>(I128*'(ne pas modifier) BDD_REF'!$B$210)/1000</f>
        <v>0</v>
      </c>
      <c r="J129" s="51">
        <f>(J128*'(ne pas modifier) BDD_REF'!$B$210)/1000</f>
        <v>0</v>
      </c>
      <c r="K129" s="51">
        <f>(K128*'(ne pas modifier) BDD_REF'!$B$210)/1000</f>
        <v>0</v>
      </c>
      <c r="L129" s="51">
        <f>(L128*'(ne pas modifier) BDD_REF'!$B$210)/1000</f>
        <v>0</v>
      </c>
      <c r="M129" s="51">
        <f t="shared" si="0"/>
        <v>0.34200000000000003</v>
      </c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5.75" customHeight="1" x14ac:dyDescent="0.2">
      <c r="A130" s="55"/>
      <c r="B130" s="52" t="s">
        <v>79</v>
      </c>
      <c r="C130" s="56">
        <f t="shared" ref="C130:L130" si="9">C127+C129</f>
        <v>0.70823849999999988</v>
      </c>
      <c r="D130" s="57">
        <f t="shared" si="9"/>
        <v>0.70823849999999988</v>
      </c>
      <c r="E130" s="57">
        <f t="shared" si="9"/>
        <v>0.70823849999999988</v>
      </c>
      <c r="F130" s="58">
        <f t="shared" si="9"/>
        <v>0</v>
      </c>
      <c r="G130" s="58">
        <f t="shared" si="9"/>
        <v>0</v>
      </c>
      <c r="H130" s="58">
        <f t="shared" si="9"/>
        <v>0</v>
      </c>
      <c r="I130" s="58">
        <f t="shared" si="9"/>
        <v>0</v>
      </c>
      <c r="J130" s="58">
        <f t="shared" si="9"/>
        <v>0</v>
      </c>
      <c r="K130" s="58">
        <f t="shared" si="9"/>
        <v>0</v>
      </c>
      <c r="L130" s="58">
        <f t="shared" si="9"/>
        <v>0</v>
      </c>
      <c r="M130" s="51">
        <f t="shared" si="0"/>
        <v>2.1247154999999998</v>
      </c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</row>
    <row r="131" spans="1:33" ht="15.75" customHeight="1" x14ac:dyDescent="0.2">
      <c r="A131" s="1"/>
      <c r="B131" s="35" t="s">
        <v>80</v>
      </c>
      <c r="C131" s="16">
        <v>46</v>
      </c>
      <c r="D131" s="17">
        <v>46</v>
      </c>
      <c r="E131" s="17">
        <v>46</v>
      </c>
      <c r="F131" s="11"/>
      <c r="G131" s="11"/>
      <c r="H131" s="11"/>
      <c r="I131" s="11"/>
      <c r="J131" s="11"/>
      <c r="K131" s="11"/>
      <c r="L131" s="11"/>
      <c r="M131" s="51">
        <f t="shared" si="0"/>
        <v>138</v>
      </c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5.75" customHeight="1" x14ac:dyDescent="0.2">
      <c r="A132" s="1"/>
      <c r="B132" s="35" t="s">
        <v>81</v>
      </c>
      <c r="C132" s="16">
        <v>75</v>
      </c>
      <c r="D132" s="17">
        <v>75</v>
      </c>
      <c r="E132" s="17">
        <v>75</v>
      </c>
      <c r="F132" s="11"/>
      <c r="G132" s="11"/>
      <c r="H132" s="11"/>
      <c r="I132" s="11"/>
      <c r="J132" s="11"/>
      <c r="K132" s="11"/>
      <c r="L132" s="11"/>
      <c r="M132" s="51">
        <f t="shared" si="0"/>
        <v>225</v>
      </c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5.75" customHeight="1" x14ac:dyDescent="0.2">
      <c r="A133" s="1"/>
      <c r="B133" s="8" t="s">
        <v>82</v>
      </c>
      <c r="C133" s="53">
        <f>(C115*'(ne pas modifier) BDD_REF'!$B$211+'RECeff + REIamont (2)'!C131*'(ne pas modifier) BDD_REF'!$B$212+'RECeff + REIamont (2)'!C132*'(ne pas modifier) BDD_REF'!$B$213)/1000</f>
        <v>0.34995999999999999</v>
      </c>
      <c r="D133" s="54">
        <f>(D115*'(ne pas modifier) BDD_REF'!$B$211+'RECeff + REIamont (2)'!D131*'(ne pas modifier) BDD_REF'!$B$212+'RECeff + REIamont (2)'!D132*'(ne pas modifier) BDD_REF'!$B$213)/1000</f>
        <v>0.34995999999999999</v>
      </c>
      <c r="E133" s="54">
        <f>(E115*'(ne pas modifier) BDD_REF'!$B$211+'RECeff + REIamont (2)'!E131*'(ne pas modifier) BDD_REF'!$B$212+'RECeff + REIamont (2)'!E132*'(ne pas modifier) BDD_REF'!$B$213)/1000</f>
        <v>0.34995999999999999</v>
      </c>
      <c r="F133" s="51">
        <f>(F115*'(ne pas modifier) BDD_REF'!$B$211+'RECeff + REIamont (2)'!F131*'(ne pas modifier) BDD_REF'!$B$212+'RECeff + REIamont (2)'!F132*'(ne pas modifier) BDD_REF'!$B$213)/1000</f>
        <v>0</v>
      </c>
      <c r="G133" s="51">
        <f>(G115*'(ne pas modifier) BDD_REF'!$B$211+'RECeff + REIamont (2)'!G131*'(ne pas modifier) BDD_REF'!$B$212+'RECeff + REIamont (2)'!G132*'(ne pas modifier) BDD_REF'!$B$213)/1000</f>
        <v>0</v>
      </c>
      <c r="H133" s="51">
        <f>(H115*'(ne pas modifier) BDD_REF'!$B$211+'RECeff + REIamont (2)'!H131*'(ne pas modifier) BDD_REF'!$B$212+'RECeff + REIamont (2)'!H132*'(ne pas modifier) BDD_REF'!$B$213)/1000</f>
        <v>0</v>
      </c>
      <c r="I133" s="51">
        <f>(I115*'(ne pas modifier) BDD_REF'!$B$211+'RECeff + REIamont (2)'!I131*'(ne pas modifier) BDD_REF'!$B$212+'RECeff + REIamont (2)'!I132*'(ne pas modifier) BDD_REF'!$B$213)/1000</f>
        <v>0</v>
      </c>
      <c r="J133" s="51">
        <f>(J115*'(ne pas modifier) BDD_REF'!$B$211+'RECeff + REIamont (2)'!J131*'(ne pas modifier) BDD_REF'!$B$212+'RECeff + REIamont (2)'!J132*'(ne pas modifier) BDD_REF'!$B$213)/1000</f>
        <v>0</v>
      </c>
      <c r="K133" s="51">
        <f>(K115*'(ne pas modifier) BDD_REF'!$B$211+'RECeff + REIamont (2)'!K131*'(ne pas modifier) BDD_REF'!$B$212+'RECeff + REIamont (2)'!K132*'(ne pas modifier) BDD_REF'!$B$213)/1000</f>
        <v>0</v>
      </c>
      <c r="L133" s="51">
        <f>(L115*'(ne pas modifier) BDD_REF'!$B$211+'RECeff + REIamont (2)'!L131*'(ne pas modifier) BDD_REF'!$B$212+'RECeff + REIamont (2)'!L132*'(ne pas modifier) BDD_REF'!$B$213)/1000</f>
        <v>0</v>
      </c>
      <c r="M133" s="51">
        <f t="shared" si="0"/>
        <v>1.0498799999999999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5.75" hidden="1" customHeight="1" x14ac:dyDescent="0.2">
      <c r="A134" s="1" t="s">
        <v>93</v>
      </c>
      <c r="B134" s="8" t="s">
        <v>83</v>
      </c>
      <c r="C134" s="59"/>
      <c r="D134" s="60"/>
      <c r="E134" s="60"/>
      <c r="F134" s="51"/>
      <c r="G134" s="51"/>
      <c r="H134" s="51"/>
      <c r="I134" s="51"/>
      <c r="J134" s="51"/>
      <c r="K134" s="51"/>
      <c r="L134" s="51"/>
      <c r="M134" s="51">
        <f t="shared" si="0"/>
        <v>0</v>
      </c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5.75" customHeight="1" x14ac:dyDescent="0.2">
      <c r="A135" s="1"/>
      <c r="B135" s="35" t="s">
        <v>85</v>
      </c>
      <c r="C135" s="18"/>
      <c r="D135" s="19"/>
      <c r="E135" s="19"/>
      <c r="F135" s="11"/>
      <c r="G135" s="11"/>
      <c r="H135" s="11"/>
      <c r="I135" s="11"/>
      <c r="J135" s="11"/>
      <c r="K135" s="11"/>
      <c r="L135" s="11"/>
      <c r="M135" s="51">
        <f t="shared" si="0"/>
        <v>0</v>
      </c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5.75" customHeight="1" x14ac:dyDescent="0.2">
      <c r="A136" s="1"/>
      <c r="B136" s="35" t="s">
        <v>86</v>
      </c>
      <c r="C136" s="18"/>
      <c r="D136" s="19"/>
      <c r="E136" s="19"/>
      <c r="F136" s="11"/>
      <c r="G136" s="11"/>
      <c r="H136" s="11"/>
      <c r="I136" s="11"/>
      <c r="J136" s="11"/>
      <c r="K136" s="11"/>
      <c r="L136" s="11"/>
      <c r="M136" s="51">
        <f t="shared" si="0"/>
        <v>0</v>
      </c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5.75" customHeight="1" x14ac:dyDescent="0.2">
      <c r="A137" s="1"/>
      <c r="B137" s="35" t="s">
        <v>87</v>
      </c>
      <c r="C137" s="18"/>
      <c r="D137" s="19"/>
      <c r="E137" s="19"/>
      <c r="F137" s="11"/>
      <c r="G137" s="11"/>
      <c r="H137" s="11"/>
      <c r="I137" s="11"/>
      <c r="J137" s="11"/>
      <c r="K137" s="11"/>
      <c r="L137" s="11"/>
      <c r="M137" s="51">
        <f t="shared" si="0"/>
        <v>0</v>
      </c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5.75" customHeight="1" x14ac:dyDescent="0.2">
      <c r="A138" s="1"/>
      <c r="B138" s="35" t="s">
        <v>88</v>
      </c>
      <c r="C138" s="18"/>
      <c r="D138" s="19"/>
      <c r="E138" s="19"/>
      <c r="F138" s="11"/>
      <c r="G138" s="11"/>
      <c r="H138" s="11"/>
      <c r="I138" s="11"/>
      <c r="J138" s="11"/>
      <c r="K138" s="11"/>
      <c r="L138" s="11"/>
      <c r="M138" s="51">
        <f t="shared" si="0"/>
        <v>0</v>
      </c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5.75" customHeight="1" x14ac:dyDescent="0.2">
      <c r="A139" s="1"/>
      <c r="B139" s="8" t="s">
        <v>89</v>
      </c>
      <c r="C139" s="53">
        <f>(C135*'(ne pas modifier) BDD_REF'!$B$214+'RECeff + REIamont (2)'!C136*'(ne pas modifier) BDD_REF'!$B$215+'RECeff + REIamont (2)'!C137*'(ne pas modifier) BDD_REF'!$B$216+'RECeff + REIamont (2)'!C138*'(ne pas modifier) BDD_REF'!$B$217)/1000</f>
        <v>0</v>
      </c>
      <c r="D139" s="54">
        <f>(D135*'(ne pas modifier) BDD_REF'!$B$214+'RECeff + REIamont (2)'!D136*'(ne pas modifier) BDD_REF'!$B$215+'RECeff + REIamont (2)'!D137*'(ne pas modifier) BDD_REF'!$B$216+'RECeff + REIamont (2)'!D138*'(ne pas modifier) BDD_REF'!$B$217)/1000</f>
        <v>0</v>
      </c>
      <c r="E139" s="54">
        <f>(E135*'(ne pas modifier) BDD_REF'!$B$214+'RECeff + REIamont (2)'!E136*'(ne pas modifier) BDD_REF'!$B$215+'RECeff + REIamont (2)'!E137*'(ne pas modifier) BDD_REF'!$B$216+'RECeff + REIamont (2)'!E138*'(ne pas modifier) BDD_REF'!$B$217)/1000</f>
        <v>0</v>
      </c>
      <c r="F139" s="51">
        <f>(F135*'(ne pas modifier) BDD_REF'!$B$214+'RECeff + REIamont (2)'!F136*'(ne pas modifier) BDD_REF'!$B$215+'RECeff + REIamont (2)'!F137*'(ne pas modifier) BDD_REF'!$B$216+'RECeff + REIamont (2)'!F138*'(ne pas modifier) BDD_REF'!$B$217)/1000</f>
        <v>0</v>
      </c>
      <c r="G139" s="51">
        <f>(G135*'(ne pas modifier) BDD_REF'!$B$214+'RECeff + REIamont (2)'!G136*'(ne pas modifier) BDD_REF'!$B$215+'RECeff + REIamont (2)'!G137*'(ne pas modifier) BDD_REF'!$B$216+'RECeff + REIamont (2)'!G138*'(ne pas modifier) BDD_REF'!$B$217)/1000</f>
        <v>0</v>
      </c>
      <c r="H139" s="51">
        <f>(H135*'(ne pas modifier) BDD_REF'!$B$214+'RECeff + REIamont (2)'!H136*'(ne pas modifier) BDD_REF'!$B$215+'RECeff + REIamont (2)'!H137*'(ne pas modifier) BDD_REF'!$B$216+'RECeff + REIamont (2)'!H138*'(ne pas modifier) BDD_REF'!$B$217)/1000</f>
        <v>0</v>
      </c>
      <c r="I139" s="51">
        <f>(I135*'(ne pas modifier) BDD_REF'!$B$214+'RECeff + REIamont (2)'!I136*'(ne pas modifier) BDD_REF'!$B$215+'RECeff + REIamont (2)'!I137*'(ne pas modifier) BDD_REF'!$B$216+'RECeff + REIamont (2)'!I138*'(ne pas modifier) BDD_REF'!$B$217)/1000</f>
        <v>0</v>
      </c>
      <c r="J139" s="51">
        <f>(J135*'(ne pas modifier) BDD_REF'!$B$214+'RECeff + REIamont (2)'!J136*'(ne pas modifier) BDD_REF'!$B$215+'RECeff + REIamont (2)'!J137*'(ne pas modifier) BDD_REF'!$B$216+'RECeff + REIamont (2)'!J138*'(ne pas modifier) BDD_REF'!$B$217)/1000</f>
        <v>0</v>
      </c>
      <c r="K139" s="51">
        <f>(K135*'(ne pas modifier) BDD_REF'!$B$214+'RECeff + REIamont (2)'!K136*'(ne pas modifier) BDD_REF'!$B$215+'RECeff + REIamont (2)'!K137*'(ne pas modifier) BDD_REF'!$B$216+'RECeff + REIamont (2)'!K138*'(ne pas modifier) BDD_REF'!$B$217)/1000</f>
        <v>0</v>
      </c>
      <c r="L139" s="51">
        <f>(L135*'(ne pas modifier) BDD_REF'!$B$214+'RECeff + REIamont (2)'!L136*'(ne pas modifier) BDD_REF'!$B$215+'RECeff + REIamont (2)'!L137*'(ne pas modifier) BDD_REF'!$B$216+'RECeff + REIamont (2)'!L138*'(ne pas modifier) BDD_REF'!$B$217)/1000</f>
        <v>0</v>
      </c>
      <c r="M139" s="51">
        <f t="shared" si="0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5.75" customHeight="1" x14ac:dyDescent="0.2">
      <c r="A140" s="55"/>
      <c r="B140" s="52" t="s">
        <v>90</v>
      </c>
      <c r="C140" s="56">
        <f t="shared" ref="C140:L140" si="10">C133+C134+C139</f>
        <v>0.34995999999999999</v>
      </c>
      <c r="D140" s="57">
        <f t="shared" si="10"/>
        <v>0.34995999999999999</v>
      </c>
      <c r="E140" s="57">
        <f t="shared" si="10"/>
        <v>0.34995999999999999</v>
      </c>
      <c r="F140" s="58">
        <f t="shared" si="10"/>
        <v>0</v>
      </c>
      <c r="G140" s="58">
        <f t="shared" si="10"/>
        <v>0</v>
      </c>
      <c r="H140" s="58">
        <f t="shared" si="10"/>
        <v>0</v>
      </c>
      <c r="I140" s="58">
        <f t="shared" si="10"/>
        <v>0</v>
      </c>
      <c r="J140" s="58">
        <f t="shared" si="10"/>
        <v>0</v>
      </c>
      <c r="K140" s="58">
        <f t="shared" si="10"/>
        <v>0</v>
      </c>
      <c r="L140" s="58">
        <f t="shared" si="10"/>
        <v>0</v>
      </c>
      <c r="M140" s="51">
        <f t="shared" si="0"/>
        <v>1.0498799999999999</v>
      </c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</row>
    <row r="141" spans="1:33" ht="15.75" customHeight="1" x14ac:dyDescent="0.2">
      <c r="A141" s="55"/>
      <c r="B141" s="62" t="s">
        <v>91</v>
      </c>
      <c r="C141" s="62">
        <f>((C118+C119+C120)/1000*44/28*'(ne pas modifier) BDD_REF'!$B$231)+'RECeff + REIamont (2)'!C130+'RECeff + REIamont (2)'!C140</f>
        <v>1.6116070857142857</v>
      </c>
      <c r="D141" s="62">
        <f>((D118+D119+D120)/1000*44/28*'(ne pas modifier) BDD_REF'!$B$231)+'RECeff + REIamont (2)'!D130+'RECeff + REIamont (2)'!D140</f>
        <v>1.6116070857142857</v>
      </c>
      <c r="E141" s="62">
        <f>((E118+E119+E120)/1000*44/28*'(ne pas modifier) BDD_REF'!$B$231)+'RECeff + REIamont (2)'!E130+'RECeff + REIamont (2)'!E140</f>
        <v>1.6116070857142857</v>
      </c>
      <c r="F141" s="62">
        <f>((F118+F119+F120)/1000*44/28*'(ne pas modifier) BDD_REF'!$B$231)+'RECeff + REIamont (2)'!F130+'RECeff + REIamont (2)'!F140</f>
        <v>0</v>
      </c>
      <c r="G141" s="62">
        <f>((G118+G119+G120)/1000*44/28*'(ne pas modifier) BDD_REF'!$B$231)+'RECeff + REIamont (2)'!G130+'RECeff + REIamont (2)'!G140</f>
        <v>0</v>
      </c>
      <c r="H141" s="62">
        <f>((H118+H119+H120)/1000*44/28*'(ne pas modifier) BDD_REF'!$B$231)+'RECeff + REIamont (2)'!H130+'RECeff + REIamont (2)'!H140</f>
        <v>0</v>
      </c>
      <c r="I141" s="62">
        <f>((I118+I119+I120)/1000*44/28*'(ne pas modifier) BDD_REF'!$B$231)+'RECeff + REIamont (2)'!I130+'RECeff + REIamont (2)'!I140</f>
        <v>0</v>
      </c>
      <c r="J141" s="62">
        <f>((J118+J119+J120)/1000*44/28*'(ne pas modifier) BDD_REF'!$B$231)+'RECeff + REIamont (2)'!J130+'RECeff + REIamont (2)'!J140</f>
        <v>0</v>
      </c>
      <c r="K141" s="62">
        <f>((K118+K119+K120)/1000*44/28*'(ne pas modifier) BDD_REF'!$B$231)+'RECeff + REIamont (2)'!K130+'RECeff + REIamont (2)'!K140</f>
        <v>0</v>
      </c>
      <c r="L141" s="62">
        <f>((L118+L119+L120)/1000*44/28*'(ne pas modifier) BDD_REF'!$B$231)+'RECeff + REIamont (2)'!L130+'RECeff + REIamont (2)'!L140</f>
        <v>0</v>
      </c>
      <c r="M141" s="62">
        <f t="shared" si="0"/>
        <v>4.834821257142857</v>
      </c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</row>
    <row r="142" spans="1:33" ht="15.75" customHeight="1" x14ac:dyDescent="0.2">
      <c r="A142" s="1"/>
      <c r="B142" s="65" t="s">
        <v>97</v>
      </c>
      <c r="C142" s="65">
        <f t="shared" ref="C142:L142" si="11">C33+C60+C87+C114+C141</f>
        <v>8.0580354285714293</v>
      </c>
      <c r="D142" s="65">
        <f t="shared" si="11"/>
        <v>8.0580354285714293</v>
      </c>
      <c r="E142" s="65">
        <f t="shared" si="11"/>
        <v>7.9380854285714282</v>
      </c>
      <c r="F142" s="65">
        <f t="shared" si="11"/>
        <v>0</v>
      </c>
      <c r="G142" s="65">
        <f t="shared" si="11"/>
        <v>0</v>
      </c>
      <c r="H142" s="65">
        <f t="shared" si="11"/>
        <v>0</v>
      </c>
      <c r="I142" s="65">
        <f t="shared" si="11"/>
        <v>0</v>
      </c>
      <c r="J142" s="65">
        <f t="shared" si="11"/>
        <v>0</v>
      </c>
      <c r="K142" s="65">
        <f t="shared" si="11"/>
        <v>0</v>
      </c>
      <c r="L142" s="65">
        <f t="shared" si="11"/>
        <v>0</v>
      </c>
      <c r="M142" s="65">
        <f t="shared" si="0"/>
        <v>24.054156285714285</v>
      </c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5.75" customHeight="1" x14ac:dyDescent="0.2">
      <c r="A143" s="1"/>
      <c r="B143" s="65" t="s">
        <v>98</v>
      </c>
      <c r="C143" s="65">
        <f t="shared" ref="C143:L143" si="12">(C142-C5*5)</f>
        <v>-6.2972369359752349</v>
      </c>
      <c r="D143" s="65">
        <f t="shared" si="12"/>
        <v>-6.2972369359752349</v>
      </c>
      <c r="E143" s="65">
        <f t="shared" si="12"/>
        <v>-6.417186935975236</v>
      </c>
      <c r="F143" s="65">
        <f t="shared" si="12"/>
        <v>0</v>
      </c>
      <c r="G143" s="65">
        <f t="shared" si="12"/>
        <v>0</v>
      </c>
      <c r="H143" s="65">
        <f t="shared" si="12"/>
        <v>0</v>
      </c>
      <c r="I143" s="65">
        <f t="shared" si="12"/>
        <v>0</v>
      </c>
      <c r="J143" s="65">
        <f t="shared" si="12"/>
        <v>0</v>
      </c>
      <c r="K143" s="65">
        <f t="shared" si="12"/>
        <v>0</v>
      </c>
      <c r="L143" s="65">
        <f t="shared" si="12"/>
        <v>0</v>
      </c>
      <c r="M143" s="65">
        <f t="shared" si="0"/>
        <v>-19.011660807925708</v>
      </c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5.75" customHeight="1" x14ac:dyDescent="0.2">
      <c r="A144" s="1"/>
      <c r="B144" s="66" t="s">
        <v>99</v>
      </c>
      <c r="C144" s="66">
        <f>C143*Eligibilité_projet!B8</f>
        <v>-29.534041229723854</v>
      </c>
      <c r="D144" s="66">
        <f>D143*Eligibilité_projet!C8</f>
        <v>-14.609589691462544</v>
      </c>
      <c r="E144" s="66">
        <f>E143*Eligibilité_projet!D8</f>
        <v>-1.2834373871950473</v>
      </c>
      <c r="F144" s="66">
        <f>F143*Eligibilité_projet!E8</f>
        <v>0</v>
      </c>
      <c r="G144" s="66">
        <f>G143*Eligibilité_projet!F8</f>
        <v>0</v>
      </c>
      <c r="H144" s="66">
        <f>H143*Eligibilité_projet!G8</f>
        <v>0</v>
      </c>
      <c r="I144" s="66">
        <f>I143*Eligibilité_projet!H8</f>
        <v>0</v>
      </c>
      <c r="J144" s="66">
        <f>J143*Eligibilité_projet!I8</f>
        <v>0</v>
      </c>
      <c r="K144" s="66">
        <f>K143*Eligibilité_projet!J8</f>
        <v>0</v>
      </c>
      <c r="L144" s="66">
        <f>L143*Eligibilité_projet!K8</f>
        <v>0</v>
      </c>
      <c r="M144" s="66">
        <f t="shared" si="0"/>
        <v>-45.42706830838145</v>
      </c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5.75" customHeight="1" x14ac:dyDescent="0.2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5.75" customHeight="1" x14ac:dyDescent="0.2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5.75" customHeight="1" x14ac:dyDescent="0.2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5.75" customHeight="1" x14ac:dyDescent="0.2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5.75" customHeight="1" x14ac:dyDescent="0.2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5.75" customHeight="1" x14ac:dyDescent="0.2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5.75" customHeight="1" x14ac:dyDescent="0.2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5.75" customHeight="1" x14ac:dyDescent="0.2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5.75" customHeight="1" x14ac:dyDescent="0.2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5.75" customHeight="1" x14ac:dyDescent="0.2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5.75" customHeight="1" x14ac:dyDescent="0.2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5.75" customHeight="1" x14ac:dyDescent="0.2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5.75" customHeight="1" x14ac:dyDescent="0.2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5.75" customHeight="1" x14ac:dyDescent="0.2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5.75" customHeight="1" x14ac:dyDescent="0.2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5.75" customHeight="1" x14ac:dyDescent="0.2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5.75" customHeight="1" x14ac:dyDescent="0.2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5.75" customHeight="1" x14ac:dyDescent="0.2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5.75" customHeight="1" x14ac:dyDescent="0.2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5.75" customHeight="1" x14ac:dyDescent="0.2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5.75" customHeight="1" x14ac:dyDescent="0.2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5.75" customHeight="1" x14ac:dyDescent="0.2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5.75" customHeight="1" x14ac:dyDescent="0.2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5.75" customHeight="1" x14ac:dyDescent="0.2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5.75" customHeight="1" x14ac:dyDescent="0.2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5.75" customHeight="1" x14ac:dyDescent="0.2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5.75" customHeight="1" x14ac:dyDescent="0.2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5.75" customHeight="1" x14ac:dyDescent="0.2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5.75" customHeight="1" x14ac:dyDescent="0.2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5.75" customHeight="1" x14ac:dyDescent="0.2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5.75" customHeight="1" x14ac:dyDescent="0.2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5.75" customHeight="1" x14ac:dyDescent="0.2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5.75" customHeight="1" x14ac:dyDescent="0.2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5.75" customHeight="1" x14ac:dyDescent="0.2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5.75" customHeight="1" x14ac:dyDescent="0.2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5.75" customHeight="1" x14ac:dyDescent="0.2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5.75" customHeight="1" x14ac:dyDescent="0.2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5.75" customHeight="1" x14ac:dyDescent="0.2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5.75" customHeight="1" x14ac:dyDescent="0.2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5.75" customHeight="1" x14ac:dyDescent="0.2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5.75" customHeight="1" x14ac:dyDescent="0.2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5.75" customHeight="1" x14ac:dyDescent="0.2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5.75" customHeight="1" x14ac:dyDescent="0.2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5.75" customHeight="1" x14ac:dyDescent="0.2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5.75" customHeight="1" x14ac:dyDescent="0.2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5.75" customHeight="1" x14ac:dyDescent="0.2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5.75" customHeight="1" x14ac:dyDescent="0.2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5.75" customHeight="1" x14ac:dyDescent="0.2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5.75" customHeight="1" x14ac:dyDescent="0.2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5.75" customHeight="1" x14ac:dyDescent="0.2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5.75" customHeight="1" x14ac:dyDescent="0.2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5.75" customHeight="1" x14ac:dyDescent="0.2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5.75" customHeight="1" x14ac:dyDescent="0.2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5.75" customHeight="1" x14ac:dyDescent="0.2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5.75" customHeight="1" x14ac:dyDescent="0.2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5.75" customHeight="1" x14ac:dyDescent="0.2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5.75" customHeight="1" x14ac:dyDescent="0.2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5.75" customHeight="1" x14ac:dyDescent="0.2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5.75" customHeight="1" x14ac:dyDescent="0.2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5.75" customHeight="1" x14ac:dyDescent="0.2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5.75" customHeight="1" x14ac:dyDescent="0.2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5.75" customHeight="1" x14ac:dyDescent="0.2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5.75" customHeight="1" x14ac:dyDescent="0.2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5.75" customHeight="1" x14ac:dyDescent="0.2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5.75" customHeight="1" x14ac:dyDescent="0.2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5.75" customHeight="1" x14ac:dyDescent="0.2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5.75" customHeight="1" x14ac:dyDescent="0.2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5.75" customHeight="1" x14ac:dyDescent="0.2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5.75" customHeight="1" x14ac:dyDescent="0.2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5.75" customHeight="1" x14ac:dyDescent="0.2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5.75" customHeight="1" x14ac:dyDescent="0.2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5.75" customHeight="1" x14ac:dyDescent="0.2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5.75" customHeight="1" x14ac:dyDescent="0.2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5.75" customHeight="1" x14ac:dyDescent="0.2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5.75" customHeight="1" x14ac:dyDescent="0.2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5.75" customHeight="1" x14ac:dyDescent="0.2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5.75" customHeight="1" x14ac:dyDescent="0.2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5.75" customHeight="1" x14ac:dyDescent="0.2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5.75" customHeight="1" x14ac:dyDescent="0.2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5.75" customHeight="1" x14ac:dyDescent="0.2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5.75" customHeight="1" x14ac:dyDescent="0.2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5.75" customHeight="1" x14ac:dyDescent="0.2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5.75" customHeight="1" x14ac:dyDescent="0.2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5.75" customHeight="1" x14ac:dyDescent="0.2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5.75" customHeight="1" x14ac:dyDescent="0.2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5.75" customHeight="1" x14ac:dyDescent="0.2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5.75" customHeight="1" x14ac:dyDescent="0.2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5.75" customHeight="1" x14ac:dyDescent="0.2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5.75" customHeight="1" x14ac:dyDescent="0.2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5.75" customHeight="1" x14ac:dyDescent="0.2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5.75" customHeight="1" x14ac:dyDescent="0.2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5.75" customHeight="1" x14ac:dyDescent="0.2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5.75" customHeight="1" x14ac:dyDescent="0.2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5.75" customHeight="1" x14ac:dyDescent="0.2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5.75" customHeight="1" x14ac:dyDescent="0.2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5.75" customHeight="1" x14ac:dyDescent="0.2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5.75" customHeight="1" x14ac:dyDescent="0.2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5.75" customHeight="1" x14ac:dyDescent="0.2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5.75" customHeight="1" x14ac:dyDescent="0.2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5.75" customHeight="1" x14ac:dyDescent="0.2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5.75" customHeight="1" x14ac:dyDescent="0.2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5.75" customHeight="1" x14ac:dyDescent="0.2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5.75" customHeight="1" x14ac:dyDescent="0.2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5.75" customHeight="1" x14ac:dyDescent="0.2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5.75" customHeight="1" x14ac:dyDescent="0.2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5.75" customHeight="1" x14ac:dyDescent="0.2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5.75" customHeight="1" x14ac:dyDescent="0.2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5.75" customHeight="1" x14ac:dyDescent="0.2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5.75" customHeight="1" x14ac:dyDescent="0.2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5.75" customHeight="1" x14ac:dyDescent="0.2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5.75" customHeight="1" x14ac:dyDescent="0.2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5.75" customHeight="1" x14ac:dyDescent="0.2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5.75" customHeight="1" x14ac:dyDescent="0.2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5.75" customHeight="1" x14ac:dyDescent="0.2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5.75" customHeight="1" x14ac:dyDescent="0.2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5.75" customHeight="1" x14ac:dyDescent="0.2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5.75" customHeight="1" x14ac:dyDescent="0.2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5.75" customHeight="1" x14ac:dyDescent="0.2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5.75" customHeight="1" x14ac:dyDescent="0.2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5.75" customHeight="1" x14ac:dyDescent="0.2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5.75" customHeight="1" x14ac:dyDescent="0.2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5.75" customHeight="1" x14ac:dyDescent="0.2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5.75" customHeight="1" x14ac:dyDescent="0.2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5.75" customHeight="1" x14ac:dyDescent="0.2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5.75" customHeight="1" x14ac:dyDescent="0.2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5.75" customHeight="1" x14ac:dyDescent="0.2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5.75" customHeight="1" x14ac:dyDescent="0.2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5.75" customHeight="1" x14ac:dyDescent="0.2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5.75" customHeight="1" x14ac:dyDescent="0.2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5.75" customHeight="1" x14ac:dyDescent="0.2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5.75" customHeight="1" x14ac:dyDescent="0.2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5.75" customHeight="1" x14ac:dyDescent="0.2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5.75" customHeight="1" x14ac:dyDescent="0.2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5.75" customHeight="1" x14ac:dyDescent="0.2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5.75" customHeight="1" x14ac:dyDescent="0.2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5.75" customHeight="1" x14ac:dyDescent="0.2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5.75" customHeight="1" x14ac:dyDescent="0.2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5.75" customHeight="1" x14ac:dyDescent="0.2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5.75" customHeight="1" x14ac:dyDescent="0.2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5.75" customHeight="1" x14ac:dyDescent="0.2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5.75" customHeight="1" x14ac:dyDescent="0.2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5.75" customHeight="1" x14ac:dyDescent="0.2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5.75" customHeight="1" x14ac:dyDescent="0.2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5.75" customHeight="1" x14ac:dyDescent="0.2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5.75" customHeight="1" x14ac:dyDescent="0.2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5.75" customHeight="1" x14ac:dyDescent="0.2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5.75" customHeight="1" x14ac:dyDescent="0.2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5.75" customHeight="1" x14ac:dyDescent="0.2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5.75" customHeight="1" x14ac:dyDescent="0.2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5.75" customHeight="1" x14ac:dyDescent="0.2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5.75" customHeight="1" x14ac:dyDescent="0.2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5.75" customHeight="1" x14ac:dyDescent="0.2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5.75" customHeight="1" x14ac:dyDescent="0.2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5.75" customHeight="1" x14ac:dyDescent="0.2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5.75" customHeight="1" x14ac:dyDescent="0.2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5.75" customHeight="1" x14ac:dyDescent="0.2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5.75" customHeight="1" x14ac:dyDescent="0.2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5.75" customHeight="1" x14ac:dyDescent="0.2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5.75" customHeight="1" x14ac:dyDescent="0.2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5.75" customHeight="1" x14ac:dyDescent="0.2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5.75" customHeight="1" x14ac:dyDescent="0.2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5.75" customHeight="1" x14ac:dyDescent="0.2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5.75" customHeight="1" x14ac:dyDescent="0.2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5.75" customHeight="1" x14ac:dyDescent="0.2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5.75" customHeight="1" x14ac:dyDescent="0.2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5.75" customHeight="1" x14ac:dyDescent="0.2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5.75" customHeight="1" x14ac:dyDescent="0.2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5.75" customHeight="1" x14ac:dyDescent="0.2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5.75" customHeight="1" x14ac:dyDescent="0.2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5.75" customHeight="1" x14ac:dyDescent="0.2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5.75" customHeight="1" x14ac:dyDescent="0.2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5.75" customHeight="1" x14ac:dyDescent="0.2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5.75" customHeight="1" x14ac:dyDescent="0.2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5.75" customHeight="1" x14ac:dyDescent="0.2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5.75" customHeight="1" x14ac:dyDescent="0.2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5.75" customHeight="1" x14ac:dyDescent="0.2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5.75" customHeight="1" x14ac:dyDescent="0.2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5.75" customHeight="1" x14ac:dyDescent="0.2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5.75" customHeight="1" x14ac:dyDescent="0.2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5.75" customHeight="1" x14ac:dyDescent="0.2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5.75" customHeight="1" x14ac:dyDescent="0.2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5.75" customHeight="1" x14ac:dyDescent="0.2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5.75" customHeight="1" x14ac:dyDescent="0.2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5.75" customHeight="1" x14ac:dyDescent="0.2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5.75" customHeight="1" x14ac:dyDescent="0.2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5.75" customHeight="1" x14ac:dyDescent="0.2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5.75" customHeight="1" x14ac:dyDescent="0.2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5.75" customHeight="1" x14ac:dyDescent="0.2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5.75" customHeight="1" x14ac:dyDescent="0.2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5.75" customHeight="1" x14ac:dyDescent="0.2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5.75" customHeight="1" x14ac:dyDescent="0.2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5.75" customHeight="1" x14ac:dyDescent="0.2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5.75" customHeight="1" x14ac:dyDescent="0.2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5.75" customHeight="1" x14ac:dyDescent="0.2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5.75" customHeight="1" x14ac:dyDescent="0.2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5.75" customHeight="1" x14ac:dyDescent="0.2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5.75" customHeight="1" x14ac:dyDescent="0.2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5.75" customHeight="1" x14ac:dyDescent="0.2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5.75" customHeight="1" x14ac:dyDescent="0.2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5.75" customHeight="1" x14ac:dyDescent="0.2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5.75" customHeight="1" x14ac:dyDescent="0.2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5.75" customHeight="1" x14ac:dyDescent="0.2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5.75" customHeight="1" x14ac:dyDescent="0.2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5.75" customHeight="1" x14ac:dyDescent="0.2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5.75" customHeight="1" x14ac:dyDescent="0.2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5.75" customHeight="1" x14ac:dyDescent="0.2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5.75" customHeight="1" x14ac:dyDescent="0.2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5.75" customHeight="1" x14ac:dyDescent="0.2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5.75" customHeight="1" x14ac:dyDescent="0.2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5.75" customHeight="1" x14ac:dyDescent="0.2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5.75" customHeight="1" x14ac:dyDescent="0.2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5.75" customHeight="1" x14ac:dyDescent="0.2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5.75" customHeight="1" x14ac:dyDescent="0.2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5.75" customHeight="1" x14ac:dyDescent="0.2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5.75" customHeight="1" x14ac:dyDescent="0.2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5.75" customHeight="1" x14ac:dyDescent="0.2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5.75" customHeight="1" x14ac:dyDescent="0.2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5.75" customHeight="1" x14ac:dyDescent="0.2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5.75" customHeight="1" x14ac:dyDescent="0.2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5.75" customHeight="1" x14ac:dyDescent="0.2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5.75" customHeight="1" x14ac:dyDescent="0.2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5.75" customHeight="1" x14ac:dyDescent="0.2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5.75" customHeight="1" x14ac:dyDescent="0.2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5.75" customHeight="1" x14ac:dyDescent="0.2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5.75" customHeight="1" x14ac:dyDescent="0.2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5.75" customHeight="1" x14ac:dyDescent="0.2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5.75" customHeight="1" x14ac:dyDescent="0.2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5.75" customHeight="1" x14ac:dyDescent="0.2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5.75" customHeight="1" x14ac:dyDescent="0.2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5.75" customHeight="1" x14ac:dyDescent="0.2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5.75" customHeight="1" x14ac:dyDescent="0.2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5.75" customHeight="1" x14ac:dyDescent="0.2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5.75" customHeight="1" x14ac:dyDescent="0.2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5.75" customHeight="1" x14ac:dyDescent="0.2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5.75" customHeight="1" x14ac:dyDescent="0.2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5.75" customHeight="1" x14ac:dyDescent="0.2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5.75" customHeight="1" x14ac:dyDescent="0.2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5.75" customHeight="1" x14ac:dyDescent="0.2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5.75" customHeight="1" x14ac:dyDescent="0.2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5.75" customHeight="1" x14ac:dyDescent="0.2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5.75" customHeight="1" x14ac:dyDescent="0.2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5.75" customHeight="1" x14ac:dyDescent="0.2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5.75" customHeight="1" x14ac:dyDescent="0.2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5.75" customHeight="1" x14ac:dyDescent="0.2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5.75" customHeight="1" x14ac:dyDescent="0.2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5.75" customHeight="1" x14ac:dyDescent="0.2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5.75" customHeight="1" x14ac:dyDescent="0.2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5.75" customHeight="1" x14ac:dyDescent="0.2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5.75" customHeight="1" x14ac:dyDescent="0.2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5.75" customHeight="1" x14ac:dyDescent="0.2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5.75" customHeight="1" x14ac:dyDescent="0.2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5.75" customHeight="1" x14ac:dyDescent="0.2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5.75" customHeight="1" x14ac:dyDescent="0.2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5.75" customHeight="1" x14ac:dyDescent="0.2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5.75" customHeight="1" x14ac:dyDescent="0.2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5.75" customHeight="1" x14ac:dyDescent="0.2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5.75" customHeight="1" x14ac:dyDescent="0.2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5.75" customHeight="1" x14ac:dyDescent="0.2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5.75" customHeight="1" x14ac:dyDescent="0.2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5.75" customHeight="1" x14ac:dyDescent="0.2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5.75" customHeight="1" x14ac:dyDescent="0.2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5.75" customHeight="1" x14ac:dyDescent="0.2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5.75" customHeight="1" x14ac:dyDescent="0.2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5.75" customHeight="1" x14ac:dyDescent="0.2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5.75" customHeight="1" x14ac:dyDescent="0.2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5.75" customHeight="1" x14ac:dyDescent="0.2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5.75" customHeight="1" x14ac:dyDescent="0.2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5.75" customHeight="1" x14ac:dyDescent="0.2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5.75" customHeight="1" x14ac:dyDescent="0.2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5.75" customHeight="1" x14ac:dyDescent="0.2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5.75" customHeight="1" x14ac:dyDescent="0.2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5.75" customHeight="1" x14ac:dyDescent="0.2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5.75" customHeight="1" x14ac:dyDescent="0.2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5.75" customHeight="1" x14ac:dyDescent="0.2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5.75" customHeight="1" x14ac:dyDescent="0.2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5.75" customHeight="1" x14ac:dyDescent="0.2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5.75" customHeight="1" x14ac:dyDescent="0.2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5.75" customHeight="1" x14ac:dyDescent="0.2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5.75" customHeight="1" x14ac:dyDescent="0.2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5.75" customHeight="1" x14ac:dyDescent="0.2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5.75" customHeight="1" x14ac:dyDescent="0.2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5.75" customHeight="1" x14ac:dyDescent="0.2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5.75" customHeight="1" x14ac:dyDescent="0.2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5.75" customHeight="1" x14ac:dyDescent="0.2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5.75" customHeight="1" x14ac:dyDescent="0.2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5.75" customHeight="1" x14ac:dyDescent="0.2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5.75" customHeight="1" x14ac:dyDescent="0.2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5.75" customHeight="1" x14ac:dyDescent="0.2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5.75" customHeight="1" x14ac:dyDescent="0.2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5.75" customHeight="1" x14ac:dyDescent="0.2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5.75" customHeight="1" x14ac:dyDescent="0.2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5.75" customHeight="1" x14ac:dyDescent="0.2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5.75" customHeight="1" x14ac:dyDescent="0.2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5.75" customHeight="1" x14ac:dyDescent="0.2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5.75" customHeight="1" x14ac:dyDescent="0.2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5.75" customHeight="1" x14ac:dyDescent="0.2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5.75" customHeight="1" x14ac:dyDescent="0.2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5.75" customHeight="1" x14ac:dyDescent="0.2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5.75" customHeight="1" x14ac:dyDescent="0.2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5.75" customHeight="1" x14ac:dyDescent="0.2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5.75" customHeight="1" x14ac:dyDescent="0.2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5.75" customHeight="1" x14ac:dyDescent="0.2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5.75" customHeight="1" x14ac:dyDescent="0.2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5.75" customHeight="1" x14ac:dyDescent="0.2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5.75" customHeight="1" x14ac:dyDescent="0.2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5.75" customHeight="1" x14ac:dyDescent="0.2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5.75" customHeight="1" x14ac:dyDescent="0.2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5.75" customHeight="1" x14ac:dyDescent="0.2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5.75" customHeight="1" x14ac:dyDescent="0.2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5.75" customHeight="1" x14ac:dyDescent="0.2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5.75" customHeight="1" x14ac:dyDescent="0.2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5.75" customHeight="1" x14ac:dyDescent="0.2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5.75" customHeight="1" x14ac:dyDescent="0.2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5.75" customHeight="1" x14ac:dyDescent="0.2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5.75" customHeight="1" x14ac:dyDescent="0.2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5.75" customHeight="1" x14ac:dyDescent="0.2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5.75" customHeight="1" x14ac:dyDescent="0.2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5.75" customHeight="1" x14ac:dyDescent="0.2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5.75" customHeight="1" x14ac:dyDescent="0.2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5.75" customHeight="1" x14ac:dyDescent="0.2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5.75" customHeight="1" x14ac:dyDescent="0.2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5.75" customHeight="1" x14ac:dyDescent="0.2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5.75" customHeight="1" x14ac:dyDescent="0.2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5.75" customHeight="1" x14ac:dyDescent="0.2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5.75" customHeight="1" x14ac:dyDescent="0.2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5.75" customHeight="1" x14ac:dyDescent="0.2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5.75" customHeight="1" x14ac:dyDescent="0.2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5.75" customHeight="1" x14ac:dyDescent="0.2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5.75" customHeight="1" x14ac:dyDescent="0.2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5.75" customHeight="1" x14ac:dyDescent="0.2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5.75" customHeight="1" x14ac:dyDescent="0.2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5.75" customHeight="1" x14ac:dyDescent="0.2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5.75" customHeight="1" x14ac:dyDescent="0.2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5.75" customHeight="1" x14ac:dyDescent="0.2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5.75" customHeight="1" x14ac:dyDescent="0.2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5.75" customHeight="1" x14ac:dyDescent="0.2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5.75" customHeight="1" x14ac:dyDescent="0.2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5.75" customHeight="1" x14ac:dyDescent="0.2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5.75" customHeight="1" x14ac:dyDescent="0.2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5.75" customHeight="1" x14ac:dyDescent="0.2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5.75" customHeight="1" x14ac:dyDescent="0.2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5.75" customHeight="1" x14ac:dyDescent="0.2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5.75" customHeight="1" x14ac:dyDescent="0.2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5.75" customHeight="1" x14ac:dyDescent="0.2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5.75" customHeight="1" x14ac:dyDescent="0.2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5.75" customHeight="1" x14ac:dyDescent="0.2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5.75" customHeight="1" x14ac:dyDescent="0.2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5.75" customHeight="1" x14ac:dyDescent="0.2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5.75" customHeight="1" x14ac:dyDescent="0.2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5.75" customHeight="1" x14ac:dyDescent="0.2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5.75" customHeight="1" x14ac:dyDescent="0.2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5.75" customHeight="1" x14ac:dyDescent="0.2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5.75" customHeight="1" x14ac:dyDescent="0.2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5.75" customHeight="1" x14ac:dyDescent="0.2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5.75" customHeight="1" x14ac:dyDescent="0.2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5.75" customHeight="1" x14ac:dyDescent="0.2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5.75" customHeight="1" x14ac:dyDescent="0.2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5.75" customHeight="1" x14ac:dyDescent="0.2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5.75" customHeight="1" x14ac:dyDescent="0.2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5.75" customHeight="1" x14ac:dyDescent="0.2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5.75" customHeight="1" x14ac:dyDescent="0.2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5.75" customHeight="1" x14ac:dyDescent="0.2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5.75" customHeight="1" x14ac:dyDescent="0.2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5.75" customHeight="1" x14ac:dyDescent="0.2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5.75" customHeight="1" x14ac:dyDescent="0.2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5.75" customHeight="1" x14ac:dyDescent="0.2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5.75" customHeight="1" x14ac:dyDescent="0.2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5.75" customHeight="1" x14ac:dyDescent="0.2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5.75" customHeight="1" x14ac:dyDescent="0.2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5.75" customHeight="1" x14ac:dyDescent="0.2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5.75" customHeight="1" x14ac:dyDescent="0.2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5.75" customHeight="1" x14ac:dyDescent="0.2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5.75" customHeight="1" x14ac:dyDescent="0.2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5.75" customHeight="1" x14ac:dyDescent="0.2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5.75" customHeight="1" x14ac:dyDescent="0.2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5.75" customHeight="1" x14ac:dyDescent="0.2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5.75" customHeight="1" x14ac:dyDescent="0.2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5.75" customHeight="1" x14ac:dyDescent="0.2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5.75" customHeight="1" x14ac:dyDescent="0.2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5.75" customHeight="1" x14ac:dyDescent="0.2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5.75" customHeight="1" x14ac:dyDescent="0.2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5.75" customHeight="1" x14ac:dyDescent="0.2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5.75" customHeight="1" x14ac:dyDescent="0.2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5.75" customHeight="1" x14ac:dyDescent="0.2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5.75" customHeight="1" x14ac:dyDescent="0.2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5.75" customHeight="1" x14ac:dyDescent="0.2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5.75" customHeight="1" x14ac:dyDescent="0.2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5.75" customHeight="1" x14ac:dyDescent="0.2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5.75" customHeight="1" x14ac:dyDescent="0.2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5.75" customHeight="1" x14ac:dyDescent="0.2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5.75" customHeight="1" x14ac:dyDescent="0.2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5.75" customHeight="1" x14ac:dyDescent="0.2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5.75" customHeight="1" x14ac:dyDescent="0.2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5.75" customHeight="1" x14ac:dyDescent="0.2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5.75" customHeight="1" x14ac:dyDescent="0.2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5.75" customHeight="1" x14ac:dyDescent="0.2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5.75" customHeight="1" x14ac:dyDescent="0.2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5.75" customHeight="1" x14ac:dyDescent="0.2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5.75" customHeight="1" x14ac:dyDescent="0.2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5.75" customHeight="1" x14ac:dyDescent="0.2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5.75" customHeight="1" x14ac:dyDescent="0.2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5.75" customHeight="1" x14ac:dyDescent="0.2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5.75" customHeight="1" x14ac:dyDescent="0.2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5.75" customHeight="1" x14ac:dyDescent="0.2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5.75" customHeight="1" x14ac:dyDescent="0.2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5.75" customHeight="1" x14ac:dyDescent="0.2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5.75" customHeight="1" x14ac:dyDescent="0.2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5.75" customHeight="1" x14ac:dyDescent="0.2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5.75" customHeight="1" x14ac:dyDescent="0.2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5.75" customHeight="1" x14ac:dyDescent="0.2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5.75" customHeight="1" x14ac:dyDescent="0.2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5.75" customHeight="1" x14ac:dyDescent="0.2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5.75" customHeight="1" x14ac:dyDescent="0.2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5.75" customHeight="1" x14ac:dyDescent="0.2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5.75" customHeight="1" x14ac:dyDescent="0.2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5.75" customHeight="1" x14ac:dyDescent="0.2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5.75" customHeight="1" x14ac:dyDescent="0.2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5.75" customHeight="1" x14ac:dyDescent="0.2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5.75" customHeight="1" x14ac:dyDescent="0.2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5.75" customHeight="1" x14ac:dyDescent="0.2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5.75" customHeight="1" x14ac:dyDescent="0.2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5.75" customHeight="1" x14ac:dyDescent="0.2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5.75" customHeight="1" x14ac:dyDescent="0.2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5.75" customHeight="1" x14ac:dyDescent="0.2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5.75" customHeight="1" x14ac:dyDescent="0.2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5.75" customHeight="1" x14ac:dyDescent="0.2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5.75" customHeight="1" x14ac:dyDescent="0.2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5.75" customHeight="1" x14ac:dyDescent="0.2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5.75" customHeight="1" x14ac:dyDescent="0.2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5.75" customHeight="1" x14ac:dyDescent="0.2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5.75" customHeight="1" x14ac:dyDescent="0.2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5.75" customHeight="1" x14ac:dyDescent="0.2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5.75" customHeight="1" x14ac:dyDescent="0.2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5.75" customHeight="1" x14ac:dyDescent="0.2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5.75" customHeight="1" x14ac:dyDescent="0.2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5.75" customHeight="1" x14ac:dyDescent="0.2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5.75" customHeight="1" x14ac:dyDescent="0.2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5.75" customHeight="1" x14ac:dyDescent="0.2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5.75" customHeight="1" x14ac:dyDescent="0.2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5.75" customHeight="1" x14ac:dyDescent="0.2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5.75" customHeight="1" x14ac:dyDescent="0.2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5.75" customHeight="1" x14ac:dyDescent="0.2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5.75" customHeight="1" x14ac:dyDescent="0.2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5.75" customHeight="1" x14ac:dyDescent="0.2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5.75" customHeight="1" x14ac:dyDescent="0.2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5.75" customHeight="1" x14ac:dyDescent="0.2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5.75" customHeight="1" x14ac:dyDescent="0.2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5.75" customHeight="1" x14ac:dyDescent="0.2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5.75" customHeight="1" x14ac:dyDescent="0.2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5.75" customHeight="1" x14ac:dyDescent="0.2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5.75" customHeight="1" x14ac:dyDescent="0.2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5.75" customHeight="1" x14ac:dyDescent="0.2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5.75" customHeight="1" x14ac:dyDescent="0.2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5.75" customHeight="1" x14ac:dyDescent="0.2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5.75" customHeight="1" x14ac:dyDescent="0.2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5.75" customHeight="1" x14ac:dyDescent="0.2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5.75" customHeight="1" x14ac:dyDescent="0.2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5.75" customHeight="1" x14ac:dyDescent="0.2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5.75" customHeight="1" x14ac:dyDescent="0.2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5.75" customHeight="1" x14ac:dyDescent="0.2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5.75" customHeight="1" x14ac:dyDescent="0.2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5.75" customHeight="1" x14ac:dyDescent="0.2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5.75" customHeight="1" x14ac:dyDescent="0.2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5.75" customHeight="1" x14ac:dyDescent="0.2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5.75" customHeight="1" x14ac:dyDescent="0.2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5.75" customHeight="1" x14ac:dyDescent="0.2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5.75" customHeight="1" x14ac:dyDescent="0.2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5.75" customHeight="1" x14ac:dyDescent="0.2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5.75" customHeight="1" x14ac:dyDescent="0.2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5.75" customHeight="1" x14ac:dyDescent="0.2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5.75" customHeight="1" x14ac:dyDescent="0.2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5.75" customHeight="1" x14ac:dyDescent="0.2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5.75" customHeight="1" x14ac:dyDescent="0.2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5.75" customHeight="1" x14ac:dyDescent="0.2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5.75" customHeight="1" x14ac:dyDescent="0.2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5.75" customHeight="1" x14ac:dyDescent="0.2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5.75" customHeight="1" x14ac:dyDescent="0.2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5.75" customHeight="1" x14ac:dyDescent="0.2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5.75" customHeight="1" x14ac:dyDescent="0.2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5.75" customHeight="1" x14ac:dyDescent="0.2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5.75" customHeight="1" x14ac:dyDescent="0.2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5.75" customHeight="1" x14ac:dyDescent="0.2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5.75" customHeight="1" x14ac:dyDescent="0.2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5.75" customHeight="1" x14ac:dyDescent="0.2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5.75" customHeight="1" x14ac:dyDescent="0.2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5.75" customHeight="1" x14ac:dyDescent="0.2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5.75" customHeight="1" x14ac:dyDescent="0.2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5.75" customHeight="1" x14ac:dyDescent="0.2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5.75" customHeight="1" x14ac:dyDescent="0.2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5.75" customHeight="1" x14ac:dyDescent="0.2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5.75" customHeight="1" x14ac:dyDescent="0.2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5.75" customHeight="1" x14ac:dyDescent="0.2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5.75" customHeight="1" x14ac:dyDescent="0.2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5.75" customHeight="1" x14ac:dyDescent="0.2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5.75" customHeight="1" x14ac:dyDescent="0.2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5.75" customHeight="1" x14ac:dyDescent="0.2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5.75" customHeight="1" x14ac:dyDescent="0.2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5.75" customHeight="1" x14ac:dyDescent="0.2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5.75" customHeight="1" x14ac:dyDescent="0.2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5.75" customHeight="1" x14ac:dyDescent="0.2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5.75" customHeight="1" x14ac:dyDescent="0.2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5.75" customHeight="1" x14ac:dyDescent="0.2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5.75" customHeight="1" x14ac:dyDescent="0.2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5.75" customHeight="1" x14ac:dyDescent="0.2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5.75" customHeight="1" x14ac:dyDescent="0.2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5.75" customHeight="1" x14ac:dyDescent="0.2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5.75" customHeight="1" x14ac:dyDescent="0.2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5.75" customHeight="1" x14ac:dyDescent="0.2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5.75" customHeight="1" x14ac:dyDescent="0.2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5.75" customHeight="1" x14ac:dyDescent="0.2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5.75" customHeight="1" x14ac:dyDescent="0.2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5.75" customHeight="1" x14ac:dyDescent="0.2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5.75" customHeight="1" x14ac:dyDescent="0.2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5.75" customHeight="1" x14ac:dyDescent="0.2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5.75" customHeight="1" x14ac:dyDescent="0.2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5.75" customHeight="1" x14ac:dyDescent="0.2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5.75" customHeight="1" x14ac:dyDescent="0.2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5.75" customHeight="1" x14ac:dyDescent="0.2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5.75" customHeight="1" x14ac:dyDescent="0.2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5.75" customHeight="1" x14ac:dyDescent="0.2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5.75" customHeight="1" x14ac:dyDescent="0.2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5.75" customHeight="1" x14ac:dyDescent="0.2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5.75" customHeight="1" x14ac:dyDescent="0.2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5.75" customHeight="1" x14ac:dyDescent="0.2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5.75" customHeight="1" x14ac:dyDescent="0.2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5.75" customHeight="1" x14ac:dyDescent="0.2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5.75" customHeight="1" x14ac:dyDescent="0.2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5.75" customHeight="1" x14ac:dyDescent="0.2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5.75" customHeight="1" x14ac:dyDescent="0.2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5.75" customHeight="1" x14ac:dyDescent="0.2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5.75" customHeight="1" x14ac:dyDescent="0.2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5.75" customHeight="1" x14ac:dyDescent="0.2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5.75" customHeight="1" x14ac:dyDescent="0.2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5.75" customHeight="1" x14ac:dyDescent="0.2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5.75" customHeight="1" x14ac:dyDescent="0.2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5.75" customHeight="1" x14ac:dyDescent="0.2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5.75" customHeight="1" x14ac:dyDescent="0.2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5.75" customHeight="1" x14ac:dyDescent="0.2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5.75" customHeight="1" x14ac:dyDescent="0.2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5.75" customHeight="1" x14ac:dyDescent="0.2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5.75" customHeight="1" x14ac:dyDescent="0.2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5.75" customHeight="1" x14ac:dyDescent="0.2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5.75" customHeight="1" x14ac:dyDescent="0.2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5.75" customHeight="1" x14ac:dyDescent="0.2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5.75" customHeight="1" x14ac:dyDescent="0.2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5.75" customHeight="1" x14ac:dyDescent="0.2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5.75" customHeight="1" x14ac:dyDescent="0.2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5.75" customHeight="1" x14ac:dyDescent="0.2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5.75" customHeight="1" x14ac:dyDescent="0.2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5.75" customHeight="1" x14ac:dyDescent="0.2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5.75" customHeight="1" x14ac:dyDescent="0.2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5.75" customHeight="1" x14ac:dyDescent="0.2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5.75" customHeight="1" x14ac:dyDescent="0.2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5.75" customHeight="1" x14ac:dyDescent="0.2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5.75" customHeight="1" x14ac:dyDescent="0.2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5.75" customHeight="1" x14ac:dyDescent="0.2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5.75" customHeight="1" x14ac:dyDescent="0.2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5.75" customHeight="1" x14ac:dyDescent="0.2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5.75" customHeight="1" x14ac:dyDescent="0.2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5.75" customHeight="1" x14ac:dyDescent="0.2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5.75" customHeight="1" x14ac:dyDescent="0.2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5.75" customHeight="1" x14ac:dyDescent="0.2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5.75" customHeight="1" x14ac:dyDescent="0.2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5.75" customHeight="1" x14ac:dyDescent="0.2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5.75" customHeight="1" x14ac:dyDescent="0.2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5.75" customHeight="1" x14ac:dyDescent="0.2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5.75" customHeight="1" x14ac:dyDescent="0.2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5.75" customHeight="1" x14ac:dyDescent="0.2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5.75" customHeight="1" x14ac:dyDescent="0.2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5.75" customHeight="1" x14ac:dyDescent="0.2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5.75" customHeight="1" x14ac:dyDescent="0.2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5.75" customHeight="1" x14ac:dyDescent="0.2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5.75" customHeight="1" x14ac:dyDescent="0.2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5.75" customHeight="1" x14ac:dyDescent="0.2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5.75" customHeight="1" x14ac:dyDescent="0.2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5.75" customHeight="1" x14ac:dyDescent="0.2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5.75" customHeight="1" x14ac:dyDescent="0.2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5.75" customHeight="1" x14ac:dyDescent="0.2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5.75" customHeight="1" x14ac:dyDescent="0.2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5.75" customHeight="1" x14ac:dyDescent="0.2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5.75" customHeight="1" x14ac:dyDescent="0.2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5.75" customHeight="1" x14ac:dyDescent="0.2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5.75" customHeight="1" x14ac:dyDescent="0.2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5.75" customHeight="1" x14ac:dyDescent="0.2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5.75" customHeight="1" x14ac:dyDescent="0.2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5.75" customHeight="1" x14ac:dyDescent="0.2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5.75" customHeight="1" x14ac:dyDescent="0.2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5.75" customHeight="1" x14ac:dyDescent="0.2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5.75" customHeight="1" x14ac:dyDescent="0.2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5.75" customHeight="1" x14ac:dyDescent="0.2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5.75" customHeight="1" x14ac:dyDescent="0.2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5.75" customHeight="1" x14ac:dyDescent="0.2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5.75" customHeight="1" x14ac:dyDescent="0.2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5.75" customHeight="1" x14ac:dyDescent="0.2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5.75" customHeight="1" x14ac:dyDescent="0.2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5.75" customHeight="1" x14ac:dyDescent="0.2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5.75" customHeight="1" x14ac:dyDescent="0.2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5.75" customHeight="1" x14ac:dyDescent="0.2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5.75" customHeight="1" x14ac:dyDescent="0.2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5.75" customHeight="1" x14ac:dyDescent="0.2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5.75" customHeight="1" x14ac:dyDescent="0.2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5.75" customHeight="1" x14ac:dyDescent="0.2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5.75" customHeight="1" x14ac:dyDescent="0.2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5.75" customHeight="1" x14ac:dyDescent="0.2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5.75" customHeight="1" x14ac:dyDescent="0.2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5.75" customHeight="1" x14ac:dyDescent="0.2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5.75" customHeight="1" x14ac:dyDescent="0.2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5.75" customHeight="1" x14ac:dyDescent="0.2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5.75" customHeight="1" x14ac:dyDescent="0.2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5.75" customHeight="1" x14ac:dyDescent="0.2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5.75" customHeight="1" x14ac:dyDescent="0.2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5.75" customHeight="1" x14ac:dyDescent="0.2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5.75" customHeight="1" x14ac:dyDescent="0.2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5.75" customHeight="1" x14ac:dyDescent="0.2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5.75" customHeight="1" x14ac:dyDescent="0.2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5.75" customHeight="1" x14ac:dyDescent="0.2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5.75" customHeight="1" x14ac:dyDescent="0.2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5.75" customHeight="1" x14ac:dyDescent="0.2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5.75" customHeight="1" x14ac:dyDescent="0.2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5.75" customHeight="1" x14ac:dyDescent="0.2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5.75" customHeight="1" x14ac:dyDescent="0.2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5.75" customHeight="1" x14ac:dyDescent="0.2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5.75" customHeight="1" x14ac:dyDescent="0.2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.75" customHeight="1" x14ac:dyDescent="0.2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1">
    <mergeCell ref="B2:M2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/>
  </sheetViews>
  <sheetFormatPr baseColWidth="10" defaultColWidth="14.5" defaultRowHeight="15" customHeight="1" x14ac:dyDescent="0.2"/>
  <cols>
    <col min="1" max="1" width="32.5" customWidth="1"/>
    <col min="2" max="2" width="71.6640625" customWidth="1"/>
    <col min="3" max="13" width="13.6640625" customWidth="1"/>
    <col min="14" max="26" width="11.5" customWidth="1"/>
  </cols>
  <sheetData>
    <row r="1" spans="1:26" x14ac:dyDescent="0.2">
      <c r="A1" s="2"/>
      <c r="B1" s="24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30" customHeight="1" x14ac:dyDescent="0.2">
      <c r="A2" s="2"/>
      <c r="B2" s="130" t="s">
        <v>100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9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/>
      <c r="B3" s="24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2" x14ac:dyDescent="0.2">
      <c r="A4" s="2"/>
      <c r="B4" s="24"/>
      <c r="C4" s="48" t="s">
        <v>8</v>
      </c>
      <c r="D4" s="48" t="s">
        <v>9</v>
      </c>
      <c r="E4" s="48" t="s">
        <v>10</v>
      </c>
      <c r="F4" s="48" t="s">
        <v>11</v>
      </c>
      <c r="G4" s="48" t="s">
        <v>12</v>
      </c>
      <c r="H4" s="48" t="s">
        <v>13</v>
      </c>
      <c r="I4" s="48" t="s">
        <v>14</v>
      </c>
      <c r="J4" s="48" t="s">
        <v>15</v>
      </c>
      <c r="K4" s="48" t="s">
        <v>16</v>
      </c>
      <c r="L4" s="48" t="s">
        <v>17</v>
      </c>
      <c r="M4" s="50" t="s">
        <v>57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48" t="s">
        <v>101</v>
      </c>
      <c r="B5" s="35" t="s">
        <v>102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8">
        <f t="shared" ref="M5:M20" si="0">SUM(C5:L5)</f>
        <v>0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2"/>
      <c r="B6" s="35" t="s">
        <v>103</v>
      </c>
      <c r="C6" s="67"/>
      <c r="D6" s="67"/>
      <c r="E6" s="67"/>
      <c r="F6" s="67"/>
      <c r="G6" s="67"/>
      <c r="H6" s="67"/>
      <c r="I6" s="67"/>
      <c r="J6" s="67"/>
      <c r="K6" s="67"/>
      <c r="L6" s="67"/>
      <c r="M6" s="68">
        <f t="shared" si="0"/>
        <v>0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2" x14ac:dyDescent="0.2">
      <c r="A7" s="2"/>
      <c r="B7" s="35" t="s">
        <v>104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8">
        <f t="shared" si="0"/>
        <v>0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32" x14ac:dyDescent="0.2">
      <c r="A8" s="2"/>
      <c r="B8" s="52" t="s">
        <v>105</v>
      </c>
      <c r="C8" s="68">
        <f t="shared" ref="C8:L8" si="1">C5*C6-C7</f>
        <v>0</v>
      </c>
      <c r="D8" s="68">
        <f t="shared" si="1"/>
        <v>0</v>
      </c>
      <c r="E8" s="68">
        <f t="shared" si="1"/>
        <v>0</v>
      </c>
      <c r="F8" s="68">
        <f t="shared" si="1"/>
        <v>0</v>
      </c>
      <c r="G8" s="68">
        <f t="shared" si="1"/>
        <v>0</v>
      </c>
      <c r="H8" s="68">
        <f t="shared" si="1"/>
        <v>0</v>
      </c>
      <c r="I8" s="68">
        <f t="shared" si="1"/>
        <v>0</v>
      </c>
      <c r="J8" s="68">
        <f t="shared" si="1"/>
        <v>0</v>
      </c>
      <c r="K8" s="68">
        <f t="shared" si="1"/>
        <v>0</v>
      </c>
      <c r="L8" s="68">
        <f t="shared" si="1"/>
        <v>0</v>
      </c>
      <c r="M8" s="68">
        <f t="shared" si="0"/>
        <v>0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32" x14ac:dyDescent="0.2">
      <c r="A9" s="69" t="s">
        <v>63</v>
      </c>
      <c r="B9" s="35" t="s">
        <v>106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8">
        <f t="shared" si="0"/>
        <v>0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32" x14ac:dyDescent="0.2">
      <c r="A10" s="69" t="s">
        <v>92</v>
      </c>
      <c r="B10" s="35" t="s">
        <v>106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>
        <f t="shared" si="0"/>
        <v>0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32" x14ac:dyDescent="0.2">
      <c r="A11" s="69" t="s">
        <v>94</v>
      </c>
      <c r="B11" s="35" t="s">
        <v>106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8">
        <f t="shared" si="0"/>
        <v>0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32" x14ac:dyDescent="0.2">
      <c r="A12" s="69" t="s">
        <v>95</v>
      </c>
      <c r="B12" s="35" t="s">
        <v>106</v>
      </c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8">
        <f t="shared" si="0"/>
        <v>0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32" x14ac:dyDescent="0.2">
      <c r="A13" s="69" t="s">
        <v>96</v>
      </c>
      <c r="B13" s="35" t="s">
        <v>106</v>
      </c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8">
        <f t="shared" si="0"/>
        <v>0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32" x14ac:dyDescent="0.2">
      <c r="A14" s="2"/>
      <c r="B14" s="52" t="s">
        <v>107</v>
      </c>
      <c r="C14" s="68">
        <f t="shared" ref="C14:L14" si="2">SUM(C9:C13)</f>
        <v>0</v>
      </c>
      <c r="D14" s="68">
        <f t="shared" si="2"/>
        <v>0</v>
      </c>
      <c r="E14" s="68">
        <f t="shared" si="2"/>
        <v>0</v>
      </c>
      <c r="F14" s="68">
        <f t="shared" si="2"/>
        <v>0</v>
      </c>
      <c r="G14" s="68">
        <f t="shared" si="2"/>
        <v>0</v>
      </c>
      <c r="H14" s="68">
        <f t="shared" si="2"/>
        <v>0</v>
      </c>
      <c r="I14" s="68">
        <f t="shared" si="2"/>
        <v>0</v>
      </c>
      <c r="J14" s="68">
        <f t="shared" si="2"/>
        <v>0</v>
      </c>
      <c r="K14" s="68">
        <f t="shared" si="2"/>
        <v>0</v>
      </c>
      <c r="L14" s="68">
        <f t="shared" si="2"/>
        <v>0</v>
      </c>
      <c r="M14" s="68">
        <f t="shared" si="0"/>
        <v>0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32" x14ac:dyDescent="0.2">
      <c r="A15" s="48" t="s">
        <v>108</v>
      </c>
      <c r="B15" s="35" t="s">
        <v>102</v>
      </c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8">
        <f t="shared" si="0"/>
        <v>0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2"/>
      <c r="B16" s="35" t="s">
        <v>103</v>
      </c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8">
        <f t="shared" si="0"/>
        <v>0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32" x14ac:dyDescent="0.2">
      <c r="A17" s="2"/>
      <c r="B17" s="35" t="s">
        <v>104</v>
      </c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8">
        <f t="shared" si="0"/>
        <v>0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32" x14ac:dyDescent="0.2">
      <c r="A18" s="2"/>
      <c r="B18" s="52" t="s">
        <v>105</v>
      </c>
      <c r="C18" s="68">
        <f t="shared" ref="C18:L18" si="3">C15*C16-C17</f>
        <v>0</v>
      </c>
      <c r="D18" s="68">
        <f t="shared" si="3"/>
        <v>0</v>
      </c>
      <c r="E18" s="68">
        <f t="shared" si="3"/>
        <v>0</v>
      </c>
      <c r="F18" s="68">
        <f t="shared" si="3"/>
        <v>0</v>
      </c>
      <c r="G18" s="68">
        <f t="shared" si="3"/>
        <v>0</v>
      </c>
      <c r="H18" s="68">
        <f t="shared" si="3"/>
        <v>0</v>
      </c>
      <c r="I18" s="68">
        <f t="shared" si="3"/>
        <v>0</v>
      </c>
      <c r="J18" s="68">
        <f t="shared" si="3"/>
        <v>0</v>
      </c>
      <c r="K18" s="68">
        <f t="shared" si="3"/>
        <v>0</v>
      </c>
      <c r="L18" s="68">
        <f t="shared" si="3"/>
        <v>0</v>
      </c>
      <c r="M18" s="68">
        <f t="shared" si="0"/>
        <v>0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32" x14ac:dyDescent="0.2">
      <c r="A19" s="2"/>
      <c r="B19" s="52" t="s">
        <v>109</v>
      </c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8">
        <f t="shared" si="0"/>
        <v>0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2"/>
      <c r="B20" s="66" t="s">
        <v>110</v>
      </c>
      <c r="C20" s="66">
        <f t="shared" ref="C20:L20" si="4">C8*C14-C18*C19*5</f>
        <v>0</v>
      </c>
      <c r="D20" s="66">
        <f t="shared" si="4"/>
        <v>0</v>
      </c>
      <c r="E20" s="66">
        <f t="shared" si="4"/>
        <v>0</v>
      </c>
      <c r="F20" s="66">
        <f t="shared" si="4"/>
        <v>0</v>
      </c>
      <c r="G20" s="66">
        <f t="shared" si="4"/>
        <v>0</v>
      </c>
      <c r="H20" s="66">
        <f t="shared" si="4"/>
        <v>0</v>
      </c>
      <c r="I20" s="66">
        <f t="shared" si="4"/>
        <v>0</v>
      </c>
      <c r="J20" s="66">
        <f t="shared" si="4"/>
        <v>0</v>
      </c>
      <c r="K20" s="66">
        <f t="shared" si="4"/>
        <v>0</v>
      </c>
      <c r="L20" s="66">
        <f t="shared" si="4"/>
        <v>0</v>
      </c>
      <c r="M20" s="66">
        <f t="shared" si="0"/>
        <v>0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hidden="1" customHeight="1" x14ac:dyDescent="0.2">
      <c r="A21" s="2"/>
      <c r="B21" s="70" t="s">
        <v>111</v>
      </c>
      <c r="C21" s="71">
        <f>'(ne pas modifier) BDD_REF'!$B$277*REIaval!D21</f>
        <v>7416.6726000000008</v>
      </c>
      <c r="D21" s="2">
        <v>26.7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hidden="1" customHeight="1" x14ac:dyDescent="0.2">
      <c r="A22" s="2"/>
      <c r="B22" s="70" t="s">
        <v>112</v>
      </c>
      <c r="C22" s="71">
        <f>'(ne pas modifier) BDD_REF'!$B$277*REIaval!D22</f>
        <v>13138.8994</v>
      </c>
      <c r="D22" s="2">
        <v>47.3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hidden="1" customHeight="1" x14ac:dyDescent="0.2">
      <c r="A23" s="2"/>
      <c r="B23" s="70" t="s">
        <v>113</v>
      </c>
      <c r="C23" s="71">
        <f>'(ne pas modifier) BDD_REF'!$B$277*REIaval!D23</f>
        <v>11166.675600000002</v>
      </c>
      <c r="D23" s="2">
        <v>40.200000000000003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hidden="1" customHeight="1" x14ac:dyDescent="0.2">
      <c r="A24" s="2"/>
      <c r="B24" s="70" t="s">
        <v>114</v>
      </c>
      <c r="C24" s="71">
        <f>'(ne pas modifier) BDD_REF'!$B$277*REIaval!D24</f>
        <v>3861.1142000000004</v>
      </c>
      <c r="D24" s="2">
        <v>13.9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hidden="1" customHeight="1" x14ac:dyDescent="0.2">
      <c r="A25" s="2"/>
      <c r="B25" s="70" t="s">
        <v>115</v>
      </c>
      <c r="C25" s="71">
        <f>'(ne pas modifier) BDD_REF'!$B$277*REIaval!D25</f>
        <v>3888.8920000000003</v>
      </c>
      <c r="D25" s="2">
        <v>14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hidden="1" customHeight="1" x14ac:dyDescent="0.2">
      <c r="A26" s="2"/>
      <c r="B26" s="70" t="s">
        <v>116</v>
      </c>
      <c r="C26" s="71">
        <f>'(ne pas modifier) BDD_REF'!$B$277*REIaval!D26</f>
        <v>12305.565399999999</v>
      </c>
      <c r="D26" s="2">
        <v>44.3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hidden="1" customHeight="1" x14ac:dyDescent="0.2">
      <c r="A27" s="2"/>
      <c r="B27" s="70" t="s">
        <v>117</v>
      </c>
      <c r="C27" s="71">
        <f>'(ne pas modifier) BDD_REF'!$B$277*REIaval!D27</f>
        <v>7916.6730000000007</v>
      </c>
      <c r="D27" s="2">
        <v>28.5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hidden="1" customHeight="1" x14ac:dyDescent="0.2">
      <c r="A28" s="2"/>
      <c r="B28" s="70" t="s">
        <v>118</v>
      </c>
      <c r="C28" s="71">
        <f>'(ne pas modifier) BDD_REF'!$B$277*REIaval!D28</f>
        <v>7777.7840000000006</v>
      </c>
      <c r="D28" s="2">
        <v>28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hidden="1" customHeight="1" x14ac:dyDescent="0.2">
      <c r="A29" s="2"/>
      <c r="B29" s="70" t="s">
        <v>119</v>
      </c>
      <c r="C29" s="71">
        <f>'(ne pas modifier) BDD_REF'!$B$277*REIaval!D29</f>
        <v>7833.3396000000002</v>
      </c>
      <c r="D29" s="2">
        <v>28.2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hidden="1" customHeight="1" x14ac:dyDescent="0.2">
      <c r="A30" s="2"/>
      <c r="B30" s="70" t="s">
        <v>120</v>
      </c>
      <c r="C30" s="71">
        <f>'(ne pas modifier) BDD_REF'!$B$277*REIaval!D30</f>
        <v>11944.454000000002</v>
      </c>
      <c r="D30" s="2">
        <v>43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hidden="1" customHeight="1" x14ac:dyDescent="0.2">
      <c r="A31" s="2"/>
      <c r="B31" s="70" t="s">
        <v>121</v>
      </c>
      <c r="C31" s="71">
        <f>'(ne pas modifier) BDD_REF'!$B$277*REIaval!D31</f>
        <v>11666.676000000001</v>
      </c>
      <c r="D31" s="2">
        <v>42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hidden="1" customHeight="1" x14ac:dyDescent="0.2">
      <c r="A32" s="2"/>
      <c r="B32" s="70" t="s">
        <v>122</v>
      </c>
      <c r="C32" s="71">
        <f>'(ne pas modifier) BDD_REF'!$B$277*REIaval!D32</f>
        <v>11111.12</v>
      </c>
      <c r="D32" s="2">
        <v>40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hidden="1" customHeight="1" x14ac:dyDescent="0.2">
      <c r="A33" s="2"/>
      <c r="B33" s="70" t="s">
        <v>123</v>
      </c>
      <c r="C33" s="71">
        <f>'(ne pas modifier) BDD_REF'!$B$277*REIaval!D33</f>
        <v>10750.008600000001</v>
      </c>
      <c r="D33" s="2">
        <v>38.700000000000003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hidden="1" customHeight="1" x14ac:dyDescent="0.2">
      <c r="A34" s="2"/>
      <c r="B34" s="70" t="s">
        <v>124</v>
      </c>
      <c r="C34" s="71">
        <f>'(ne pas modifier) BDD_REF'!$B$277*REIaval!D34</f>
        <v>694.44500000000005</v>
      </c>
      <c r="D34" s="2">
        <v>2.5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hidden="1" customHeight="1" x14ac:dyDescent="0.2">
      <c r="A35" s="2"/>
      <c r="B35" s="70" t="s">
        <v>125</v>
      </c>
      <c r="C35" s="71">
        <f>'(ne pas modifier) BDD_REF'!$B$277*REIaval!D35</f>
        <v>13333.344000000001</v>
      </c>
      <c r="D35" s="2">
        <v>48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hidden="1" customHeight="1" x14ac:dyDescent="0.2">
      <c r="A36" s="2"/>
      <c r="B36" s="70" t="s">
        <v>126</v>
      </c>
      <c r="C36" s="71">
        <f>'(ne pas modifier) BDD_REF'!$B$277*REIaval!D36</f>
        <v>11944.454000000002</v>
      </c>
      <c r="D36" s="2">
        <v>43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hidden="1" customHeight="1" x14ac:dyDescent="0.2">
      <c r="A37" s="2"/>
      <c r="B37" s="70" t="s">
        <v>127</v>
      </c>
      <c r="C37" s="71">
        <f>'(ne pas modifier) BDD_REF'!$B$277*REIaval!D37</f>
        <v>13777.788800000002</v>
      </c>
      <c r="D37" s="2">
        <v>49.6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hidden="1" customHeight="1" x14ac:dyDescent="0.2">
      <c r="A38" s="2"/>
      <c r="B38" s="70" t="s">
        <v>128</v>
      </c>
      <c r="C38" s="71">
        <f>'(ne pas modifier) BDD_REF'!$B$277*REIaval!D38</f>
        <v>12777.788</v>
      </c>
      <c r="D38" s="2">
        <v>46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hidden="1" customHeight="1" x14ac:dyDescent="0.2">
      <c r="A39" s="2"/>
      <c r="B39" s="70" t="s">
        <v>129</v>
      </c>
      <c r="C39" s="71">
        <f>'(ne pas modifier) BDD_REF'!$B$277*REIaval!D39</f>
        <v>4888.8928000000005</v>
      </c>
      <c r="D39" s="2">
        <v>17.600000000000001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hidden="1" customHeight="1" x14ac:dyDescent="0.2">
      <c r="A40" s="2"/>
      <c r="B40" s="70" t="s">
        <v>130</v>
      </c>
      <c r="C40" s="71">
        <f>'(ne pas modifier) BDD_REF'!$B$277*REIaval!D40</f>
        <v>8888.8960000000006</v>
      </c>
      <c r="D40" s="2">
        <v>32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hidden="1" customHeight="1" x14ac:dyDescent="0.2">
      <c r="A41" s="2"/>
      <c r="B41" s="70" t="s">
        <v>131</v>
      </c>
      <c r="C41" s="71">
        <f>'(ne pas modifier) BDD_REF'!$B$277*REIaval!D41</f>
        <v>10583.341800000002</v>
      </c>
      <c r="D41" s="2">
        <v>38.1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hidden="1" customHeight="1" x14ac:dyDescent="0.2">
      <c r="A42" s="2"/>
      <c r="B42" s="70" t="s">
        <v>132</v>
      </c>
      <c r="C42" s="71">
        <f>'(ne pas modifier) BDD_REF'!$B$277*REIaval!D42</f>
        <v>12250.009800000002</v>
      </c>
      <c r="D42" s="2">
        <v>44.1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hidden="1" customHeight="1" x14ac:dyDescent="0.2">
      <c r="A43" s="2"/>
      <c r="B43" s="70" t="s">
        <v>133</v>
      </c>
      <c r="C43" s="71">
        <f>'(ne pas modifier) BDD_REF'!$B$277*REIaval!D43</f>
        <v>3305.5582000000004</v>
      </c>
      <c r="D43" s="2">
        <v>11.9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hidden="1" customHeight="1" x14ac:dyDescent="0.2">
      <c r="A44" s="2"/>
      <c r="B44" s="70" t="s">
        <v>134</v>
      </c>
      <c r="C44" s="71">
        <f>'(ne pas modifier) BDD_REF'!$B$277*REIaval!D44</f>
        <v>12361.121000000001</v>
      </c>
      <c r="D44" s="2">
        <v>44.5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hidden="1" customHeight="1" x14ac:dyDescent="0.2">
      <c r="A45" s="2"/>
      <c r="B45" s="70" t="s">
        <v>135</v>
      </c>
      <c r="C45" s="71">
        <f>'(ne pas modifier) BDD_REF'!$B$277*REIaval!D45</f>
        <v>11750.009400000001</v>
      </c>
      <c r="D45" s="2">
        <v>42.3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hidden="1" customHeight="1" x14ac:dyDescent="0.2">
      <c r="A46" s="2"/>
      <c r="B46" s="70" t="s">
        <v>136</v>
      </c>
      <c r="C46" s="71">
        <f>'(ne pas modifier) BDD_REF'!$B$277*REIaval!D46</f>
        <v>3638.8918000000003</v>
      </c>
      <c r="D46" s="2">
        <v>13.1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hidden="1" customHeight="1" x14ac:dyDescent="0.2">
      <c r="A47" s="2"/>
      <c r="B47" s="70" t="s">
        <v>137</v>
      </c>
      <c r="C47" s="71">
        <f>'(ne pas modifier) BDD_REF'!$B$277*REIaval!D47</f>
        <v>13138.8994</v>
      </c>
      <c r="D47" s="2">
        <v>47.3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hidden="1" customHeight="1" x14ac:dyDescent="0.2">
      <c r="A48" s="2"/>
      <c r="B48" s="70" t="s">
        <v>138</v>
      </c>
      <c r="C48" s="71">
        <f>'(ne pas modifier) BDD_REF'!$B$277*REIaval!D48</f>
        <v>2200.0017600000001</v>
      </c>
      <c r="D48" s="2">
        <v>7.92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hidden="1" customHeight="1" x14ac:dyDescent="0.2">
      <c r="A49" s="2"/>
      <c r="B49" s="70" t="s">
        <v>139</v>
      </c>
      <c r="C49" s="71">
        <f>'(ne pas modifier) BDD_REF'!$B$277*REIaval!D49</f>
        <v>2722.2244000000005</v>
      </c>
      <c r="D49" s="2">
        <v>9.8000000000000007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72" t="s">
        <v>140</v>
      </c>
      <c r="C51" s="72" t="s">
        <v>141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70" t="s">
        <v>142</v>
      </c>
      <c r="B52" s="70" t="s">
        <v>121</v>
      </c>
      <c r="C52" s="73">
        <f>0.324/1000</f>
        <v>3.2400000000000001E-4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70" t="s">
        <v>122</v>
      </c>
      <c r="C53" s="73">
        <f>0.325/1000</f>
        <v>3.2499999999999999E-4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70" t="s">
        <v>143</v>
      </c>
      <c r="C54" s="73">
        <f>0.335/1000</f>
        <v>3.3500000000000001E-4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70" t="s">
        <v>144</v>
      </c>
      <c r="C55" s="73">
        <f>0.282/1000</f>
        <v>2.8199999999999997E-4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70" t="s">
        <v>145</v>
      </c>
      <c r="B56" s="70" t="s">
        <v>146</v>
      </c>
      <c r="C56" s="73">
        <f>0.311/1000</f>
        <v>3.1100000000000002E-4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70" t="s">
        <v>147</v>
      </c>
      <c r="C57" s="70">
        <f>0.313/1000</f>
        <v>3.1300000000000002E-4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70" t="s">
        <v>148</v>
      </c>
      <c r="C58" s="70">
        <f>0.319/1000</f>
        <v>3.19E-4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70" t="s">
        <v>149</v>
      </c>
      <c r="C59" s="70">
        <f>0.306/1000</f>
        <v>3.0600000000000001E-4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70" t="s">
        <v>150</v>
      </c>
      <c r="C60" s="70">
        <f>0.174/1000</f>
        <v>1.74E-4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70" t="s">
        <v>151</v>
      </c>
      <c r="C61" s="70">
        <f>0.273/1000</f>
        <v>2.7300000000000002E-4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70" t="s">
        <v>128</v>
      </c>
      <c r="C62" s="70">
        <f>0.272/1000</f>
        <v>2.72E-4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70" t="s">
        <v>152</v>
      </c>
      <c r="C63" s="70">
        <f>0.311/1000</f>
        <v>3.1100000000000002E-4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70" t="s">
        <v>153</v>
      </c>
      <c r="C64" s="70">
        <f>0.132/1000</f>
        <v>1.3200000000000001E-4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70" t="s">
        <v>154</v>
      </c>
      <c r="C65" s="70">
        <f>0.238/1000</f>
        <v>2.3799999999999998E-4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70" t="s">
        <v>155</v>
      </c>
      <c r="C66" s="70">
        <f>0.23/1000</f>
        <v>2.3000000000000001E-4</v>
      </c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70" t="s">
        <v>156</v>
      </c>
      <c r="B67" s="70" t="s">
        <v>157</v>
      </c>
      <c r="C67" s="70">
        <f>0.327/1000</f>
        <v>3.2700000000000003E-4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70" t="s">
        <v>158</v>
      </c>
      <c r="C68" s="70">
        <f t="shared" ref="C68:C69" si="5">0.331/1000</f>
        <v>3.3100000000000002E-4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70" t="s">
        <v>159</v>
      </c>
      <c r="C69" s="70">
        <f t="shared" si="5"/>
        <v>3.3100000000000002E-4</v>
      </c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70" t="s">
        <v>160</v>
      </c>
      <c r="B70" s="70" t="s">
        <v>161</v>
      </c>
      <c r="C70" s="70">
        <f>0.307/1000</f>
        <v>3.0699999999999998E-4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70" t="s">
        <v>162</v>
      </c>
      <c r="C71" s="70">
        <f>0.308/1000</f>
        <v>3.0800000000000001E-4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70" t="s">
        <v>163</v>
      </c>
      <c r="C72" s="70">
        <f>0.313/1000</f>
        <v>3.1300000000000002E-4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70" t="s">
        <v>164</v>
      </c>
      <c r="B73" s="70" t="s">
        <v>165</v>
      </c>
      <c r="C73" s="70">
        <f>0.322/1000</f>
        <v>3.2200000000000002E-4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70" t="s">
        <v>166</v>
      </c>
      <c r="B74" s="70" t="s">
        <v>167</v>
      </c>
      <c r="C74" s="70">
        <f>0.227/1000</f>
        <v>2.2700000000000002E-4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70" t="s">
        <v>168</v>
      </c>
      <c r="C75" s="70">
        <f>0.244/1000</f>
        <v>2.4399999999999999E-4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70" t="s">
        <v>169</v>
      </c>
      <c r="B76" s="70" t="s">
        <v>170</v>
      </c>
      <c r="C76" s="70">
        <f>0.27/1000</f>
        <v>2.7E-4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4"/>
      <c r="C77" s="24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50.25" customHeight="1" x14ac:dyDescent="0.2">
      <c r="A78" s="2"/>
      <c r="B78" s="74" t="s">
        <v>171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4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4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4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4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4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4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4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4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4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4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4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4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4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4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4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4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4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4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4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4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4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4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4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4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4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4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4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4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4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4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4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4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4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4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4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4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4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4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4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4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4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4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4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4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4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4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4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4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4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4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4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4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4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4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4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4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4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4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4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4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4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4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4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4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4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4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4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4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4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4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4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4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4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4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4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4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4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4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4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4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4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4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4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4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4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4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4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4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4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4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4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4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4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4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4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4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4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4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4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4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4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4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4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4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4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4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4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4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4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4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4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4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4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4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4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4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4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4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4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4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4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4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4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4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4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4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4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4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4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4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4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4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4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4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4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4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4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4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4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4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4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4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4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4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4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4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4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4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4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4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4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4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4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4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4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4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4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4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4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4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4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4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4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4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4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4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4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4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4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4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4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4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4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4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4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4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4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4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4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4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4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4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4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4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4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4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4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4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4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4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4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4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4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4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4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4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4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4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4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4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4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4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4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4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4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4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4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4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4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4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4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4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4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4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4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4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4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4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4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4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4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4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4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4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4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4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4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4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4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4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4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4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4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4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4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4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4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4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4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4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4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4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4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4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4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4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4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4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4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4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4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4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4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4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4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4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4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4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4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4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4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4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4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4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4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4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4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4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4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4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4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4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4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4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4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4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4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4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4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4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4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4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4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4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4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4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4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4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4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4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4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4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4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4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4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4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4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4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4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4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4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4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4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4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4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4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4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4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4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4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4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4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4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4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4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4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4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4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4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4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4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4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4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4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4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4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4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4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4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4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4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4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4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4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4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4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4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4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4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4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4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4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4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4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4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4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4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4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4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4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4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4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4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4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4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4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4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4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4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4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4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4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4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4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4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4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4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4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4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4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4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4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4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4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4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4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4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4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4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4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4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4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4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4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4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4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4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4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4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4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4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4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4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4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4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4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4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4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4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4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4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4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4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4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4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4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4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4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4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4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4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4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4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4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4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4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4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4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4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4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4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4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4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4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4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4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4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4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4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4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4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4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4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4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4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4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4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4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4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4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4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4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4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4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4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4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4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4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4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4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4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4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4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4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4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4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4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4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4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4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4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4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4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4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4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4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4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4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4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4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4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4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4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4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4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4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4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4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4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4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4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4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4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4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4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4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4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4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4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4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4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4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4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4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4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4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4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4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4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4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4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4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4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4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4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4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4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4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4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4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4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4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4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4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4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4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4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4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4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4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4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4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4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4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4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4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4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4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4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4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4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4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4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4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4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4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4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4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4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4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4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4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4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4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4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4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4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4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4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4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4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4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4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4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4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4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4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4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4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4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4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4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4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4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4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4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4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4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4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4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4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4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4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4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4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4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4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4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4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4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4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4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4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4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4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4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4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4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4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4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4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4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4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4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4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4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4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4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4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4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4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4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4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4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4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4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4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4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4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4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4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4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4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4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4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4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4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4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4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4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4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4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4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4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4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4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4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4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4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4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4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4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4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4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4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4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4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4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4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4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4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4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4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4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4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4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4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4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4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4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4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4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4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4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4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4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4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4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4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4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4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4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4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4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4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4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4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4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4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4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4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4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4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4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4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4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4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4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4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4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4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4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4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4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4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4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4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4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4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4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4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4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4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4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4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4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4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4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4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4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4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4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4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4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4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4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4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4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4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4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4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4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4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4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4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4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4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4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4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4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4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4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4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4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4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4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4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4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4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4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4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4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4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4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4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4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4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4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4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4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4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4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4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4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4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4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4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4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4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4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4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4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4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4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4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4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4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4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4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4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4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4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4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4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4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4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4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4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4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4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4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4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4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4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4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4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4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4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4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4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4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4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4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4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4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4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4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4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4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4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4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4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4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4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4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4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4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4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4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4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4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4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4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4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4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4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4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4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4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4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4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4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4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4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4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4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4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4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4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4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4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4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4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4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4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4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4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4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4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4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4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4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4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4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4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4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4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4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4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4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4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4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4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4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4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4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4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4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4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4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4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4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4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4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4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4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4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4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4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4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4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4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4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4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4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4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4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4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4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4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4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4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4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4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4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4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4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4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4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4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4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4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4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4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4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4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4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4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4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4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4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4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4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4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4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4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4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4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4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4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4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4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4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4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4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4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4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4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4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4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4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4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4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4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4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4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4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4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4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4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4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4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M2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baseColWidth="10" defaultColWidth="14.5" defaultRowHeight="15" customHeight="1" x14ac:dyDescent="0.2"/>
  <cols>
    <col min="1" max="1" width="11.5" customWidth="1"/>
    <col min="2" max="2" width="31" customWidth="1"/>
    <col min="3" max="26" width="11.5" customWidth="1"/>
  </cols>
  <sheetData>
    <row r="1" spans="1:26" x14ac:dyDescent="0.2">
      <c r="A1" s="2"/>
      <c r="B1" s="24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">
      <c r="A2" s="127" t="s">
        <v>56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9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2" x14ac:dyDescent="0.2">
      <c r="A4" s="2" t="s">
        <v>172</v>
      </c>
      <c r="B4" s="24"/>
      <c r="C4" s="48" t="s">
        <v>8</v>
      </c>
      <c r="D4" s="48" t="s">
        <v>9</v>
      </c>
      <c r="E4" s="48" t="s">
        <v>10</v>
      </c>
      <c r="F4" s="48" t="s">
        <v>11</v>
      </c>
      <c r="G4" s="48" t="s">
        <v>12</v>
      </c>
      <c r="H4" s="48" t="s">
        <v>13</v>
      </c>
      <c r="I4" s="48" t="s">
        <v>14</v>
      </c>
      <c r="J4" s="48" t="s">
        <v>15</v>
      </c>
      <c r="K4" s="48" t="s">
        <v>16</v>
      </c>
      <c r="L4" s="48" t="s">
        <v>17</v>
      </c>
      <c r="M4" s="50" t="s">
        <v>57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48">
        <v>1</v>
      </c>
      <c r="B5" s="35" t="s">
        <v>173</v>
      </c>
      <c r="C5" s="68">
        <f>IF(Eligibilité_projet!B13="Hors climat Mediterranéen",LOOKUP(RECant_biom!$A$5,'(ne pas modifier) BDD_REF'!$A$243:$A$262,'(ne pas modifier) BDD_REF'!$B$243:$B$262),IF(Eligibilité_projet!B13="",0,LOOKUP(RECant_biom!$A$5,'(ne pas modifier) BDD_REF'!$A$243:$A$262,'(ne pas modifier) BDD_REF'!$C$243:$C$262)))</f>
        <v>2.7</v>
      </c>
      <c r="D5" s="68">
        <f>IF(Eligibilité_projet!C13="Hors climat Mediterranéen",LOOKUP(RECant_biom!$A$5,'(ne pas modifier) BDD_REF'!$A$243:$A$262,'(ne pas modifier) BDD_REF'!$B$243:$B$262),IF(Eligibilité_projet!C13="",0,LOOKUP(RECant_biom!$A$5,'(ne pas modifier) BDD_REF'!$A$243:$A$262,'(ne pas modifier) BDD_REF'!$C$243:$C$262)))</f>
        <v>2.7</v>
      </c>
      <c r="E5" s="68">
        <f>IF(Eligibilité_projet!D13="Hors climat Mediterranéen",LOOKUP(RECant_biom!$A$5,'(ne pas modifier) BDD_REF'!$A$243:$A$262,'(ne pas modifier) BDD_REF'!$B$243:$B$262),IF(Eligibilité_projet!D13="",0,LOOKUP(RECant_biom!$A$5,'(ne pas modifier) BDD_REF'!$A$243:$A$262,'(ne pas modifier) BDD_REF'!$C$243:$C$262)))</f>
        <v>2.7</v>
      </c>
      <c r="F5" s="68">
        <f>IF(Eligibilité_projet!E13="Hors climat Mediterranéen",LOOKUP(RECant_biom!$A$5,'(ne pas modifier) BDD_REF'!$A$243:$A$262,'(ne pas modifier) BDD_REF'!$B$243:$B$262),IF(Eligibilité_projet!E13="",0,LOOKUP(RECant_biom!$A$5,'(ne pas modifier) BDD_REF'!$A$243:$A$262,'(ne pas modifier) BDD_REF'!$C$243:$C$262)))</f>
        <v>0</v>
      </c>
      <c r="G5" s="68">
        <f>IF(Eligibilité_projet!F13="Hors climat Mediterranéen",LOOKUP(RECant_biom!$A$5,'(ne pas modifier) BDD_REF'!$A$243:$A$262,'(ne pas modifier) BDD_REF'!$B$243:$B$262),IF(Eligibilité_projet!F13="",0,LOOKUP(RECant_biom!$A$5,'(ne pas modifier) BDD_REF'!$A$243:$A$262,'(ne pas modifier) BDD_REF'!$C$243:$C$262)))</f>
        <v>0</v>
      </c>
      <c r="H5" s="68">
        <f>IF(Eligibilité_projet!G13="Hors climat Mediterranéen",LOOKUP(RECant_biom!$A$5,'(ne pas modifier) BDD_REF'!$A$243:$A$262,'(ne pas modifier) BDD_REF'!$B$243:$B$262),IF(Eligibilité_projet!G13="",0,LOOKUP(RECant_biom!$A$5,'(ne pas modifier) BDD_REF'!$A$243:$A$262,'(ne pas modifier) BDD_REF'!$C$243:$C$262)))</f>
        <v>0</v>
      </c>
      <c r="I5" s="68">
        <f>IF(Eligibilité_projet!H13="Hors climat Mediterranéen",LOOKUP(RECant_biom!$A$5,'(ne pas modifier) BDD_REF'!$A$243:$A$262,'(ne pas modifier) BDD_REF'!$B$243:$B$262),IF(Eligibilité_projet!H13="",0,LOOKUP(RECant_biom!$A$5,'(ne pas modifier) BDD_REF'!$A$243:$A$262,'(ne pas modifier) BDD_REF'!$C$243:$C$262)))</f>
        <v>0</v>
      </c>
      <c r="J5" s="68">
        <f>IF(Eligibilité_projet!I13="Hors climat Mediterranéen",LOOKUP(RECant_biom!$A$5,'(ne pas modifier) BDD_REF'!$A$243:$A$262,'(ne pas modifier) BDD_REF'!$B$243:$B$262),IF(Eligibilité_projet!I13="",0,LOOKUP(RECant_biom!$A$5,'(ne pas modifier) BDD_REF'!$A$243:$A$262,'(ne pas modifier) BDD_REF'!$C$243:$C$262)))</f>
        <v>0</v>
      </c>
      <c r="K5" s="68">
        <f>IF(Eligibilité_projet!J13="Hors climat Mediterranéen",LOOKUP(RECant_biom!$A$5,'(ne pas modifier) BDD_REF'!$A$243:$A$262,'(ne pas modifier) BDD_REF'!$B$243:$B$262),IF(Eligibilité_projet!J13="",0,LOOKUP(RECant_biom!$A$5,'(ne pas modifier) BDD_REF'!$A$243:$A$262,'(ne pas modifier) BDD_REF'!$C$243:$C$262)))</f>
        <v>0</v>
      </c>
      <c r="L5" s="68">
        <f>IF(Eligibilité_projet!K13="Hors climat Mediterranéen",LOOKUP(RECant_biom!$A$5,'(ne pas modifier) BDD_REF'!$A$243:$A$262,'(ne pas modifier) BDD_REF'!$B$243:$B$262),IF(Eligibilité_projet!K13="",0,LOOKUP(RECant_biom!$A$5,'(ne pas modifier) BDD_REF'!$A$243:$A$262,'(ne pas modifier) BDD_REF'!$C$243:$C$262)))</f>
        <v>0</v>
      </c>
      <c r="M5" s="68">
        <f t="shared" ref="M5:M28" si="0">SUM(C5:L5)</f>
        <v>8.1000000000000014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48">
        <v>2</v>
      </c>
      <c r="B6" s="35" t="s">
        <v>173</v>
      </c>
      <c r="C6" s="68">
        <f>IF(Eligibilité_projet!B13="Hors climat Mediterranéen",LOOKUP(RECant_biom!$A$6,'(ne pas modifier) BDD_REF'!$A$243:$A$262,'(ne pas modifier) BDD_REF'!$B$243:$B$262),IF(Eligibilité_projet!B13="",0,LOOKUP(RECant_biom!$A$6,'(ne pas modifier) BDD_REF'!$A$243:$A$262,'(ne pas modifier) BDD_REF'!$C$243:$C$262)))</f>
        <v>4.2</v>
      </c>
      <c r="D6" s="68">
        <f>IF(Eligibilité_projet!C13="Hors climat Mediterranéen",LOOKUP(RECant_biom!$A$6,'(ne pas modifier) BDD_REF'!$A$243:$A$262,'(ne pas modifier) BDD_REF'!$B$243:$B$262),IF(Eligibilité_projet!C13="",0,LOOKUP(RECant_biom!$A$6,'(ne pas modifier) BDD_REF'!$A$243:$A$262,'(ne pas modifier) BDD_REF'!$C$243:$C$262)))</f>
        <v>4.2</v>
      </c>
      <c r="E6" s="68">
        <f>IF(Eligibilité_projet!D13="Hors climat Mediterranéen",LOOKUP(RECant_biom!$A$6,'(ne pas modifier) BDD_REF'!$A$243:$A$262,'(ne pas modifier) BDD_REF'!$B$243:$B$262),IF(Eligibilité_projet!D13="",0,LOOKUP(RECant_biom!$A$6,'(ne pas modifier) BDD_REF'!$A$243:$A$262,'(ne pas modifier) BDD_REF'!$C$243:$C$262)))</f>
        <v>4.2</v>
      </c>
      <c r="F6" s="68">
        <f>IF(Eligibilité_projet!E13="Hors climat Mediterranéen",LOOKUP(RECant_biom!$A$6,'(ne pas modifier) BDD_REF'!$A$243:$A$262,'(ne pas modifier) BDD_REF'!$B$243:$B$262),IF(Eligibilité_projet!E13="",0,LOOKUP(RECant_biom!$A$6,'(ne pas modifier) BDD_REF'!$A$243:$A$262,'(ne pas modifier) BDD_REF'!$C$243:$C$262)))</f>
        <v>0</v>
      </c>
      <c r="G6" s="68">
        <f>IF(Eligibilité_projet!F13="Hors climat Mediterranéen",LOOKUP(RECant_biom!$A$6,'(ne pas modifier) BDD_REF'!$A$243:$A$262,'(ne pas modifier) BDD_REF'!$B$243:$B$262),IF(Eligibilité_projet!F13="",0,LOOKUP(RECant_biom!$A$6,'(ne pas modifier) BDD_REF'!$A$243:$A$262,'(ne pas modifier) BDD_REF'!$C$243:$C$262)))</f>
        <v>0</v>
      </c>
      <c r="H6" s="68">
        <f>IF(Eligibilité_projet!G13="Hors climat Mediterranéen",LOOKUP(RECant_biom!$A$6,'(ne pas modifier) BDD_REF'!$A$243:$A$262,'(ne pas modifier) BDD_REF'!$B$243:$B$262),IF(Eligibilité_projet!G13="",0,LOOKUP(RECant_biom!$A$6,'(ne pas modifier) BDD_REF'!$A$243:$A$262,'(ne pas modifier) BDD_REF'!$C$243:$C$262)))</f>
        <v>0</v>
      </c>
      <c r="I6" s="68">
        <f>IF(Eligibilité_projet!H13="Hors climat Mediterranéen",LOOKUP(RECant_biom!$A$6,'(ne pas modifier) BDD_REF'!$A$243:$A$262,'(ne pas modifier) BDD_REF'!$B$243:$B$262),IF(Eligibilité_projet!H13="",0,LOOKUP(RECant_biom!$A$6,'(ne pas modifier) BDD_REF'!$A$243:$A$262,'(ne pas modifier) BDD_REF'!$C$243:$C$262)))</f>
        <v>0</v>
      </c>
      <c r="J6" s="68">
        <f>IF(Eligibilité_projet!I13="Hors climat Mediterranéen",LOOKUP(RECant_biom!$A$6,'(ne pas modifier) BDD_REF'!$A$243:$A$262,'(ne pas modifier) BDD_REF'!$B$243:$B$262),IF(Eligibilité_projet!I13="",0,LOOKUP(RECant_biom!$A$6,'(ne pas modifier) BDD_REF'!$A$243:$A$262,'(ne pas modifier) BDD_REF'!$C$243:$C$262)))</f>
        <v>0</v>
      </c>
      <c r="K6" s="68">
        <f>IF(Eligibilité_projet!J13="Hors climat Mediterranéen",LOOKUP(RECant_biom!$A$6,'(ne pas modifier) BDD_REF'!$A$243:$A$262,'(ne pas modifier) BDD_REF'!$B$243:$B$262),IF(Eligibilité_projet!J13="",0,LOOKUP(RECant_biom!$A$6,'(ne pas modifier) BDD_REF'!$A$243:$A$262,'(ne pas modifier) BDD_REF'!$C$243:$C$262)))</f>
        <v>0</v>
      </c>
      <c r="L6" s="68">
        <f>IF(Eligibilité_projet!K13="Hors climat Mediterranéen",LOOKUP(RECant_biom!$A$6,'(ne pas modifier) BDD_REF'!$A$243:$A$262,'(ne pas modifier) BDD_REF'!$B$243:$B$262),IF(Eligibilité_projet!K13="",0,LOOKUP(RECant_biom!$A$6,'(ne pas modifier) BDD_REF'!$A$243:$A$262,'(ne pas modifier) BDD_REF'!$C$243:$C$262)))</f>
        <v>0</v>
      </c>
      <c r="M6" s="68">
        <f t="shared" si="0"/>
        <v>12.600000000000001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48">
        <v>3</v>
      </c>
      <c r="B7" s="35" t="s">
        <v>173</v>
      </c>
      <c r="C7" s="68">
        <f>IF(Eligibilité_projet!$B$13="Hors climat Mediterranéen",LOOKUP(RECant_biom!A7,'(ne pas modifier) BDD_REF'!$A$243:$A$262,'(ne pas modifier) BDD_REF'!$B$243:$B$262),IF(Eligibilité_projet!$B$13="",0,LOOKUP(RECant_biom!A7,'(ne pas modifier) BDD_REF'!$A$243:$A$262,'(ne pas modifier) BDD_REF'!$C$243:$C$262)))</f>
        <v>5.6</v>
      </c>
      <c r="D7" s="68">
        <f>IF(Eligibilité_projet!C13="Hors climat Mediterranéen",LOOKUP(RECant_biom!$A$7,'(ne pas modifier) BDD_REF'!$A$243:$A$262,'(ne pas modifier) BDD_REF'!$B$243:$B$262),IF(Eligibilité_projet!C13="",0,LOOKUP(RECant_biom!$A$7,'(ne pas modifier) BDD_REF'!$A$243:$A$262,'(ne pas modifier) BDD_REF'!$C$243:$C$262)))</f>
        <v>5.6</v>
      </c>
      <c r="E7" s="68">
        <f>IF(Eligibilité_projet!D13="Hors climat Mediterranéen",LOOKUP(RECant_biom!$A$7,'(ne pas modifier) BDD_REF'!$A$243:$A$262,'(ne pas modifier) BDD_REF'!$B$243:$B$262),IF(Eligibilité_projet!D13="",0,LOOKUP(RECant_biom!$A$7,'(ne pas modifier) BDD_REF'!$A$243:$A$262,'(ne pas modifier) BDD_REF'!$C$243:$C$262)))</f>
        <v>5.6</v>
      </c>
      <c r="F7" s="68">
        <f>IF(Eligibilité_projet!E13="Hors climat Mediterranéen",LOOKUP(RECant_biom!$A$7,'(ne pas modifier) BDD_REF'!$A$243:$A$262,'(ne pas modifier) BDD_REF'!$B$243:$B$262),IF(Eligibilité_projet!E13="",0,LOOKUP(RECant_biom!$A$7,'(ne pas modifier) BDD_REF'!$A$243:$A$262,'(ne pas modifier) BDD_REF'!$C$243:$C$262)))</f>
        <v>0</v>
      </c>
      <c r="G7" s="68">
        <f>IF(Eligibilité_projet!F13="Hors climat Mediterranéen",LOOKUP(RECant_biom!$A$7,'(ne pas modifier) BDD_REF'!$A$243:$A$262,'(ne pas modifier) BDD_REF'!$B$243:$B$262),IF(Eligibilité_projet!F13="",0,LOOKUP(RECant_biom!$A$7,'(ne pas modifier) BDD_REF'!$A$243:$A$262,'(ne pas modifier) BDD_REF'!$C$243:$C$262)))</f>
        <v>0</v>
      </c>
      <c r="H7" s="68">
        <f>IF(Eligibilité_projet!G13="Hors climat Mediterranéen",LOOKUP(RECant_biom!$A$7,'(ne pas modifier) BDD_REF'!$A$243:$A$262,'(ne pas modifier) BDD_REF'!$B$243:$B$262),IF(Eligibilité_projet!G13="",0,LOOKUP(RECant_biom!$A$7,'(ne pas modifier) BDD_REF'!$A$243:$A$262,'(ne pas modifier) BDD_REF'!$C$243:$C$262)))</f>
        <v>0</v>
      </c>
      <c r="I7" s="68">
        <f>IF(Eligibilité_projet!H13="Hors climat Mediterranéen",LOOKUP(RECant_biom!$A$7,'(ne pas modifier) BDD_REF'!$A$243:$A$262,'(ne pas modifier) BDD_REF'!$B$243:$B$262),IF(Eligibilité_projet!H13="",0,LOOKUP(RECant_biom!$A$7,'(ne pas modifier) BDD_REF'!$A$243:$A$262,'(ne pas modifier) BDD_REF'!$C$243:$C$262)))</f>
        <v>0</v>
      </c>
      <c r="J7" s="68">
        <f>IF(Eligibilité_projet!I13="Hors climat Mediterranéen",LOOKUP(RECant_biom!$A$7,'(ne pas modifier) BDD_REF'!$A$243:$A$262,'(ne pas modifier) BDD_REF'!$B$243:$B$262),IF(Eligibilité_projet!I13="",0,LOOKUP(RECant_biom!$A$7,'(ne pas modifier) BDD_REF'!$A$243:$A$262,'(ne pas modifier) BDD_REF'!$C$243:$C$262)))</f>
        <v>0</v>
      </c>
      <c r="K7" s="68">
        <f>IF(Eligibilité_projet!J13="Hors climat Mediterranéen",LOOKUP(RECant_biom!$A$7,'(ne pas modifier) BDD_REF'!$A$243:$A$262,'(ne pas modifier) BDD_REF'!$B$243:$B$262),IF(Eligibilité_projet!J13="",0,LOOKUP(RECant_biom!$A$7,'(ne pas modifier) BDD_REF'!$A$243:$A$262,'(ne pas modifier) BDD_REF'!$C$243:$C$262)))</f>
        <v>0</v>
      </c>
      <c r="L7" s="68">
        <f>IF(Eligibilité_projet!K13="Hors climat Mediterranéen",LOOKUP(RECant_biom!$A$7,'(ne pas modifier) BDD_REF'!$A$243:$A$262,'(ne pas modifier) BDD_REF'!$B$243:$B$262),IF(Eligibilité_projet!K13="",0,LOOKUP(RECant_biom!$A$7,'(ne pas modifier) BDD_REF'!$A$243:$A$262,'(ne pas modifier) BDD_REF'!$C$243:$C$262)))</f>
        <v>0</v>
      </c>
      <c r="M7" s="68">
        <f t="shared" si="0"/>
        <v>16.799999999999997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48">
        <v>4</v>
      </c>
      <c r="B8" s="35" t="s">
        <v>173</v>
      </c>
      <c r="C8" s="68">
        <f>IF(Eligibilité_projet!B13="Hors climat Mediterranéen",LOOKUP(RECant_biom!$A$8,'(ne pas modifier) BDD_REF'!$A$243:$A$262,'(ne pas modifier) BDD_REF'!$B$243:$B$262),IF(Eligibilité_projet!B13="",0,LOOKUP(RECant_biom!$A$8,'(ne pas modifier) BDD_REF'!$A$243:$A$262,'(ne pas modifier) BDD_REF'!$C$243:$C$262)))</f>
        <v>7.1</v>
      </c>
      <c r="D8" s="68">
        <f>IF(Eligibilité_projet!C13="Hors climat Mediterranéen",LOOKUP(RECant_biom!$A$8,'(ne pas modifier) BDD_REF'!$A$243:$A$262,'(ne pas modifier) BDD_REF'!$B$243:$B$262),IF(Eligibilité_projet!C13="",0,LOOKUP(RECant_biom!$A$8,'(ne pas modifier) BDD_REF'!$A$243:$A$262,'(ne pas modifier) BDD_REF'!$C$243:$C$262)))</f>
        <v>7.1</v>
      </c>
      <c r="E8" s="68">
        <f>IF(Eligibilité_projet!D13="Hors climat Mediterranéen",LOOKUP(RECant_biom!$A$8,'(ne pas modifier) BDD_REF'!$A$243:$A$262,'(ne pas modifier) BDD_REF'!$B$243:$B$262),IF(Eligibilité_projet!D13="",0,LOOKUP(RECant_biom!$A$8,'(ne pas modifier) BDD_REF'!$A$243:$A$262,'(ne pas modifier) BDD_REF'!$C$243:$C$262)))</f>
        <v>7.1</v>
      </c>
      <c r="F8" s="68">
        <f>IF(Eligibilité_projet!E13="Hors climat Mediterranéen",LOOKUP(RECant_biom!$A$8,'(ne pas modifier) BDD_REF'!$A$243:$A$262,'(ne pas modifier) BDD_REF'!$B$243:$B$262),IF(Eligibilité_projet!E13="",0,LOOKUP(RECant_biom!$A$8,'(ne pas modifier) BDD_REF'!$A$243:$A$262,'(ne pas modifier) BDD_REF'!$C$243:$C$262)))</f>
        <v>0</v>
      </c>
      <c r="G8" s="68">
        <f>IF(Eligibilité_projet!F13="Hors climat Mediterranéen",LOOKUP(RECant_biom!$A$8,'(ne pas modifier) BDD_REF'!$A$243:$A$262,'(ne pas modifier) BDD_REF'!$B$243:$B$262),IF(Eligibilité_projet!F13="",0,LOOKUP(RECant_biom!$A$8,'(ne pas modifier) BDD_REF'!$A$243:$A$262,'(ne pas modifier) BDD_REF'!$C$243:$C$262)))</f>
        <v>0</v>
      </c>
      <c r="H8" s="68">
        <f>IF(Eligibilité_projet!G13="Hors climat Mediterranéen",LOOKUP(RECant_biom!$A$8,'(ne pas modifier) BDD_REF'!$A$243:$A$262,'(ne pas modifier) BDD_REF'!$B$243:$B$262),IF(Eligibilité_projet!G13="",0,LOOKUP(RECant_biom!$A$8,'(ne pas modifier) BDD_REF'!$A$243:$A$262,'(ne pas modifier) BDD_REF'!$C$243:$C$262)))</f>
        <v>0</v>
      </c>
      <c r="I8" s="68">
        <f>IF(Eligibilité_projet!H13="Hors climat Mediterranéen",LOOKUP(RECant_biom!$A$8,'(ne pas modifier) BDD_REF'!$A$243:$A$262,'(ne pas modifier) BDD_REF'!$B$243:$B$262),IF(Eligibilité_projet!H13="",0,LOOKUP(RECant_biom!$A$8,'(ne pas modifier) BDD_REF'!$A$243:$A$262,'(ne pas modifier) BDD_REF'!$C$243:$C$262)))</f>
        <v>0</v>
      </c>
      <c r="J8" s="68">
        <f>IF(Eligibilité_projet!I13="Hors climat Mediterranéen",LOOKUP(RECant_biom!$A$8,'(ne pas modifier) BDD_REF'!$A$243:$A$262,'(ne pas modifier) BDD_REF'!$B$243:$B$262),IF(Eligibilité_projet!I13="",0,LOOKUP(RECant_biom!$A$8,'(ne pas modifier) BDD_REF'!$A$243:$A$262,'(ne pas modifier) BDD_REF'!$C$243:$C$262)))</f>
        <v>0</v>
      </c>
      <c r="K8" s="68">
        <f>IF(Eligibilité_projet!J13="Hors climat Mediterranéen",LOOKUP(RECant_biom!$A$8,'(ne pas modifier) BDD_REF'!$A$243:$A$262,'(ne pas modifier) BDD_REF'!$B$243:$B$262),IF(Eligibilité_projet!J13="",0,LOOKUP(RECant_biom!$A$8,'(ne pas modifier) BDD_REF'!$A$243:$A$262,'(ne pas modifier) BDD_REF'!$C$243:$C$262)))</f>
        <v>0</v>
      </c>
      <c r="L8" s="68">
        <f>IF(Eligibilité_projet!K13="Hors climat Mediterranéen",LOOKUP(RECant_biom!$A$8,'(ne pas modifier) BDD_REF'!$A$243:$A$262,'(ne pas modifier) BDD_REF'!$B$243:$B$262),IF(Eligibilité_projet!K13="",0,LOOKUP(RECant_biom!$A$8,'(ne pas modifier) BDD_REF'!$A$243:$A$262,'(ne pas modifier) BDD_REF'!$C$243:$C$262)))</f>
        <v>0</v>
      </c>
      <c r="M8" s="68">
        <f t="shared" si="0"/>
        <v>21.299999999999997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48">
        <v>5</v>
      </c>
      <c r="B9" s="35" t="s">
        <v>173</v>
      </c>
      <c r="C9" s="68">
        <f>IF(Eligibilité_projet!B13="Hors climat Mediterranéen",LOOKUP(RECant_biom!$A$9,'(ne pas modifier) BDD_REF'!$A$243:$A$262,'(ne pas modifier) BDD_REF'!$B$243:$B$262),IF(Eligibilité_projet!B13="",0,LOOKUP(RECant_biom!$A$9,'(ne pas modifier) BDD_REF'!$A$243:$A$262,'(ne pas modifier) BDD_REF'!$C$243:$C$262)))</f>
        <v>7.4</v>
      </c>
      <c r="D9" s="68">
        <f>IF(Eligibilité_projet!C13="Hors climat Mediterranéen",LOOKUP(RECant_biom!$A$9,'(ne pas modifier) BDD_REF'!$A$243:$A$262,'(ne pas modifier) BDD_REF'!$B$243:$B$262),IF(Eligibilité_projet!C13="",0,LOOKUP(RECant_biom!$A$9,'(ne pas modifier) BDD_REF'!$A$243:$A$262,'(ne pas modifier) BDD_REF'!$C$243:$C$262)))</f>
        <v>7.4</v>
      </c>
      <c r="E9" s="68">
        <f>IF(Eligibilité_projet!D13="Hors climat Mediterranéen",LOOKUP(RECant_biom!$A$9,'(ne pas modifier) BDD_REF'!$A$243:$A$262,'(ne pas modifier) BDD_REF'!$B$243:$B$262),IF(Eligibilité_projet!D13="",0,LOOKUP(RECant_biom!$A$9,'(ne pas modifier) BDD_REF'!$A$243:$A$262,'(ne pas modifier) BDD_REF'!$C$243:$C$262)))</f>
        <v>7.4</v>
      </c>
      <c r="F9" s="68">
        <f>IF(Eligibilité_projet!E13="Hors climat Mediterranéen",LOOKUP(RECant_biom!$A$9,'(ne pas modifier) BDD_REF'!$A$243:$A$262,'(ne pas modifier) BDD_REF'!$B$243:$B$262),IF(Eligibilité_projet!E13="",0,LOOKUP(RECant_biom!$A$9,'(ne pas modifier) BDD_REF'!$A$243:$A$262,'(ne pas modifier) BDD_REF'!$C$243:$C$262)))</f>
        <v>0</v>
      </c>
      <c r="G9" s="68">
        <f>IF(Eligibilité_projet!F13="Hors climat Mediterranéen",LOOKUP(RECant_biom!$A$9,'(ne pas modifier) BDD_REF'!$A$243:$A$262,'(ne pas modifier) BDD_REF'!$B$243:$B$262),IF(Eligibilité_projet!F13="",0,LOOKUP(RECant_biom!$A$9,'(ne pas modifier) BDD_REF'!$A$243:$A$262,'(ne pas modifier) BDD_REF'!$C$243:$C$262)))</f>
        <v>0</v>
      </c>
      <c r="H9" s="68">
        <f>IF(Eligibilité_projet!G13="Hors climat Mediterranéen",LOOKUP(RECant_biom!$A$9,'(ne pas modifier) BDD_REF'!$A$243:$A$262,'(ne pas modifier) BDD_REF'!$B$243:$B$262),IF(Eligibilité_projet!G13="",0,LOOKUP(RECant_biom!$A$9,'(ne pas modifier) BDD_REF'!$A$243:$A$262,'(ne pas modifier) BDD_REF'!$C$243:$C$262)))</f>
        <v>0</v>
      </c>
      <c r="I9" s="68">
        <f>IF(Eligibilité_projet!H13="Hors climat Mediterranéen",LOOKUP(RECant_biom!$A$9,'(ne pas modifier) BDD_REF'!$A$243:$A$262,'(ne pas modifier) BDD_REF'!$B$243:$B$262),IF(Eligibilité_projet!H13="",0,LOOKUP(RECant_biom!$A$9,'(ne pas modifier) BDD_REF'!$A$243:$A$262,'(ne pas modifier) BDD_REF'!$C$243:$C$262)))</f>
        <v>0</v>
      </c>
      <c r="J9" s="68">
        <f>IF(Eligibilité_projet!I13="Hors climat Mediterranéen",LOOKUP(RECant_biom!$A$9,'(ne pas modifier) BDD_REF'!$A$243:$A$262,'(ne pas modifier) BDD_REF'!$B$243:$B$262),IF(Eligibilité_projet!I13="",0,LOOKUP(RECant_biom!$A$9,'(ne pas modifier) BDD_REF'!$A$243:$A$262,'(ne pas modifier) BDD_REF'!$C$243:$C$262)))</f>
        <v>0</v>
      </c>
      <c r="K9" s="68">
        <f>IF(Eligibilité_projet!J13="Hors climat Mediterranéen",LOOKUP(RECant_biom!$A$9,'(ne pas modifier) BDD_REF'!$A$243:$A$262,'(ne pas modifier) BDD_REF'!$B$243:$B$262),IF(Eligibilité_projet!J13="",0,LOOKUP(RECant_biom!$A$9,'(ne pas modifier) BDD_REF'!$A$243:$A$262,'(ne pas modifier) BDD_REF'!$C$243:$C$262)))</f>
        <v>0</v>
      </c>
      <c r="L9" s="68">
        <f>IF(Eligibilité_projet!K13="Hors climat Mediterranéen",LOOKUP(RECant_biom!$A$9,'(ne pas modifier) BDD_REF'!$A$243:$A$262,'(ne pas modifier) BDD_REF'!$B$243:$B$262),IF(Eligibilité_projet!K13="",0,LOOKUP(RECant_biom!$A$9,'(ne pas modifier) BDD_REF'!$A$243:$A$262,'(ne pas modifier) BDD_REF'!$C$243:$C$262)))</f>
        <v>0</v>
      </c>
      <c r="M9" s="68">
        <f t="shared" si="0"/>
        <v>22.200000000000003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48">
        <v>6</v>
      </c>
      <c r="B10" s="35" t="s">
        <v>173</v>
      </c>
      <c r="C10" s="68">
        <f>IF(Eligibilité_projet!B13="Hors climat Mediterranéen",LOOKUP(RECant_biom!$A$10,'(ne pas modifier) BDD_REF'!$A$243:$A$262,'(ne pas modifier) BDD_REF'!$B$243:$B$262),IF(Eligibilité_projet!B13="",0,LOOKUP(RECant_biom!$A$10,'(ne pas modifier) BDD_REF'!$A$243:$A$262,'(ne pas modifier) BDD_REF'!$C$243:$C$262)))</f>
        <v>8.6</v>
      </c>
      <c r="D10" s="68">
        <f>IF(Eligibilité_projet!C13="Hors climat Mediterranéen",LOOKUP(RECant_biom!$A$10,'(ne pas modifier) BDD_REF'!$A$243:$A$262,'(ne pas modifier) BDD_REF'!$B$243:$B$262),IF(Eligibilité_projet!C13="",0,LOOKUP(RECant_biom!$A$10,'(ne pas modifier) BDD_REF'!$A$243:$A$262,'(ne pas modifier) BDD_REF'!$C$243:$C$262)))</f>
        <v>8.6</v>
      </c>
      <c r="E10" s="68">
        <f>IF(Eligibilité_projet!D13="Hors climat Mediterranéen",LOOKUP(RECant_biom!$A$10,'(ne pas modifier) BDD_REF'!$A$243:$A$262,'(ne pas modifier) BDD_REF'!$B$243:$B$262),IF(Eligibilité_projet!D13="",0,LOOKUP(RECant_biom!$A$10,'(ne pas modifier) BDD_REF'!$A$243:$A$262,'(ne pas modifier) BDD_REF'!$C$243:$C$262)))</f>
        <v>8.6</v>
      </c>
      <c r="F10" s="68">
        <f>IF(Eligibilité_projet!E13="Hors climat Mediterranéen",LOOKUP(RECant_biom!$A$10,'(ne pas modifier) BDD_REF'!$A$243:$A$262,'(ne pas modifier) BDD_REF'!$B$243:$B$262),IF(Eligibilité_projet!E13="",0,LOOKUP(RECant_biom!$A$10,'(ne pas modifier) BDD_REF'!$A$243:$A$262,'(ne pas modifier) BDD_REF'!$C$243:$C$262)))</f>
        <v>0</v>
      </c>
      <c r="G10" s="68">
        <f>IF(Eligibilité_projet!F13="Hors climat Mediterranéen",LOOKUP(RECant_biom!$A$10,'(ne pas modifier) BDD_REF'!$A$243:$A$262,'(ne pas modifier) BDD_REF'!$B$243:$B$262),IF(Eligibilité_projet!F13="",0,LOOKUP(RECant_biom!$A$10,'(ne pas modifier) BDD_REF'!$A$243:$A$262,'(ne pas modifier) BDD_REF'!$C$243:$C$262)))</f>
        <v>0</v>
      </c>
      <c r="H10" s="68">
        <f>IF(Eligibilité_projet!G13="Hors climat Mediterranéen",LOOKUP(RECant_biom!$A$10,'(ne pas modifier) BDD_REF'!$A$243:$A$262,'(ne pas modifier) BDD_REF'!$B$243:$B$262),IF(Eligibilité_projet!G13="",0,LOOKUP(RECant_biom!$A$10,'(ne pas modifier) BDD_REF'!$A$243:$A$262,'(ne pas modifier) BDD_REF'!$C$243:$C$262)))</f>
        <v>0</v>
      </c>
      <c r="I10" s="68">
        <f>IF(Eligibilité_projet!H13="Hors climat Mediterranéen",LOOKUP(RECant_biom!$A$10,'(ne pas modifier) BDD_REF'!$A$243:$A$262,'(ne pas modifier) BDD_REF'!$B$243:$B$262),IF(Eligibilité_projet!H13="",0,LOOKUP(RECant_biom!$A$10,'(ne pas modifier) BDD_REF'!$A$243:$A$262,'(ne pas modifier) BDD_REF'!$C$243:$C$262)))</f>
        <v>0</v>
      </c>
      <c r="J10" s="68">
        <f>IF(Eligibilité_projet!I13="Hors climat Mediterranéen",LOOKUP(RECant_biom!$A$10,'(ne pas modifier) BDD_REF'!$A$243:$A$262,'(ne pas modifier) BDD_REF'!$B$243:$B$262),IF(Eligibilité_projet!I13="",0,LOOKUP(RECant_biom!$A$10,'(ne pas modifier) BDD_REF'!$A$243:$A$262,'(ne pas modifier) BDD_REF'!$C$243:$C$262)))</f>
        <v>0</v>
      </c>
      <c r="K10" s="68">
        <f>IF(Eligibilité_projet!J13="Hors climat Mediterranéen",LOOKUP(RECant_biom!$A$10,'(ne pas modifier) BDD_REF'!$A$243:$A$262,'(ne pas modifier) BDD_REF'!$B$243:$B$262),IF(Eligibilité_projet!J13="",0,LOOKUP(RECant_biom!$A$10,'(ne pas modifier) BDD_REF'!$A$243:$A$262,'(ne pas modifier) BDD_REF'!$C$243:$C$262)))</f>
        <v>0</v>
      </c>
      <c r="L10" s="68">
        <f>IF(Eligibilité_projet!K13="Hors climat Mediterranéen",LOOKUP(RECant_biom!$A$10,'(ne pas modifier) BDD_REF'!$A$243:$A$262,'(ne pas modifier) BDD_REF'!$B$243:$B$262),IF(Eligibilité_projet!K13="",0,LOOKUP(RECant_biom!$A$10,'(ne pas modifier) BDD_REF'!$A$243:$A$262,'(ne pas modifier) BDD_REF'!$C$243:$C$262)))</f>
        <v>0</v>
      </c>
      <c r="M10" s="68">
        <f t="shared" si="0"/>
        <v>25.799999999999997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48">
        <v>7</v>
      </c>
      <c r="B11" s="35" t="s">
        <v>173</v>
      </c>
      <c r="C11" s="68">
        <f>IF(Eligibilité_projet!B13="Hors climat Mediterranéen",LOOKUP(RECant_biom!$A$11,'(ne pas modifier) BDD_REF'!$A$243:$A$262,'(ne pas modifier) BDD_REF'!$B$243:$B$262),IF(Eligibilité_projet!B13="",0,LOOKUP(RECant_biom!$A$11,'(ne pas modifier) BDD_REF'!$A$243:$A$262,'(ne pas modifier) BDD_REF'!$C$243:$C$262)))</f>
        <v>9.8000000000000007</v>
      </c>
      <c r="D11" s="68">
        <f>IF(Eligibilité_projet!C13="Hors climat Mediterranéen",LOOKUP(RECant_biom!$A$11,'(ne pas modifier) BDD_REF'!$A$243:$A$262,'(ne pas modifier) BDD_REF'!$B$243:$B$262),IF(Eligibilité_projet!C13="",0,LOOKUP(RECant_biom!$A$11,'(ne pas modifier) BDD_REF'!$A$243:$A$262,'(ne pas modifier) BDD_REF'!$C$243:$C$262)))</f>
        <v>9.8000000000000007</v>
      </c>
      <c r="E11" s="68">
        <f>IF(Eligibilité_projet!D13="Hors climat Mediterranéen",LOOKUP(RECant_biom!$A$11,'(ne pas modifier) BDD_REF'!$A$243:$A$262,'(ne pas modifier) BDD_REF'!$B$243:$B$262),IF(Eligibilité_projet!D13="",0,LOOKUP(RECant_biom!$A$11,'(ne pas modifier) BDD_REF'!$A$243:$A$262,'(ne pas modifier) BDD_REF'!$C$243:$C$262)))</f>
        <v>9.8000000000000007</v>
      </c>
      <c r="F11" s="68">
        <f>IF(Eligibilité_projet!E13="Hors climat Mediterranéen",LOOKUP(RECant_biom!$A$11,'(ne pas modifier) BDD_REF'!$A$243:$A$262,'(ne pas modifier) BDD_REF'!$B$243:$B$262),IF(Eligibilité_projet!E13="",0,LOOKUP(RECant_biom!$A$11,'(ne pas modifier) BDD_REF'!$A$243:$A$262,'(ne pas modifier) BDD_REF'!$C$243:$C$262)))</f>
        <v>0</v>
      </c>
      <c r="G11" s="68">
        <f>IF(Eligibilité_projet!F13="Hors climat Mediterranéen",LOOKUP(RECant_biom!$A$11,'(ne pas modifier) BDD_REF'!$A$243:$A$262,'(ne pas modifier) BDD_REF'!$B$243:$B$262),IF(Eligibilité_projet!F13="",0,LOOKUP(RECant_biom!$A$11,'(ne pas modifier) BDD_REF'!$A$243:$A$262,'(ne pas modifier) BDD_REF'!$C$243:$C$262)))</f>
        <v>0</v>
      </c>
      <c r="H11" s="68">
        <f>IF(Eligibilité_projet!G13="Hors climat Mediterranéen",LOOKUP(RECant_biom!$A$11,'(ne pas modifier) BDD_REF'!$A$243:$A$262,'(ne pas modifier) BDD_REF'!$B$243:$B$262),IF(Eligibilité_projet!G13="",0,LOOKUP(RECant_biom!$A$11,'(ne pas modifier) BDD_REF'!$A$243:$A$262,'(ne pas modifier) BDD_REF'!$C$243:$C$262)))</f>
        <v>0</v>
      </c>
      <c r="I11" s="68">
        <f>IF(Eligibilité_projet!H13="Hors climat Mediterranéen",LOOKUP(RECant_biom!$A$11,'(ne pas modifier) BDD_REF'!$A$243:$A$262,'(ne pas modifier) BDD_REF'!$B$243:$B$262),IF(Eligibilité_projet!H13="",0,LOOKUP(RECant_biom!$A$11,'(ne pas modifier) BDD_REF'!$A$243:$A$262,'(ne pas modifier) BDD_REF'!$C$243:$C$262)))</f>
        <v>0</v>
      </c>
      <c r="J11" s="68">
        <f>IF(Eligibilité_projet!I13="Hors climat Mediterranéen",LOOKUP(RECant_biom!$A$11,'(ne pas modifier) BDD_REF'!$A$243:$A$262,'(ne pas modifier) BDD_REF'!$B$243:$B$262),IF(Eligibilité_projet!I13="",0,LOOKUP(RECant_biom!$A$11,'(ne pas modifier) BDD_REF'!$A$243:$A$262,'(ne pas modifier) BDD_REF'!$C$243:$C$262)))</f>
        <v>0</v>
      </c>
      <c r="K11" s="68">
        <f>IF(Eligibilité_projet!J13="Hors climat Mediterranéen",LOOKUP(RECant_biom!$A$11,'(ne pas modifier) BDD_REF'!$A$243:$A$262,'(ne pas modifier) BDD_REF'!$B$243:$B$262),IF(Eligibilité_projet!J13="",0,LOOKUP(RECant_biom!$A$11,'(ne pas modifier) BDD_REF'!$A$243:$A$262,'(ne pas modifier) BDD_REF'!$C$243:$C$262)))</f>
        <v>0</v>
      </c>
      <c r="L11" s="68">
        <f>IF(Eligibilité_projet!K13="Hors climat Mediterranéen",LOOKUP(RECant_biom!$A$11,'(ne pas modifier) BDD_REF'!$A$243:$A$262,'(ne pas modifier) BDD_REF'!$B$243:$B$262),IF(Eligibilité_projet!K13="",0,LOOKUP(RECant_biom!$A$11,'(ne pas modifier) BDD_REF'!$A$243:$A$262,'(ne pas modifier) BDD_REF'!$C$243:$C$262)))</f>
        <v>0</v>
      </c>
      <c r="M11" s="68">
        <f t="shared" si="0"/>
        <v>29.400000000000002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48">
        <v>8</v>
      </c>
      <c r="B12" s="35" t="s">
        <v>173</v>
      </c>
      <c r="C12" s="68">
        <f>IF(Eligibilité_projet!B13="Hors climat Mediterranéen",LOOKUP(RECant_biom!$A$12,'(ne pas modifier) BDD_REF'!$A$243:$A$262,'(ne pas modifier) BDD_REF'!$B$243:$B$262),IF(Eligibilité_projet!B13="",0,LOOKUP(RECant_biom!$A$12,'(ne pas modifier) BDD_REF'!$A$243:$A$262,'(ne pas modifier) BDD_REF'!$C$243:$C$262)))</f>
        <v>11.1</v>
      </c>
      <c r="D12" s="68">
        <f>IF(Eligibilité_projet!C13="Hors climat Mediterranéen",LOOKUP(RECant_biom!$A$12,'(ne pas modifier) BDD_REF'!$A$243:$A$262,'(ne pas modifier) BDD_REF'!$B$243:$B$262),IF(Eligibilité_projet!C13="",0,LOOKUP(RECant_biom!$A$12,'(ne pas modifier) BDD_REF'!$A$243:$A$262,'(ne pas modifier) BDD_REF'!$C$243:$C$262)))</f>
        <v>11.1</v>
      </c>
      <c r="E12" s="68">
        <f>IF(Eligibilité_projet!D13="Hors climat Mediterranéen",LOOKUP(RECant_biom!$A$12,'(ne pas modifier) BDD_REF'!$A$243:$A$262,'(ne pas modifier) BDD_REF'!$B$243:$B$262),IF(Eligibilité_projet!D13="",0,LOOKUP(RECant_biom!$A$12,'(ne pas modifier) BDD_REF'!$A$243:$A$262,'(ne pas modifier) BDD_REF'!$C$243:$C$262)))</f>
        <v>11.1</v>
      </c>
      <c r="F12" s="68">
        <f>IF(Eligibilité_projet!E13="Hors climat Mediterranéen",LOOKUP(RECant_biom!$A$12,'(ne pas modifier) BDD_REF'!$A$243:$A$262,'(ne pas modifier) BDD_REF'!$B$243:$B$262),IF(Eligibilité_projet!E13="",0,LOOKUP(RECant_biom!$A$12,'(ne pas modifier) BDD_REF'!$A$243:$A$262,'(ne pas modifier) BDD_REF'!$C$243:$C$262)))</f>
        <v>0</v>
      </c>
      <c r="G12" s="68">
        <f>IF(Eligibilité_projet!F13="Hors climat Mediterranéen",LOOKUP(RECant_biom!$A$12,'(ne pas modifier) BDD_REF'!$A$243:$A$262,'(ne pas modifier) BDD_REF'!$B$243:$B$262),IF(Eligibilité_projet!F13="",0,LOOKUP(RECant_biom!$A$12,'(ne pas modifier) BDD_REF'!$A$243:$A$262,'(ne pas modifier) BDD_REF'!$C$243:$C$262)))</f>
        <v>0</v>
      </c>
      <c r="H12" s="68">
        <f>IF(Eligibilité_projet!G13="Hors climat Mediterranéen",LOOKUP(RECant_biom!$A$12,'(ne pas modifier) BDD_REF'!$A$243:$A$262,'(ne pas modifier) BDD_REF'!$B$243:$B$262),IF(Eligibilité_projet!G13="",0,LOOKUP(RECant_biom!$A$12,'(ne pas modifier) BDD_REF'!$A$243:$A$262,'(ne pas modifier) BDD_REF'!$C$243:$C$262)))</f>
        <v>0</v>
      </c>
      <c r="I12" s="68">
        <f>IF(Eligibilité_projet!H13="Hors climat Mediterranéen",LOOKUP(RECant_biom!$A$12,'(ne pas modifier) BDD_REF'!$A$243:$A$262,'(ne pas modifier) BDD_REF'!$B$243:$B$262),IF(Eligibilité_projet!H13="",0,LOOKUP(RECant_biom!$A$12,'(ne pas modifier) BDD_REF'!$A$243:$A$262,'(ne pas modifier) BDD_REF'!$C$243:$C$262)))</f>
        <v>0</v>
      </c>
      <c r="J12" s="68">
        <f>IF(Eligibilité_projet!I13="Hors climat Mediterranéen",LOOKUP(RECant_biom!$A$12,'(ne pas modifier) BDD_REF'!$A$243:$A$262,'(ne pas modifier) BDD_REF'!$B$243:$B$262),IF(Eligibilité_projet!I13="",0,LOOKUP(RECant_biom!$A$12,'(ne pas modifier) BDD_REF'!$A$243:$A$262,'(ne pas modifier) BDD_REF'!$C$243:$C$262)))</f>
        <v>0</v>
      </c>
      <c r="K12" s="68">
        <f>IF(Eligibilité_projet!J13="Hors climat Mediterranéen",LOOKUP(RECant_biom!$A$12,'(ne pas modifier) BDD_REF'!$A$243:$A$262,'(ne pas modifier) BDD_REF'!$B$243:$B$262),IF(Eligibilité_projet!J13="",0,LOOKUP(RECant_biom!$A$12,'(ne pas modifier) BDD_REF'!$A$243:$A$262,'(ne pas modifier) BDD_REF'!$C$243:$C$262)))</f>
        <v>0</v>
      </c>
      <c r="L12" s="68">
        <f>IF(Eligibilité_projet!K13="Hors climat Mediterranéen",LOOKUP(RECant_biom!$A$12,'(ne pas modifier) BDD_REF'!$A$243:$A$262,'(ne pas modifier) BDD_REF'!$B$243:$B$262),IF(Eligibilité_projet!K13="",0,LOOKUP(RECant_biom!$A$12,'(ne pas modifier) BDD_REF'!$A$243:$A$262,'(ne pas modifier) BDD_REF'!$C$243:$C$262)))</f>
        <v>0</v>
      </c>
      <c r="M12" s="68">
        <f t="shared" si="0"/>
        <v>33.299999999999997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48">
        <v>9</v>
      </c>
      <c r="B13" s="35" t="s">
        <v>173</v>
      </c>
      <c r="C13" s="68">
        <f>IF(Eligibilité_projet!B13="Hors climat Mediterranéen",LOOKUP(RECant_biom!$A$13,'(ne pas modifier) BDD_REF'!$A$243:$A$262,'(ne pas modifier) BDD_REF'!$B$243:$B$262),IF(Eligibilité_projet!B13="",0,LOOKUP(RECant_biom!$A$13,'(ne pas modifier) BDD_REF'!$A$243:$A$262,'(ne pas modifier) BDD_REF'!$C$243:$C$262)))</f>
        <v>12.3</v>
      </c>
      <c r="D13" s="68">
        <f>IF(Eligibilité_projet!C13="Hors climat Mediterranéen",LOOKUP(RECant_biom!$A$13,'(ne pas modifier) BDD_REF'!$A$243:$A$262,'(ne pas modifier) BDD_REF'!$B$243:$B$262),IF(Eligibilité_projet!C13="",0,LOOKUP(RECant_biom!$A$13,'(ne pas modifier) BDD_REF'!$A$243:$A$262,'(ne pas modifier) BDD_REF'!$C$243:$C$262)))</f>
        <v>12.3</v>
      </c>
      <c r="E13" s="68">
        <f>IF(Eligibilité_projet!D13="Hors climat Mediterranéen",LOOKUP(RECant_biom!$A$13,'(ne pas modifier) BDD_REF'!$A$243:$A$262,'(ne pas modifier) BDD_REF'!$B$243:$B$262),IF(Eligibilité_projet!D13="",0,LOOKUP(RECant_biom!$A$13,'(ne pas modifier) BDD_REF'!$A$243:$A$262,'(ne pas modifier) BDD_REF'!$C$243:$C$262)))</f>
        <v>12.3</v>
      </c>
      <c r="F13" s="68">
        <f>IF(Eligibilité_projet!E13="Hors climat Mediterranéen",LOOKUP(RECant_biom!$A$13,'(ne pas modifier) BDD_REF'!$A$243:$A$262,'(ne pas modifier) BDD_REF'!$B$243:$B$262),IF(Eligibilité_projet!E13="",0,LOOKUP(RECant_biom!$A$13,'(ne pas modifier) BDD_REF'!$A$243:$A$262,'(ne pas modifier) BDD_REF'!$C$243:$C$262)))</f>
        <v>0</v>
      </c>
      <c r="G13" s="68">
        <f>IF(Eligibilité_projet!F13="Hors climat Mediterranéen",LOOKUP(RECant_biom!$A$13,'(ne pas modifier) BDD_REF'!$A$243:$A$262,'(ne pas modifier) BDD_REF'!$B$243:$B$262),IF(Eligibilité_projet!F13="",0,LOOKUP(RECant_biom!$A$13,'(ne pas modifier) BDD_REF'!$A$243:$A$262,'(ne pas modifier) BDD_REF'!$C$243:$C$262)))</f>
        <v>0</v>
      </c>
      <c r="H13" s="68">
        <f>IF(Eligibilité_projet!G13="Hors climat Mediterranéen",LOOKUP(RECant_biom!$A$13,'(ne pas modifier) BDD_REF'!$A$243:$A$262,'(ne pas modifier) BDD_REF'!$B$243:$B$262),IF(Eligibilité_projet!G13="",0,LOOKUP(RECant_biom!$A$13,'(ne pas modifier) BDD_REF'!$A$243:$A$262,'(ne pas modifier) BDD_REF'!$C$243:$C$262)))</f>
        <v>0</v>
      </c>
      <c r="I13" s="68">
        <f>IF(Eligibilité_projet!H13="Hors climat Mediterranéen",LOOKUP(RECant_biom!$A$13,'(ne pas modifier) BDD_REF'!$A$243:$A$262,'(ne pas modifier) BDD_REF'!$B$243:$B$262),IF(Eligibilité_projet!H13="",0,LOOKUP(RECant_biom!$A$13,'(ne pas modifier) BDD_REF'!$A$243:$A$262,'(ne pas modifier) BDD_REF'!$C$243:$C$262)))</f>
        <v>0</v>
      </c>
      <c r="J13" s="68">
        <f>IF(Eligibilité_projet!I13="Hors climat Mediterranéen",LOOKUP(RECant_biom!$A$13,'(ne pas modifier) BDD_REF'!$A$243:$A$262,'(ne pas modifier) BDD_REF'!$B$243:$B$262),IF(Eligibilité_projet!I13="",0,LOOKUP(RECant_biom!$A$13,'(ne pas modifier) BDD_REF'!$A$243:$A$262,'(ne pas modifier) BDD_REF'!$C$243:$C$262)))</f>
        <v>0</v>
      </c>
      <c r="K13" s="68">
        <f>IF(Eligibilité_projet!J13="Hors climat Mediterranéen",LOOKUP(RECant_biom!$A$13,'(ne pas modifier) BDD_REF'!$A$243:$A$262,'(ne pas modifier) BDD_REF'!$B$243:$B$262),IF(Eligibilité_projet!J13="",0,LOOKUP(RECant_biom!$A$13,'(ne pas modifier) BDD_REF'!$A$243:$A$262,'(ne pas modifier) BDD_REF'!$C$243:$C$262)))</f>
        <v>0</v>
      </c>
      <c r="L13" s="68">
        <f>IF(Eligibilité_projet!K13="Hors climat Mediterranéen",LOOKUP(RECant_biom!$A$13,'(ne pas modifier) BDD_REF'!$A$243:$A$262,'(ne pas modifier) BDD_REF'!$B$243:$B$262),IF(Eligibilité_projet!K13="",0,LOOKUP(RECant_biom!$A$13,'(ne pas modifier) BDD_REF'!$A$243:$A$262,'(ne pas modifier) BDD_REF'!$C$243:$C$262)))</f>
        <v>0</v>
      </c>
      <c r="M13" s="68">
        <f t="shared" si="0"/>
        <v>36.900000000000006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48">
        <v>10</v>
      </c>
      <c r="B14" s="35" t="s">
        <v>173</v>
      </c>
      <c r="C14" s="68">
        <f>IF(Eligibilité_projet!B13="Hors climat Mediterranéen",LOOKUP(RECant_biom!$A$14,'(ne pas modifier) BDD_REF'!$A$243:$A$262,'(ne pas modifier) BDD_REF'!$B$243:$B$262),IF(Eligibilité_projet!B13="",0,LOOKUP(RECant_biom!$A$14,'(ne pas modifier) BDD_REF'!$A$243:$A$262,'(ne pas modifier) BDD_REF'!$C$243:$C$262)))</f>
        <v>13.5</v>
      </c>
      <c r="D14" s="68">
        <f>IF(Eligibilité_projet!C13="Hors climat Mediterranéen",LOOKUP(RECant_biom!$A$14,'(ne pas modifier) BDD_REF'!$A$243:$A$262,'(ne pas modifier) BDD_REF'!$B$243:$B$262),IF(Eligibilité_projet!C13="",0,LOOKUP(RECant_biom!$A$14,'(ne pas modifier) BDD_REF'!$A$243:$A$262,'(ne pas modifier) BDD_REF'!$C$243:$C$262)))</f>
        <v>13.5</v>
      </c>
      <c r="E14" s="68">
        <f>IF(Eligibilité_projet!D13="Hors climat Mediterranéen",LOOKUP(RECant_biom!$A$14,'(ne pas modifier) BDD_REF'!$A$243:$A$262,'(ne pas modifier) BDD_REF'!$B$243:$B$262),IF(Eligibilité_projet!D13="",0,LOOKUP(RECant_biom!$A$14,'(ne pas modifier) BDD_REF'!$A$243:$A$262,'(ne pas modifier) BDD_REF'!$C$243:$C$262)))</f>
        <v>13.5</v>
      </c>
      <c r="F14" s="68">
        <f>IF(Eligibilité_projet!E13="Hors climat Mediterranéen",LOOKUP(RECant_biom!$A$14,'(ne pas modifier) BDD_REF'!$A$243:$A$262,'(ne pas modifier) BDD_REF'!$B$243:$B$262),IF(Eligibilité_projet!E13="",0,LOOKUP(RECant_biom!$A$14,'(ne pas modifier) BDD_REF'!$A$243:$A$262,'(ne pas modifier) BDD_REF'!$C$243:$C$262)))</f>
        <v>0</v>
      </c>
      <c r="G14" s="68">
        <f>IF(Eligibilité_projet!F13="Hors climat Mediterranéen",LOOKUP(RECant_biom!$A$14,'(ne pas modifier) BDD_REF'!$A$243:$A$262,'(ne pas modifier) BDD_REF'!$B$243:$B$262),IF(Eligibilité_projet!F13="",0,LOOKUP(RECant_biom!$A$14,'(ne pas modifier) BDD_REF'!$A$243:$A$262,'(ne pas modifier) BDD_REF'!$C$243:$C$262)))</f>
        <v>0</v>
      </c>
      <c r="H14" s="68">
        <f>IF(Eligibilité_projet!G13="Hors climat Mediterranéen",LOOKUP(RECant_biom!$A$14,'(ne pas modifier) BDD_REF'!$A$243:$A$262,'(ne pas modifier) BDD_REF'!$B$243:$B$262),IF(Eligibilité_projet!G13="",0,LOOKUP(RECant_biom!$A$14,'(ne pas modifier) BDD_REF'!$A$243:$A$262,'(ne pas modifier) BDD_REF'!$C$243:$C$262)))</f>
        <v>0</v>
      </c>
      <c r="I14" s="68">
        <f>IF(Eligibilité_projet!H13="Hors climat Mediterranéen",LOOKUP(RECant_biom!$A$14,'(ne pas modifier) BDD_REF'!$A$243:$A$262,'(ne pas modifier) BDD_REF'!$B$243:$B$262),IF(Eligibilité_projet!H13="",0,LOOKUP(RECant_biom!$A$14,'(ne pas modifier) BDD_REF'!$A$243:$A$262,'(ne pas modifier) BDD_REF'!$C$243:$C$262)))</f>
        <v>0</v>
      </c>
      <c r="J14" s="68">
        <f>IF(Eligibilité_projet!I13="Hors climat Mediterranéen",LOOKUP(RECant_biom!$A$14,'(ne pas modifier) BDD_REF'!$A$243:$A$262,'(ne pas modifier) BDD_REF'!$B$243:$B$262),IF(Eligibilité_projet!I13="",0,LOOKUP(RECant_biom!$A$14,'(ne pas modifier) BDD_REF'!$A$243:$A$262,'(ne pas modifier) BDD_REF'!$C$243:$C$262)))</f>
        <v>0</v>
      </c>
      <c r="K14" s="68">
        <f>IF(Eligibilité_projet!J13="Hors climat Mediterranéen",LOOKUP(RECant_biom!$A$14,'(ne pas modifier) BDD_REF'!$A$243:$A$262,'(ne pas modifier) BDD_REF'!$B$243:$B$262),IF(Eligibilité_projet!J13="",0,LOOKUP(RECant_biom!$A$14,'(ne pas modifier) BDD_REF'!$A$243:$A$262,'(ne pas modifier) BDD_REF'!$C$243:$C$262)))</f>
        <v>0</v>
      </c>
      <c r="L14" s="68">
        <f>IF(Eligibilité_projet!K13="Hors climat Mediterranéen",LOOKUP(RECant_biom!$A$14,'(ne pas modifier) BDD_REF'!$A$243:$A$262,'(ne pas modifier) BDD_REF'!$B$243:$B$262),IF(Eligibilité_projet!K13="",0,LOOKUP(RECant_biom!$A$14,'(ne pas modifier) BDD_REF'!$A$243:$A$262,'(ne pas modifier) BDD_REF'!$C$243:$C$262)))</f>
        <v>0</v>
      </c>
      <c r="M14" s="68">
        <f t="shared" si="0"/>
        <v>40.5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48">
        <v>11</v>
      </c>
      <c r="B15" s="35" t="s">
        <v>173</v>
      </c>
      <c r="C15" s="68">
        <f>IF(Eligibilité_projet!B13="Hors climat Mediterranéen",LOOKUP(RECant_biom!$A$15,'(ne pas modifier) BDD_REF'!$A$243:$A$262,'(ne pas modifier) BDD_REF'!$B$243:$B$262),IF(Eligibilité_projet!B13="",0,LOOKUP(RECant_biom!$A$15,'(ne pas modifier) BDD_REF'!$A$243:$A$262,'(ne pas modifier) BDD_REF'!$C$243:$C$262)))</f>
        <v>13.9</v>
      </c>
      <c r="D15" s="68">
        <f>IF(Eligibilité_projet!C13="Hors climat Mediterranéen",LOOKUP(RECant_biom!$A$15,'(ne pas modifier) BDD_REF'!$A$243:$A$262,'(ne pas modifier) BDD_REF'!$B$243:$B$262),IF(Eligibilité_projet!C13="",0,LOOKUP(RECant_biom!$A$15,'(ne pas modifier) BDD_REF'!$A$243:$A$262,'(ne pas modifier) BDD_REF'!$C$243:$C$262)))</f>
        <v>13.9</v>
      </c>
      <c r="E15" s="68">
        <f>IF(Eligibilité_projet!D13="Hors climat Mediterranéen",LOOKUP(RECant_biom!$A$15,'(ne pas modifier) BDD_REF'!$A$243:$A$262,'(ne pas modifier) BDD_REF'!$B$243:$B$262),IF(Eligibilité_projet!D13="",0,LOOKUP(RECant_biom!$A$15,'(ne pas modifier) BDD_REF'!$A$243:$A$262,'(ne pas modifier) BDD_REF'!$C$243:$C$262)))</f>
        <v>13.9</v>
      </c>
      <c r="F15" s="68">
        <f>IF(Eligibilité_projet!E13="Hors climat Mediterranéen",LOOKUP(RECant_biom!$A$15,'(ne pas modifier) BDD_REF'!$A$243:$A$262,'(ne pas modifier) BDD_REF'!$B$243:$B$262),IF(Eligibilité_projet!E13="",0,LOOKUP(RECant_biom!$A$15,'(ne pas modifier) BDD_REF'!$A$243:$A$262,'(ne pas modifier) BDD_REF'!$C$243:$C$262)))</f>
        <v>0</v>
      </c>
      <c r="G15" s="68">
        <f>IF(Eligibilité_projet!F13="Hors climat Mediterranéen",LOOKUP(RECant_biom!$A$15,'(ne pas modifier) BDD_REF'!$A$243:$A$262,'(ne pas modifier) BDD_REF'!$B$243:$B$262),IF(Eligibilité_projet!F13="",0,LOOKUP(RECant_biom!$A$15,'(ne pas modifier) BDD_REF'!$A$243:$A$262,'(ne pas modifier) BDD_REF'!$C$243:$C$262)))</f>
        <v>0</v>
      </c>
      <c r="H15" s="68">
        <f>IF(Eligibilité_projet!G13="Hors climat Mediterranéen",LOOKUP(RECant_biom!$A$15,'(ne pas modifier) BDD_REF'!$A$243:$A$262,'(ne pas modifier) BDD_REF'!$B$243:$B$262),IF(Eligibilité_projet!G13="",0,LOOKUP(RECant_biom!$A$15,'(ne pas modifier) BDD_REF'!$A$243:$A$262,'(ne pas modifier) BDD_REF'!$C$243:$C$262)))</f>
        <v>0</v>
      </c>
      <c r="I15" s="68">
        <f>IF(Eligibilité_projet!H13="Hors climat Mediterranéen",LOOKUP(RECant_biom!$A$15,'(ne pas modifier) BDD_REF'!$A$243:$A$262,'(ne pas modifier) BDD_REF'!$B$243:$B$262),IF(Eligibilité_projet!H13="",0,LOOKUP(RECant_biom!$A$15,'(ne pas modifier) BDD_REF'!$A$243:$A$262,'(ne pas modifier) BDD_REF'!$C$243:$C$262)))</f>
        <v>0</v>
      </c>
      <c r="J15" s="68">
        <f>IF(Eligibilité_projet!I13="Hors climat Mediterranéen",LOOKUP(RECant_biom!$A$15,'(ne pas modifier) BDD_REF'!$A$243:$A$262,'(ne pas modifier) BDD_REF'!$B$243:$B$262),IF(Eligibilité_projet!I13="",0,LOOKUP(RECant_biom!$A$15,'(ne pas modifier) BDD_REF'!$A$243:$A$262,'(ne pas modifier) BDD_REF'!$C$243:$C$262)))</f>
        <v>0</v>
      </c>
      <c r="K15" s="68">
        <f>IF(Eligibilité_projet!J13="Hors climat Mediterranéen",LOOKUP(RECant_biom!$A$15,'(ne pas modifier) BDD_REF'!$A$243:$A$262,'(ne pas modifier) BDD_REF'!$B$243:$B$262),IF(Eligibilité_projet!J13="",0,LOOKUP(RECant_biom!$A$15,'(ne pas modifier) BDD_REF'!$A$243:$A$262,'(ne pas modifier) BDD_REF'!$C$243:$C$262)))</f>
        <v>0</v>
      </c>
      <c r="L15" s="68">
        <f>IF(Eligibilité_projet!K13="Hors climat Mediterranéen",LOOKUP(RECant_biom!$A$15,'(ne pas modifier) BDD_REF'!$A$243:$A$262,'(ne pas modifier) BDD_REF'!$B$243:$B$262),IF(Eligibilité_projet!K13="",0,LOOKUP(RECant_biom!$A$15,'(ne pas modifier) BDD_REF'!$A$243:$A$262,'(ne pas modifier) BDD_REF'!$C$243:$C$262)))</f>
        <v>0</v>
      </c>
      <c r="M15" s="68">
        <f t="shared" si="0"/>
        <v>41.7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48">
        <v>12</v>
      </c>
      <c r="B16" s="35" t="s">
        <v>173</v>
      </c>
      <c r="C16" s="68">
        <f>IF(Eligibilité_projet!B13="Hors climat Mediterranéen",LOOKUP(RECant_biom!$A$16,'(ne pas modifier) BDD_REF'!$A$243:$A$262,'(ne pas modifier) BDD_REF'!$B$243:$B$262),IF(Eligibilité_projet!B13="",0,LOOKUP(RECant_biom!$A$16,'(ne pas modifier) BDD_REF'!$A$243:$A$262,'(ne pas modifier) BDD_REF'!$C$243:$C$262)))</f>
        <v>14.3</v>
      </c>
      <c r="D16" s="68">
        <f>IF(Eligibilité_projet!C13="Hors climat Mediterranéen",LOOKUP(RECant_biom!$A$16,'(ne pas modifier) BDD_REF'!$A$243:$A$262,'(ne pas modifier) BDD_REF'!$B$243:$B$262),IF(Eligibilité_projet!C13="",0,LOOKUP(RECant_biom!$A$16,'(ne pas modifier) BDD_REF'!$A$243:$A$262,'(ne pas modifier) BDD_REF'!$C$243:$C$262)))</f>
        <v>14.3</v>
      </c>
      <c r="E16" s="68">
        <f>IF(Eligibilité_projet!D13="Hors climat Mediterranéen",LOOKUP(RECant_biom!$A$16,'(ne pas modifier) BDD_REF'!$A$243:$A$262,'(ne pas modifier) BDD_REF'!$B$243:$B$262),IF(Eligibilité_projet!D13="",0,LOOKUP(RECant_biom!$A$16,'(ne pas modifier) BDD_REF'!$A$243:$A$262,'(ne pas modifier) BDD_REF'!$C$243:$C$262)))</f>
        <v>14.3</v>
      </c>
      <c r="F16" s="68">
        <f>IF(Eligibilité_projet!E13="Hors climat Mediterranéen",LOOKUP(RECant_biom!$A$16,'(ne pas modifier) BDD_REF'!$A$243:$A$262,'(ne pas modifier) BDD_REF'!$B$243:$B$262),IF(Eligibilité_projet!E13="",0,LOOKUP(RECant_biom!$A$16,'(ne pas modifier) BDD_REF'!$A$243:$A$262,'(ne pas modifier) BDD_REF'!$C$243:$C$262)))</f>
        <v>0</v>
      </c>
      <c r="G16" s="68">
        <f>IF(Eligibilité_projet!F13="Hors climat Mediterranéen",LOOKUP(RECant_biom!$A$16,'(ne pas modifier) BDD_REF'!$A$243:$A$262,'(ne pas modifier) BDD_REF'!$B$243:$B$262),IF(Eligibilité_projet!F13="",0,LOOKUP(RECant_biom!$A$16,'(ne pas modifier) BDD_REF'!$A$243:$A$262,'(ne pas modifier) BDD_REF'!$C$243:$C$262)))</f>
        <v>0</v>
      </c>
      <c r="H16" s="68">
        <f>IF(Eligibilité_projet!G13="Hors climat Mediterranéen",LOOKUP(RECant_biom!$A$16,'(ne pas modifier) BDD_REF'!$A$243:$A$262,'(ne pas modifier) BDD_REF'!$B$243:$B$262),IF(Eligibilité_projet!G13="",0,LOOKUP(RECant_biom!$A$16,'(ne pas modifier) BDD_REF'!$A$243:$A$262,'(ne pas modifier) BDD_REF'!$C$243:$C$262)))</f>
        <v>0</v>
      </c>
      <c r="I16" s="68">
        <f>IF(Eligibilité_projet!H13="Hors climat Mediterranéen",LOOKUP(RECant_biom!$A$16,'(ne pas modifier) BDD_REF'!$A$243:$A$262,'(ne pas modifier) BDD_REF'!$B$243:$B$262),IF(Eligibilité_projet!H13="",0,LOOKUP(RECant_biom!$A$16,'(ne pas modifier) BDD_REF'!$A$243:$A$262,'(ne pas modifier) BDD_REF'!$C$243:$C$262)))</f>
        <v>0</v>
      </c>
      <c r="J16" s="68">
        <f>IF(Eligibilité_projet!I13="Hors climat Mediterranéen",LOOKUP(RECant_biom!$A$16,'(ne pas modifier) BDD_REF'!$A$243:$A$262,'(ne pas modifier) BDD_REF'!$B$243:$B$262),IF(Eligibilité_projet!I13="",0,LOOKUP(RECant_biom!$A$16,'(ne pas modifier) BDD_REF'!$A$243:$A$262,'(ne pas modifier) BDD_REF'!$C$243:$C$262)))</f>
        <v>0</v>
      </c>
      <c r="K16" s="68">
        <f>IF(Eligibilité_projet!J13="Hors climat Mediterranéen",LOOKUP(RECant_biom!$A$16,'(ne pas modifier) BDD_REF'!$A$243:$A$262,'(ne pas modifier) BDD_REF'!$B$243:$B$262),IF(Eligibilité_projet!J13="",0,LOOKUP(RECant_biom!$A$16,'(ne pas modifier) BDD_REF'!$A$243:$A$262,'(ne pas modifier) BDD_REF'!$C$243:$C$262)))</f>
        <v>0</v>
      </c>
      <c r="L16" s="68">
        <f>IF(Eligibilité_projet!K13="Hors climat Mediterranéen",LOOKUP(RECant_biom!$A$16,'(ne pas modifier) BDD_REF'!$A$243:$A$262,'(ne pas modifier) BDD_REF'!$B$243:$B$262),IF(Eligibilité_projet!K13="",0,LOOKUP(RECant_biom!$A$16,'(ne pas modifier) BDD_REF'!$A$243:$A$262,'(ne pas modifier) BDD_REF'!$C$243:$C$262)))</f>
        <v>0</v>
      </c>
      <c r="M16" s="68">
        <f t="shared" si="0"/>
        <v>42.900000000000006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48">
        <v>13</v>
      </c>
      <c r="B17" s="35" t="s">
        <v>173</v>
      </c>
      <c r="C17" s="68">
        <f>IF(Eligibilité_projet!B13="Hors climat Mediterranéen",LOOKUP(RECant_biom!$A$17,'(ne pas modifier) BDD_REF'!$A$243:$A$262,'(ne pas modifier) BDD_REF'!$B$243:$B$262),IF(Eligibilité_projet!B13="",0,LOOKUP(RECant_biom!$A$17,'(ne pas modifier) BDD_REF'!$A$243:$A$262,'(ne pas modifier) BDD_REF'!$C$243:$C$262)))</f>
        <v>14.7</v>
      </c>
      <c r="D17" s="68">
        <f>IF(Eligibilité_projet!C13="Hors climat Mediterranéen",LOOKUP(RECant_biom!$A$17,'(ne pas modifier) BDD_REF'!$A$243:$A$262,'(ne pas modifier) BDD_REF'!$B$243:$B$262),IF(Eligibilité_projet!C13="",0,LOOKUP(RECant_biom!$A$17,'(ne pas modifier) BDD_REF'!$A$243:$A$262,'(ne pas modifier) BDD_REF'!$C$243:$C$262)))</f>
        <v>14.7</v>
      </c>
      <c r="E17" s="68">
        <f>IF(Eligibilité_projet!D13="Hors climat Mediterranéen",LOOKUP(RECant_biom!$A$17,'(ne pas modifier) BDD_REF'!$A$243:$A$262,'(ne pas modifier) BDD_REF'!$B$243:$B$262),IF(Eligibilité_projet!D13="",0,LOOKUP(RECant_biom!$A$17,'(ne pas modifier) BDD_REF'!$A$243:$A$262,'(ne pas modifier) BDD_REF'!$C$243:$C$262)))</f>
        <v>14.7</v>
      </c>
      <c r="F17" s="68">
        <f>IF(Eligibilité_projet!E13="Hors climat Mediterranéen",LOOKUP(RECant_biom!$A$17,'(ne pas modifier) BDD_REF'!$A$243:$A$262,'(ne pas modifier) BDD_REF'!$B$243:$B$262),IF(Eligibilité_projet!E13="",0,LOOKUP(RECant_biom!$A$17,'(ne pas modifier) BDD_REF'!$A$243:$A$262,'(ne pas modifier) BDD_REF'!$C$243:$C$262)))</f>
        <v>0</v>
      </c>
      <c r="G17" s="68">
        <f>IF(Eligibilité_projet!F13="Hors climat Mediterranéen",LOOKUP(RECant_biom!$A$17,'(ne pas modifier) BDD_REF'!$A$243:$A$262,'(ne pas modifier) BDD_REF'!$B$243:$B$262),IF(Eligibilité_projet!F13="",0,LOOKUP(RECant_biom!$A$17,'(ne pas modifier) BDD_REF'!$A$243:$A$262,'(ne pas modifier) BDD_REF'!$C$243:$C$262)))</f>
        <v>0</v>
      </c>
      <c r="H17" s="68">
        <f>IF(Eligibilité_projet!G13="Hors climat Mediterranéen",LOOKUP(RECant_biom!$A$17,'(ne pas modifier) BDD_REF'!$A$243:$A$262,'(ne pas modifier) BDD_REF'!$B$243:$B$262),IF(Eligibilité_projet!G13="",0,LOOKUP(RECant_biom!$A$17,'(ne pas modifier) BDD_REF'!$A$243:$A$262,'(ne pas modifier) BDD_REF'!$C$243:$C$262)))</f>
        <v>0</v>
      </c>
      <c r="I17" s="68">
        <f>IF(Eligibilité_projet!H13="Hors climat Mediterranéen",LOOKUP(RECant_biom!$A$17,'(ne pas modifier) BDD_REF'!$A$243:$A$262,'(ne pas modifier) BDD_REF'!$B$243:$B$262),IF(Eligibilité_projet!H13="",0,LOOKUP(RECant_biom!$A$17,'(ne pas modifier) BDD_REF'!$A$243:$A$262,'(ne pas modifier) BDD_REF'!$C$243:$C$262)))</f>
        <v>0</v>
      </c>
      <c r="J17" s="68">
        <f>IF(Eligibilité_projet!I13="Hors climat Mediterranéen",LOOKUP(RECant_biom!$A$17,'(ne pas modifier) BDD_REF'!$A$243:$A$262,'(ne pas modifier) BDD_REF'!$B$243:$B$262),IF(Eligibilité_projet!I13="",0,LOOKUP(RECant_biom!$A$17,'(ne pas modifier) BDD_REF'!$A$243:$A$262,'(ne pas modifier) BDD_REF'!$C$243:$C$262)))</f>
        <v>0</v>
      </c>
      <c r="K17" s="68">
        <f>IF(Eligibilité_projet!J13="Hors climat Mediterranéen",LOOKUP(RECant_biom!$A$17,'(ne pas modifier) BDD_REF'!$A$243:$A$262,'(ne pas modifier) BDD_REF'!$B$243:$B$262),IF(Eligibilité_projet!J13="",0,LOOKUP(RECant_biom!$A$17,'(ne pas modifier) BDD_REF'!$A$243:$A$262,'(ne pas modifier) BDD_REF'!$C$243:$C$262)))</f>
        <v>0</v>
      </c>
      <c r="L17" s="68">
        <f>IF(Eligibilité_projet!K13="Hors climat Mediterranéen",LOOKUP(RECant_biom!$A$17,'(ne pas modifier) BDD_REF'!$A$243:$A$262,'(ne pas modifier) BDD_REF'!$B$243:$B$262),IF(Eligibilité_projet!K13="",0,LOOKUP(RECant_biom!$A$17,'(ne pas modifier) BDD_REF'!$A$243:$A$262,'(ne pas modifier) BDD_REF'!$C$243:$C$262)))</f>
        <v>0</v>
      </c>
      <c r="M17" s="68">
        <f t="shared" si="0"/>
        <v>44.099999999999994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48">
        <v>14</v>
      </c>
      <c r="B18" s="35" t="s">
        <v>173</v>
      </c>
      <c r="C18" s="68">
        <f>IF(Eligibilité_projet!B13="Hors climat Mediterranéen",LOOKUP(RECant_biom!$A$18,'(ne pas modifier) BDD_REF'!$A$243:$A$262,'(ne pas modifier) BDD_REF'!$B$243:$B$262),IF(Eligibilité_projet!B13="",0,LOOKUP(RECant_biom!$A$18,'(ne pas modifier) BDD_REF'!$A$243:$A$262,'(ne pas modifier) BDD_REF'!$C$243:$C$262)))</f>
        <v>15.1</v>
      </c>
      <c r="D18" s="68">
        <f>IF(Eligibilité_projet!C13="Hors climat Mediterranéen",LOOKUP(RECant_biom!$A$18,'(ne pas modifier) BDD_REF'!$A$243:$A$262,'(ne pas modifier) BDD_REF'!$B$243:$B$262),IF(Eligibilité_projet!C13="",0,LOOKUP(RECant_biom!$A$18,'(ne pas modifier) BDD_REF'!$A$243:$A$262,'(ne pas modifier) BDD_REF'!$C$243:$C$262)))</f>
        <v>15.1</v>
      </c>
      <c r="E18" s="68">
        <f>IF(Eligibilité_projet!D13="Hors climat Mediterranéen",LOOKUP(RECant_biom!$A$18,'(ne pas modifier) BDD_REF'!$A$243:$A$262,'(ne pas modifier) BDD_REF'!$B$243:$B$262),IF(Eligibilité_projet!D13="",0,LOOKUP(RECant_biom!$A$18,'(ne pas modifier) BDD_REF'!$A$243:$A$262,'(ne pas modifier) BDD_REF'!$C$243:$C$262)))</f>
        <v>15.1</v>
      </c>
      <c r="F18" s="68">
        <f>IF(Eligibilité_projet!E13="Hors climat Mediterranéen",LOOKUP(RECant_biom!$A$18,'(ne pas modifier) BDD_REF'!$A$243:$A$262,'(ne pas modifier) BDD_REF'!$B$243:$B$262),IF(Eligibilité_projet!E13="",0,LOOKUP(RECant_biom!$A$18,'(ne pas modifier) BDD_REF'!$A$243:$A$262,'(ne pas modifier) BDD_REF'!$C$243:$C$262)))</f>
        <v>0</v>
      </c>
      <c r="G18" s="68">
        <f>IF(Eligibilité_projet!F13="Hors climat Mediterranéen",LOOKUP(RECant_biom!$A$18,'(ne pas modifier) BDD_REF'!$A$243:$A$262,'(ne pas modifier) BDD_REF'!$B$243:$B$262),IF(Eligibilité_projet!F13="",0,LOOKUP(RECant_biom!$A$18,'(ne pas modifier) BDD_REF'!$A$243:$A$262,'(ne pas modifier) BDD_REF'!$C$243:$C$262)))</f>
        <v>0</v>
      </c>
      <c r="H18" s="68">
        <f>IF(Eligibilité_projet!G13="Hors climat Mediterranéen",LOOKUP(RECant_biom!$A$18,'(ne pas modifier) BDD_REF'!$A$243:$A$262,'(ne pas modifier) BDD_REF'!$B$243:$B$262),IF(Eligibilité_projet!G13="",0,LOOKUP(RECant_biom!$A$18,'(ne pas modifier) BDD_REF'!$A$243:$A$262,'(ne pas modifier) BDD_REF'!$C$243:$C$262)))</f>
        <v>0</v>
      </c>
      <c r="I18" s="68">
        <f>IF(Eligibilité_projet!H13="Hors climat Mediterranéen",LOOKUP(RECant_biom!$A$18,'(ne pas modifier) BDD_REF'!$A$243:$A$262,'(ne pas modifier) BDD_REF'!$B$243:$B$262),IF(Eligibilité_projet!H13="",0,LOOKUP(RECant_biom!$A$18,'(ne pas modifier) BDD_REF'!$A$243:$A$262,'(ne pas modifier) BDD_REF'!$C$243:$C$262)))</f>
        <v>0</v>
      </c>
      <c r="J18" s="68">
        <f>IF(Eligibilité_projet!I13="Hors climat Mediterranéen",LOOKUP(RECant_biom!$A$18,'(ne pas modifier) BDD_REF'!$A$243:$A$262,'(ne pas modifier) BDD_REF'!$B$243:$B$262),IF(Eligibilité_projet!I13="",0,LOOKUP(RECant_biom!$A$18,'(ne pas modifier) BDD_REF'!$A$243:$A$262,'(ne pas modifier) BDD_REF'!$C$243:$C$262)))</f>
        <v>0</v>
      </c>
      <c r="K18" s="68">
        <f>IF(Eligibilité_projet!J13="Hors climat Mediterranéen",LOOKUP(RECant_biom!$A$18,'(ne pas modifier) BDD_REF'!$A$243:$A$262,'(ne pas modifier) BDD_REF'!$B$243:$B$262),IF(Eligibilité_projet!J13="",0,LOOKUP(RECant_biom!$A$18,'(ne pas modifier) BDD_REF'!$A$243:$A$262,'(ne pas modifier) BDD_REF'!$C$243:$C$262)))</f>
        <v>0</v>
      </c>
      <c r="L18" s="68">
        <f>IF(Eligibilité_projet!K13="Hors climat Mediterranéen",LOOKUP(RECant_biom!$A$18,'(ne pas modifier) BDD_REF'!$A$243:$A$262,'(ne pas modifier) BDD_REF'!$B$243:$B$262),IF(Eligibilité_projet!K13="",0,LOOKUP(RECant_biom!$A$18,'(ne pas modifier) BDD_REF'!$A$243:$A$262,'(ne pas modifier) BDD_REF'!$C$243:$C$262)))</f>
        <v>0</v>
      </c>
      <c r="M18" s="68">
        <f t="shared" si="0"/>
        <v>45.3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48">
        <v>15</v>
      </c>
      <c r="B19" s="35" t="s">
        <v>173</v>
      </c>
      <c r="C19" s="68">
        <f>IF(Eligibilité_projet!B13="Hors climat Mediterranéen",LOOKUP(RECant_biom!$A$19,'(ne pas modifier) BDD_REF'!$A$243:$A$262,'(ne pas modifier) BDD_REF'!$B$243:$B$262),IF(Eligibilité_projet!B13="",0,LOOKUP(RECant_biom!$A$19,'(ne pas modifier) BDD_REF'!$A$243:$A$262,'(ne pas modifier) BDD_REF'!$C$243:$C$262)))</f>
        <v>15.6</v>
      </c>
      <c r="D19" s="68">
        <f>IF(Eligibilité_projet!C13="Hors climat Mediterranéen",LOOKUP(RECant_biom!$A$19,'(ne pas modifier) BDD_REF'!$A$243:$A$262,'(ne pas modifier) BDD_REF'!$B$243:$B$262),IF(Eligibilité_projet!C13="",0,LOOKUP(RECant_biom!$A$19,'(ne pas modifier) BDD_REF'!$A$243:$A$262,'(ne pas modifier) BDD_REF'!$C$243:$C$262)))</f>
        <v>15.6</v>
      </c>
      <c r="E19" s="68">
        <f>IF(Eligibilité_projet!D13="Hors climat Mediterranéen",LOOKUP(RECant_biom!$A$19,'(ne pas modifier) BDD_REF'!$A$243:$A$262,'(ne pas modifier) BDD_REF'!$B$243:$B$262),IF(Eligibilité_projet!D13="",0,LOOKUP(RECant_biom!$A$19,'(ne pas modifier) BDD_REF'!$A$243:$A$262,'(ne pas modifier) BDD_REF'!$C$243:$C$262)))</f>
        <v>15.6</v>
      </c>
      <c r="F19" s="68">
        <f>IF(Eligibilité_projet!E13="Hors climat Mediterranéen",LOOKUP(RECant_biom!$A$19,'(ne pas modifier) BDD_REF'!$A$243:$A$262,'(ne pas modifier) BDD_REF'!$B$243:$B$262),IF(Eligibilité_projet!E13="",0,LOOKUP(RECant_biom!$A$19,'(ne pas modifier) BDD_REF'!$A$243:$A$262,'(ne pas modifier) BDD_REF'!$C$243:$C$262)))</f>
        <v>0</v>
      </c>
      <c r="G19" s="68">
        <f>IF(Eligibilité_projet!F13="Hors climat Mediterranéen",LOOKUP(RECant_biom!$A$19,'(ne pas modifier) BDD_REF'!$A$243:$A$262,'(ne pas modifier) BDD_REF'!$B$243:$B$262),IF(Eligibilité_projet!F13="",0,LOOKUP(RECant_biom!$A$19,'(ne pas modifier) BDD_REF'!$A$243:$A$262,'(ne pas modifier) BDD_REF'!$C$243:$C$262)))</f>
        <v>0</v>
      </c>
      <c r="H19" s="68">
        <f>IF(Eligibilité_projet!G13="Hors climat Mediterranéen",LOOKUP(RECant_biom!$A$19,'(ne pas modifier) BDD_REF'!$A$243:$A$262,'(ne pas modifier) BDD_REF'!$B$243:$B$262),IF(Eligibilité_projet!G13="",0,LOOKUP(RECant_biom!$A$19,'(ne pas modifier) BDD_REF'!$A$243:$A$262,'(ne pas modifier) BDD_REF'!$C$243:$C$262)))</f>
        <v>0</v>
      </c>
      <c r="I19" s="68">
        <f>IF(Eligibilité_projet!H13="Hors climat Mediterranéen",LOOKUP(RECant_biom!$A$19,'(ne pas modifier) BDD_REF'!$A$243:$A$262,'(ne pas modifier) BDD_REF'!$B$243:$B$262),IF(Eligibilité_projet!H13="",0,LOOKUP(RECant_biom!$A$19,'(ne pas modifier) BDD_REF'!$A$243:$A$262,'(ne pas modifier) BDD_REF'!$C$243:$C$262)))</f>
        <v>0</v>
      </c>
      <c r="J19" s="68">
        <f>IF(Eligibilité_projet!I13="Hors climat Mediterranéen",LOOKUP(RECant_biom!$A$19,'(ne pas modifier) BDD_REF'!$A$243:$A$262,'(ne pas modifier) BDD_REF'!$B$243:$B$262),IF(Eligibilité_projet!I13="",0,LOOKUP(RECant_biom!$A$19,'(ne pas modifier) BDD_REF'!$A$243:$A$262,'(ne pas modifier) BDD_REF'!$C$243:$C$262)))</f>
        <v>0</v>
      </c>
      <c r="K19" s="68">
        <f>IF(Eligibilité_projet!J13="Hors climat Mediterranéen",LOOKUP(RECant_biom!$A$19,'(ne pas modifier) BDD_REF'!$A$243:$A$262,'(ne pas modifier) BDD_REF'!$B$243:$B$262),IF(Eligibilité_projet!J13="",0,LOOKUP(RECant_biom!$A$19,'(ne pas modifier) BDD_REF'!$A$243:$A$262,'(ne pas modifier) BDD_REF'!$C$243:$C$262)))</f>
        <v>0</v>
      </c>
      <c r="L19" s="68">
        <f>IF(Eligibilité_projet!K13="Hors climat Mediterranéen",LOOKUP(RECant_biom!$A$19,'(ne pas modifier) BDD_REF'!$A$243:$A$262,'(ne pas modifier) BDD_REF'!$B$243:$B$262),IF(Eligibilité_projet!K13="",0,LOOKUP(RECant_biom!$A$19,'(ne pas modifier) BDD_REF'!$A$243:$A$262,'(ne pas modifier) BDD_REF'!$C$243:$C$262)))</f>
        <v>0</v>
      </c>
      <c r="M19" s="68">
        <f t="shared" si="0"/>
        <v>46.8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48">
        <v>16</v>
      </c>
      <c r="B20" s="35" t="s">
        <v>173</v>
      </c>
      <c r="C20" s="68">
        <f>IF(Eligibilité_projet!B13="Hors climat Mediterranéen",LOOKUP(RECant_biom!$A$20,'(ne pas modifier) BDD_REF'!$A$243:$A$262,'(ne pas modifier) BDD_REF'!$B$243:$B$262),IF(Eligibilité_projet!B13="",0,LOOKUP(RECant_biom!$A$20,'(ne pas modifier) BDD_REF'!$A$243:$A$262,'(ne pas modifier) BDD_REF'!$C$243:$C$262)))</f>
        <v>15.6</v>
      </c>
      <c r="D20" s="68">
        <f>IF(Eligibilité_projet!C13="Hors climat Mediterranéen",LOOKUP(RECant_biom!$A$20,'(ne pas modifier) BDD_REF'!$A$243:$A$262,'(ne pas modifier) BDD_REF'!$B$243:$B$262),IF(Eligibilité_projet!C13="",0,LOOKUP(RECant_biom!$A$20,'(ne pas modifier) BDD_REF'!$A$243:$A$262,'(ne pas modifier) BDD_REF'!$C$243:$C$262)))</f>
        <v>15.6</v>
      </c>
      <c r="E20" s="68">
        <f>IF(Eligibilité_projet!D13="Hors climat Mediterranéen",LOOKUP(RECant_biom!$A$20,'(ne pas modifier) BDD_REF'!$A$243:$A$262,'(ne pas modifier) BDD_REF'!$B$243:$B$262),IF(Eligibilité_projet!D13="",0,LOOKUP(RECant_biom!$A$20,'(ne pas modifier) BDD_REF'!$A$243:$A$262,'(ne pas modifier) BDD_REF'!$C$243:$C$262)))</f>
        <v>15.6</v>
      </c>
      <c r="F20" s="68">
        <f>IF(Eligibilité_projet!E13="Hors climat Mediterranéen",LOOKUP(RECant_biom!$A$20,'(ne pas modifier) BDD_REF'!$A$243:$A$262,'(ne pas modifier) BDD_REF'!$B$243:$B$262),IF(Eligibilité_projet!E13="",0,LOOKUP(RECant_biom!$A$20,'(ne pas modifier) BDD_REF'!$A$243:$A$262,'(ne pas modifier) BDD_REF'!$C$243:$C$262)))</f>
        <v>0</v>
      </c>
      <c r="G20" s="68">
        <f>IF(Eligibilité_projet!F13="Hors climat Mediterranéen",LOOKUP(RECant_biom!$A$20,'(ne pas modifier) BDD_REF'!$A$243:$A$262,'(ne pas modifier) BDD_REF'!$B$243:$B$262),IF(Eligibilité_projet!F13="",0,LOOKUP(RECant_biom!$A$20,'(ne pas modifier) BDD_REF'!$A$243:$A$262,'(ne pas modifier) BDD_REF'!$C$243:$C$262)))</f>
        <v>0</v>
      </c>
      <c r="H20" s="68">
        <f>IF(Eligibilité_projet!G13="Hors climat Mediterranéen",LOOKUP(RECant_biom!$A$20,'(ne pas modifier) BDD_REF'!$A$243:$A$262,'(ne pas modifier) BDD_REF'!$B$243:$B$262),IF(Eligibilité_projet!G13="",0,LOOKUP(RECant_biom!$A$20,'(ne pas modifier) BDD_REF'!$A$243:$A$262,'(ne pas modifier) BDD_REF'!$C$243:$C$262)))</f>
        <v>0</v>
      </c>
      <c r="I20" s="68">
        <f>IF(Eligibilité_projet!H13="Hors climat Mediterranéen",LOOKUP(RECant_biom!$A$20,'(ne pas modifier) BDD_REF'!$A$243:$A$262,'(ne pas modifier) BDD_REF'!$B$243:$B$262),IF(Eligibilité_projet!H13="",0,LOOKUP(RECant_biom!$A$20,'(ne pas modifier) BDD_REF'!$A$243:$A$262,'(ne pas modifier) BDD_REF'!$C$243:$C$262)))</f>
        <v>0</v>
      </c>
      <c r="J20" s="68">
        <f>IF(Eligibilité_projet!I13="Hors climat Mediterranéen",LOOKUP(RECant_biom!$A$20,'(ne pas modifier) BDD_REF'!$A$243:$A$262,'(ne pas modifier) BDD_REF'!$B$243:$B$262),IF(Eligibilité_projet!I13="",0,LOOKUP(RECant_biom!$A$20,'(ne pas modifier) BDD_REF'!$A$243:$A$262,'(ne pas modifier) BDD_REF'!$C$243:$C$262)))</f>
        <v>0</v>
      </c>
      <c r="K20" s="68">
        <f>IF(Eligibilité_projet!J13="Hors climat Mediterranéen",LOOKUP(RECant_biom!$A$20,'(ne pas modifier) BDD_REF'!$A$243:$A$262,'(ne pas modifier) BDD_REF'!$B$243:$B$262),IF(Eligibilité_projet!J13="",0,LOOKUP(RECant_biom!$A$20,'(ne pas modifier) BDD_REF'!$A$243:$A$262,'(ne pas modifier) BDD_REF'!$C$243:$C$262)))</f>
        <v>0</v>
      </c>
      <c r="L20" s="68">
        <f>IF(Eligibilité_projet!K13="Hors climat Mediterranéen",LOOKUP(RECant_biom!$A$20,'(ne pas modifier) BDD_REF'!$A$243:$A$262,'(ne pas modifier) BDD_REF'!$B$243:$B$262),IF(Eligibilité_projet!K13="",0,LOOKUP(RECant_biom!$A$20,'(ne pas modifier) BDD_REF'!$A$243:$A$262,'(ne pas modifier) BDD_REF'!$C$243:$C$262)))</f>
        <v>0</v>
      </c>
      <c r="M20" s="68">
        <f t="shared" si="0"/>
        <v>46.8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48">
        <v>17</v>
      </c>
      <c r="B21" s="35" t="s">
        <v>173</v>
      </c>
      <c r="C21" s="68">
        <f>IF(Eligibilité_projet!B13="Hors climat Mediterranéen",LOOKUP(RECant_biom!$A$21,'(ne pas modifier) BDD_REF'!$A$243:$A$262,'(ne pas modifier) BDD_REF'!$B$243:$B$262),IF(Eligibilité_projet!B13="",0,LOOKUP(RECant_biom!$A$21,'(ne pas modifier) BDD_REF'!$A$243:$A$262,'(ne pas modifier) BDD_REF'!$C$243:$C$262)))</f>
        <v>15.7</v>
      </c>
      <c r="D21" s="68">
        <f>IF(Eligibilité_projet!C13="Hors climat Mediterranéen",LOOKUP(RECant_biom!$A$21,'(ne pas modifier) BDD_REF'!$A$243:$A$262,'(ne pas modifier) BDD_REF'!$B$243:$B$262),IF(Eligibilité_projet!C13="",0,LOOKUP(RECant_biom!$A$21,'(ne pas modifier) BDD_REF'!$A$243:$A$262,'(ne pas modifier) BDD_REF'!$C$243:$C$262)))</f>
        <v>15.7</v>
      </c>
      <c r="E21" s="68">
        <f>IF(Eligibilité_projet!D13="Hors climat Mediterranéen",LOOKUP(RECant_biom!$A$21,'(ne pas modifier) BDD_REF'!$A$243:$A$262,'(ne pas modifier) BDD_REF'!$B$243:$B$262),IF(Eligibilité_projet!D13="",0,LOOKUP(RECant_biom!$A$21,'(ne pas modifier) BDD_REF'!$A$243:$A$262,'(ne pas modifier) BDD_REF'!$C$243:$C$262)))</f>
        <v>15.7</v>
      </c>
      <c r="F21" s="68">
        <f>IF(Eligibilité_projet!E13="Hors climat Mediterranéen",LOOKUP(RECant_biom!$A$21,'(ne pas modifier) BDD_REF'!$A$243:$A$262,'(ne pas modifier) BDD_REF'!$B$243:$B$262),IF(Eligibilité_projet!E13="",0,LOOKUP(RECant_biom!$A$21,'(ne pas modifier) BDD_REF'!$A$243:$A$262,'(ne pas modifier) BDD_REF'!$C$243:$C$262)))</f>
        <v>0</v>
      </c>
      <c r="G21" s="68">
        <f>IF(Eligibilité_projet!F13="Hors climat Mediterranéen",LOOKUP(RECant_biom!$A$21,'(ne pas modifier) BDD_REF'!$A$243:$A$262,'(ne pas modifier) BDD_REF'!$B$243:$B$262),IF(Eligibilité_projet!F13="",0,LOOKUP(RECant_biom!$A$21,'(ne pas modifier) BDD_REF'!$A$243:$A$262,'(ne pas modifier) BDD_REF'!$C$243:$C$262)))</f>
        <v>0</v>
      </c>
      <c r="H21" s="68">
        <f>IF(Eligibilité_projet!G13="Hors climat Mediterranéen",LOOKUP(RECant_biom!$A$21,'(ne pas modifier) BDD_REF'!$A$243:$A$262,'(ne pas modifier) BDD_REF'!$B$243:$B$262),IF(Eligibilité_projet!G13="",0,LOOKUP(RECant_biom!$A$21,'(ne pas modifier) BDD_REF'!$A$243:$A$262,'(ne pas modifier) BDD_REF'!$C$243:$C$262)))</f>
        <v>0</v>
      </c>
      <c r="I21" s="68">
        <f>IF(Eligibilité_projet!H13="Hors climat Mediterranéen",LOOKUP(RECant_biom!$A$21,'(ne pas modifier) BDD_REF'!$A$243:$A$262,'(ne pas modifier) BDD_REF'!$B$243:$B$262),IF(Eligibilité_projet!H13="",0,LOOKUP(RECant_biom!$A$21,'(ne pas modifier) BDD_REF'!$A$243:$A$262,'(ne pas modifier) BDD_REF'!$C$243:$C$262)))</f>
        <v>0</v>
      </c>
      <c r="J21" s="68">
        <f>IF(Eligibilité_projet!I13="Hors climat Mediterranéen",LOOKUP(RECant_biom!$A$21,'(ne pas modifier) BDD_REF'!$A$243:$A$262,'(ne pas modifier) BDD_REF'!$B$243:$B$262),IF(Eligibilité_projet!I13="",0,LOOKUP(RECant_biom!$A$21,'(ne pas modifier) BDD_REF'!$A$243:$A$262,'(ne pas modifier) BDD_REF'!$C$243:$C$262)))</f>
        <v>0</v>
      </c>
      <c r="K21" s="68">
        <f>IF(Eligibilité_projet!J13="Hors climat Mediterranéen",LOOKUP(RECant_biom!$A$21,'(ne pas modifier) BDD_REF'!$A$243:$A$262,'(ne pas modifier) BDD_REF'!$B$243:$B$262),IF(Eligibilité_projet!J13="",0,LOOKUP(RECant_biom!$A$21,'(ne pas modifier) BDD_REF'!$A$243:$A$262,'(ne pas modifier) BDD_REF'!$C$243:$C$262)))</f>
        <v>0</v>
      </c>
      <c r="L21" s="68">
        <f>IF(Eligibilité_projet!K13="Hors climat Mediterranéen",LOOKUP(RECant_biom!$A$21,'(ne pas modifier) BDD_REF'!$A$243:$A$262,'(ne pas modifier) BDD_REF'!$B$243:$B$262),IF(Eligibilité_projet!K13="",0,LOOKUP(RECant_biom!$A$21,'(ne pas modifier) BDD_REF'!$A$243:$A$262,'(ne pas modifier) BDD_REF'!$C$243:$C$262)))</f>
        <v>0</v>
      </c>
      <c r="M21" s="68">
        <f t="shared" si="0"/>
        <v>47.099999999999994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48">
        <v>18</v>
      </c>
      <c r="B22" s="35" t="s">
        <v>173</v>
      </c>
      <c r="C22" s="68">
        <f>IF(Eligibilité_projet!B13="Hors climat Mediterranéen",LOOKUP(RECant_biom!$A$22,'(ne pas modifier) BDD_REF'!$A$243:$A$262,'(ne pas modifier) BDD_REF'!$B$243:$B$262),IF(Eligibilité_projet!B13="",0,LOOKUP(RECant_biom!$A$22,'(ne pas modifier) BDD_REF'!$A$243:$A$262,'(ne pas modifier) BDD_REF'!$C$243:$C$262)))</f>
        <v>15.8</v>
      </c>
      <c r="D22" s="68">
        <f>IF(Eligibilité_projet!C13="Hors climat Mediterranéen",LOOKUP(RECant_biom!$A$22,'(ne pas modifier) BDD_REF'!$A$243:$A$262,'(ne pas modifier) BDD_REF'!$B$243:$B$262),IF(Eligibilité_projet!C13="",0,LOOKUP(RECant_biom!$A$22,'(ne pas modifier) BDD_REF'!$A$243:$A$262,'(ne pas modifier) BDD_REF'!$C$243:$C$262)))</f>
        <v>15.8</v>
      </c>
      <c r="E22" s="68">
        <f>IF(Eligibilité_projet!D13="Hors climat Mediterranéen",LOOKUP(RECant_biom!$A$22,'(ne pas modifier) BDD_REF'!$A$243:$A$262,'(ne pas modifier) BDD_REF'!$B$243:$B$262),IF(Eligibilité_projet!D13="",0,LOOKUP(RECant_biom!$A$22,'(ne pas modifier) BDD_REF'!$A$243:$A$262,'(ne pas modifier) BDD_REF'!$C$243:$C$262)))</f>
        <v>15.8</v>
      </c>
      <c r="F22" s="68">
        <f>IF(Eligibilité_projet!E13="Hors climat Mediterranéen",LOOKUP(RECant_biom!$A$22,'(ne pas modifier) BDD_REF'!$A$243:$A$262,'(ne pas modifier) BDD_REF'!$B$243:$B$262),IF(Eligibilité_projet!E13="",0,LOOKUP(RECant_biom!$A$22,'(ne pas modifier) BDD_REF'!$A$243:$A$262,'(ne pas modifier) BDD_REF'!$C$243:$C$262)))</f>
        <v>0</v>
      </c>
      <c r="G22" s="68">
        <f>IF(Eligibilité_projet!F13="Hors climat Mediterranéen",LOOKUP(RECant_biom!$A$22,'(ne pas modifier) BDD_REF'!$A$243:$A$262,'(ne pas modifier) BDD_REF'!$B$243:$B$262),IF(Eligibilité_projet!F13="",0,LOOKUP(RECant_biom!$A$22,'(ne pas modifier) BDD_REF'!$A$243:$A$262,'(ne pas modifier) BDD_REF'!$C$243:$C$262)))</f>
        <v>0</v>
      </c>
      <c r="H22" s="68">
        <f>IF(Eligibilité_projet!G13="Hors climat Mediterranéen",LOOKUP(RECant_biom!$A$22,'(ne pas modifier) BDD_REF'!$A$243:$A$262,'(ne pas modifier) BDD_REF'!$B$243:$B$262),IF(Eligibilité_projet!G13="",0,LOOKUP(RECant_biom!$A$22,'(ne pas modifier) BDD_REF'!$A$243:$A$262,'(ne pas modifier) BDD_REF'!$C$243:$C$262)))</f>
        <v>0</v>
      </c>
      <c r="I22" s="68">
        <f>IF(Eligibilité_projet!H13="Hors climat Mediterranéen",LOOKUP(RECant_biom!$A$22,'(ne pas modifier) BDD_REF'!$A$243:$A$262,'(ne pas modifier) BDD_REF'!$B$243:$B$262),IF(Eligibilité_projet!H13="",0,LOOKUP(RECant_biom!$A$22,'(ne pas modifier) BDD_REF'!$A$243:$A$262,'(ne pas modifier) BDD_REF'!$C$243:$C$262)))</f>
        <v>0</v>
      </c>
      <c r="J22" s="68">
        <f>IF(Eligibilité_projet!I13="Hors climat Mediterranéen",LOOKUP(RECant_biom!$A$22,'(ne pas modifier) BDD_REF'!$A$243:$A$262,'(ne pas modifier) BDD_REF'!$B$243:$B$262),IF(Eligibilité_projet!I13="",0,LOOKUP(RECant_biom!$A$22,'(ne pas modifier) BDD_REF'!$A$243:$A$262,'(ne pas modifier) BDD_REF'!$C$243:$C$262)))</f>
        <v>0</v>
      </c>
      <c r="K22" s="68">
        <f>IF(Eligibilité_projet!J13="Hors climat Mediterranéen",LOOKUP(RECant_biom!$A$22,'(ne pas modifier) BDD_REF'!$A$243:$A$262,'(ne pas modifier) BDD_REF'!$B$243:$B$262),IF(Eligibilité_projet!J13="",0,LOOKUP(RECant_biom!$A$22,'(ne pas modifier) BDD_REF'!$A$243:$A$262,'(ne pas modifier) BDD_REF'!$C$243:$C$262)))</f>
        <v>0</v>
      </c>
      <c r="L22" s="68">
        <f>IF(Eligibilité_projet!K13="Hors climat Mediterranéen",LOOKUP(RECant_biom!$A$22,'(ne pas modifier) BDD_REF'!$A$243:$A$262,'(ne pas modifier) BDD_REF'!$B$243:$B$262),IF(Eligibilité_projet!K13="",0,LOOKUP(RECant_biom!$A$22,'(ne pas modifier) BDD_REF'!$A$243:$A$262,'(ne pas modifier) BDD_REF'!$C$243:$C$262)))</f>
        <v>0</v>
      </c>
      <c r="M22" s="68">
        <f t="shared" si="0"/>
        <v>47.400000000000006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48">
        <v>19</v>
      </c>
      <c r="B23" s="35" t="s">
        <v>173</v>
      </c>
      <c r="C23" s="68">
        <f>IF(Eligibilité_projet!B13="Hors climat Mediterranéen",LOOKUP(RECant_biom!$A$23,'(ne pas modifier) BDD_REF'!$A$243:$A$262,'(ne pas modifier) BDD_REF'!$B$243:$B$262),IF(Eligibilité_projet!B13="",0,LOOKUP(RECant_biom!$A$23,'(ne pas modifier) BDD_REF'!$A$243:$A$262,'(ne pas modifier) BDD_REF'!$C$243:$C$262)))</f>
        <v>15.9</v>
      </c>
      <c r="D23" s="68">
        <f>IF(Eligibilité_projet!C13="Hors climat Mediterranéen",LOOKUP(RECant_biom!$A$23,'(ne pas modifier) BDD_REF'!$A$243:$A$262,'(ne pas modifier) BDD_REF'!$B$243:$B$262),IF(Eligibilité_projet!C13="",0,LOOKUP(RECant_biom!$A$23,'(ne pas modifier) BDD_REF'!$A$243:$A$262,'(ne pas modifier) BDD_REF'!$C$243:$C$262)))</f>
        <v>15.9</v>
      </c>
      <c r="E23" s="68">
        <f>IF(Eligibilité_projet!D13="Hors climat Mediterranéen",LOOKUP(RECant_biom!$A$23,'(ne pas modifier) BDD_REF'!$A$243:$A$262,'(ne pas modifier) BDD_REF'!$B$243:$B$262),IF(Eligibilité_projet!D13="",0,LOOKUP(RECant_biom!$A$23,'(ne pas modifier) BDD_REF'!$A$243:$A$262,'(ne pas modifier) BDD_REF'!$C$243:$C$262)))</f>
        <v>15.9</v>
      </c>
      <c r="F23" s="68">
        <f>IF(Eligibilité_projet!E13="Hors climat Mediterranéen",LOOKUP(RECant_biom!$A$23,'(ne pas modifier) BDD_REF'!$A$243:$A$262,'(ne pas modifier) BDD_REF'!$B$243:$B$262),IF(Eligibilité_projet!E13="",0,LOOKUP(RECant_biom!$A$23,'(ne pas modifier) BDD_REF'!$A$243:$A$262,'(ne pas modifier) BDD_REF'!$C$243:$C$262)))</f>
        <v>0</v>
      </c>
      <c r="G23" s="68">
        <f>IF(Eligibilité_projet!F13="Hors climat Mediterranéen",LOOKUP(RECant_biom!$A$23,'(ne pas modifier) BDD_REF'!$A$243:$A$262,'(ne pas modifier) BDD_REF'!$B$243:$B$262),IF(Eligibilité_projet!F13="",0,LOOKUP(RECant_biom!$A$23,'(ne pas modifier) BDD_REF'!$A$243:$A$262,'(ne pas modifier) BDD_REF'!$C$243:$C$262)))</f>
        <v>0</v>
      </c>
      <c r="H23" s="68">
        <f>IF(Eligibilité_projet!G13="Hors climat Mediterranéen",LOOKUP(RECant_biom!$A$23,'(ne pas modifier) BDD_REF'!$A$243:$A$262,'(ne pas modifier) BDD_REF'!$B$243:$B$262),IF(Eligibilité_projet!G13="",0,LOOKUP(RECant_biom!$A$23,'(ne pas modifier) BDD_REF'!$A$243:$A$262,'(ne pas modifier) BDD_REF'!$C$243:$C$262)))</f>
        <v>0</v>
      </c>
      <c r="I23" s="68">
        <f>IF(Eligibilité_projet!H13="Hors climat Mediterranéen",LOOKUP(RECant_biom!$A$23,'(ne pas modifier) BDD_REF'!$A$243:$A$262,'(ne pas modifier) BDD_REF'!$B$243:$B$262),IF(Eligibilité_projet!H13="",0,LOOKUP(RECant_biom!$A$23,'(ne pas modifier) BDD_REF'!$A$243:$A$262,'(ne pas modifier) BDD_REF'!$C$243:$C$262)))</f>
        <v>0</v>
      </c>
      <c r="J23" s="68">
        <f>IF(Eligibilité_projet!I13="Hors climat Mediterranéen",LOOKUP(RECant_biom!$A$23,'(ne pas modifier) BDD_REF'!$A$243:$A$262,'(ne pas modifier) BDD_REF'!$B$243:$B$262),IF(Eligibilité_projet!I13="",0,LOOKUP(RECant_biom!$A$23,'(ne pas modifier) BDD_REF'!$A$243:$A$262,'(ne pas modifier) BDD_REF'!$C$243:$C$262)))</f>
        <v>0</v>
      </c>
      <c r="K23" s="68">
        <f>IF(Eligibilité_projet!J13="Hors climat Mediterranéen",LOOKUP(RECant_biom!$A$23,'(ne pas modifier) BDD_REF'!$A$243:$A$262,'(ne pas modifier) BDD_REF'!$B$243:$B$262),IF(Eligibilité_projet!J13="",0,LOOKUP(RECant_biom!$A$23,'(ne pas modifier) BDD_REF'!$A$243:$A$262,'(ne pas modifier) BDD_REF'!$C$243:$C$262)))</f>
        <v>0</v>
      </c>
      <c r="L23" s="68">
        <f>IF(Eligibilité_projet!K13="Hors climat Mediterranéen",LOOKUP(RECant_biom!$A$23,'(ne pas modifier) BDD_REF'!$A$243:$A$262,'(ne pas modifier) BDD_REF'!$B$243:$B$262),IF(Eligibilité_projet!K13="",0,LOOKUP(RECant_biom!$A$23,'(ne pas modifier) BDD_REF'!$A$243:$A$262,'(ne pas modifier) BDD_REF'!$C$243:$C$262)))</f>
        <v>0</v>
      </c>
      <c r="M23" s="68">
        <f t="shared" si="0"/>
        <v>47.7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48">
        <v>20</v>
      </c>
      <c r="B24" s="35" t="s">
        <v>173</v>
      </c>
      <c r="C24" s="68">
        <f>IF(Eligibilité_projet!B13="Hors climat Mediterranéen",LOOKUP(RECant_biom!$A$24,'(ne pas modifier) BDD_REF'!$A$243:$A$262,'(ne pas modifier) BDD_REF'!$B$243:$B$262),IF(Eligibilité_projet!B13="",0,LOOKUP(RECant_biom!$A$24,'(ne pas modifier) BDD_REF'!$A$243:$A$262,'(ne pas modifier) BDD_REF'!$C$243:$C$262)))</f>
        <v>16</v>
      </c>
      <c r="D24" s="68">
        <f>IF(Eligibilité_projet!C13="Hors climat Mediterranéen",LOOKUP(RECant_biom!$A$24,'(ne pas modifier) BDD_REF'!$A$243:$A$262,'(ne pas modifier) BDD_REF'!$B$243:$B$262),IF(Eligibilité_projet!C13="",0,LOOKUP(RECant_biom!$A$24,'(ne pas modifier) BDD_REF'!$A$243:$A$262,'(ne pas modifier) BDD_REF'!$C$243:$C$262)))</f>
        <v>16</v>
      </c>
      <c r="E24" s="68">
        <f>IF(Eligibilité_projet!D13="Hors climat Mediterranéen",LOOKUP(RECant_biom!$A$24,'(ne pas modifier) BDD_REF'!$A$243:$A$262,'(ne pas modifier) BDD_REF'!$B$243:$B$262),IF(Eligibilité_projet!D13="",0,LOOKUP(RECant_biom!$A$24,'(ne pas modifier) BDD_REF'!$A$243:$A$262,'(ne pas modifier) BDD_REF'!$C$243:$C$262)))</f>
        <v>16</v>
      </c>
      <c r="F24" s="68">
        <f>IF(Eligibilité_projet!E13="Hors climat Mediterranéen",LOOKUP(RECant_biom!$A$24,'(ne pas modifier) BDD_REF'!$A$243:$A$262,'(ne pas modifier) BDD_REF'!$B$243:$B$262),IF(Eligibilité_projet!E13="",0,LOOKUP(RECant_biom!$A$24,'(ne pas modifier) BDD_REF'!$A$243:$A$262,'(ne pas modifier) BDD_REF'!$C$243:$C$262)))</f>
        <v>0</v>
      </c>
      <c r="G24" s="68">
        <f>IF(Eligibilité_projet!F13="Hors climat Mediterranéen",LOOKUP(RECant_biom!$A$24,'(ne pas modifier) BDD_REF'!$A$243:$A$262,'(ne pas modifier) BDD_REF'!$B$243:$B$262),IF(Eligibilité_projet!F13="",0,LOOKUP(RECant_biom!$A$24,'(ne pas modifier) BDD_REF'!$A$243:$A$262,'(ne pas modifier) BDD_REF'!$C$243:$C$262)))</f>
        <v>0</v>
      </c>
      <c r="H24" s="68">
        <f>IF(Eligibilité_projet!G13="Hors climat Mediterranéen",LOOKUP(RECant_biom!$A$24,'(ne pas modifier) BDD_REF'!$A$243:$A$262,'(ne pas modifier) BDD_REF'!$B$243:$B$262),IF(Eligibilité_projet!G13="",0,LOOKUP(RECant_biom!$A$24,'(ne pas modifier) BDD_REF'!$A$243:$A$262,'(ne pas modifier) BDD_REF'!$C$243:$C$262)))</f>
        <v>0</v>
      </c>
      <c r="I24" s="68">
        <f>IF(Eligibilité_projet!H13="Hors climat Mediterranéen",LOOKUP(RECant_biom!$A$24,'(ne pas modifier) BDD_REF'!$A$243:$A$262,'(ne pas modifier) BDD_REF'!$B$243:$B$262),IF(Eligibilité_projet!H13="",0,LOOKUP(RECant_biom!$A$24,'(ne pas modifier) BDD_REF'!$A$243:$A$262,'(ne pas modifier) BDD_REF'!$C$243:$C$262)))</f>
        <v>0</v>
      </c>
      <c r="J24" s="68">
        <f>IF(Eligibilité_projet!I13="Hors climat Mediterranéen",LOOKUP(RECant_biom!$A$24,'(ne pas modifier) BDD_REF'!$A$243:$A$262,'(ne pas modifier) BDD_REF'!$B$243:$B$262),IF(Eligibilité_projet!I13="",0,LOOKUP(RECant_biom!$A$24,'(ne pas modifier) BDD_REF'!$A$243:$A$262,'(ne pas modifier) BDD_REF'!$C$243:$C$262)))</f>
        <v>0</v>
      </c>
      <c r="K24" s="68">
        <f>IF(Eligibilité_projet!J13="Hors climat Mediterranéen",LOOKUP(RECant_biom!$A$24,'(ne pas modifier) BDD_REF'!$A$243:$A$262,'(ne pas modifier) BDD_REF'!$B$243:$B$262),IF(Eligibilité_projet!J13="",0,LOOKUP(RECant_biom!$A$24,'(ne pas modifier) BDD_REF'!$A$243:$A$262,'(ne pas modifier) BDD_REF'!$C$243:$C$262)))</f>
        <v>0</v>
      </c>
      <c r="L24" s="68">
        <f>IF(Eligibilité_projet!K13="Hors climat Mediterranéen",LOOKUP(RECant_biom!$A$24,'(ne pas modifier) BDD_REF'!$A$243:$A$262,'(ne pas modifier) BDD_REF'!$B$243:$B$262),IF(Eligibilité_projet!K13="",0,LOOKUP(RECant_biom!$A$24,'(ne pas modifier) BDD_REF'!$A$243:$A$262,'(ne pas modifier) BDD_REF'!$C$243:$C$262)))</f>
        <v>0</v>
      </c>
      <c r="M24" s="68">
        <f t="shared" si="0"/>
        <v>48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35"/>
      <c r="B25" s="35" t="s">
        <v>174</v>
      </c>
      <c r="C25" s="68">
        <f>SUMIF($A5:$A24,"&lt;"&amp;Eligibilité_projet!B14+1,C5:C24)</f>
        <v>234.9</v>
      </c>
      <c r="D25" s="68">
        <f>SUMIF($A5:$A24,"&lt;"&amp;Eligibilité_projet!C14+1,D5:D24)</f>
        <v>234.9</v>
      </c>
      <c r="E25" s="68">
        <f>SUMIF($A5:$A24,"&lt;"&amp;Eligibilité_projet!D14+1,E5:E24)</f>
        <v>234.9</v>
      </c>
      <c r="F25" s="68">
        <f>SUMIF($A5:$A24,"&lt;"&amp;Eligibilité_projet!E14+1,F5:F24)</f>
        <v>0</v>
      </c>
      <c r="G25" s="68">
        <f>SUMIF($A5:$A24,"&lt;"&amp;Eligibilité_projet!F14+1,G5:G24)</f>
        <v>0</v>
      </c>
      <c r="H25" s="68">
        <f>SUMIF($A5:$A24,"&lt;"&amp;Eligibilité_projet!G14+1,H5:H24)</f>
        <v>0</v>
      </c>
      <c r="I25" s="68">
        <f>SUMIF($A5:$A24,"&lt;"&amp;Eligibilité_projet!H14+1,I5:I24)</f>
        <v>0</v>
      </c>
      <c r="J25" s="68">
        <f>SUMIF($A5:$A24,"&lt;"&amp;Eligibilité_projet!I14+1,J5:J24)</f>
        <v>0</v>
      </c>
      <c r="K25" s="68">
        <f>SUMIF($A5:$A24,"&lt;"&amp;Eligibilité_projet!J14+1,K5:K24)</f>
        <v>0</v>
      </c>
      <c r="L25" s="68">
        <f>SUMIF($A5:$A24,"&lt;"&amp;Eligibilité_projet!K14+1,L5:L24)</f>
        <v>0</v>
      </c>
      <c r="M25" s="68">
        <f t="shared" si="0"/>
        <v>704.7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35" t="s">
        <v>175</v>
      </c>
      <c r="B26" s="35" t="s">
        <v>176</v>
      </c>
      <c r="C26" s="51">
        <f>IF(Eligibilité_projet!B13="",0,IF(Eligibilité_projet!B13="Hors climat Mediterranéen",LOOKUP(Eligibilité_projet!B16,'(ne pas modifier) BDD_REF'!$A$236:$A$239,'(ne pas modifier) BDD_REF'!$B$236:$B$239),LOOKUP(Eligibilité_projet!B16,'(ne pas modifier) BDD_REF'!$A$236:$A$239,'(ne pas modifier) BDD_REF'!$D$236:$D$239)))</f>
        <v>0</v>
      </c>
      <c r="D26" s="51">
        <f>IF(Eligibilité_projet!C13="",0,IF(Eligibilité_projet!C13="Hors climat Mediterranéen",LOOKUP(Eligibilité_projet!C16,'(ne pas modifier) BDD_REF'!$A$236:$A$239,'(ne pas modifier) BDD_REF'!$B$236:$B$239),LOOKUP(Eligibilité_projet!C16,'(ne pas modifier) BDD_REF'!$A$236:$A$239,'(ne pas modifier) BDD_REF'!$D$236:$D$239)))</f>
        <v>0</v>
      </c>
      <c r="E26" s="51">
        <f>IF(Eligibilité_projet!D13="",0,IF(Eligibilité_projet!D13="Hors climat Mediterranéen",LOOKUP(Eligibilité_projet!D16,'(ne pas modifier) BDD_REF'!$A$236:$A$239,'(ne pas modifier) BDD_REF'!$B$236:$B$239),LOOKUP(Eligibilité_projet!D16,'(ne pas modifier) BDD_REF'!$A$236:$A$239,'(ne pas modifier) BDD_REF'!$D$236:$D$239)))</f>
        <v>0</v>
      </c>
      <c r="F26" s="51">
        <f>IF(Eligibilité_projet!E13="",0,IF(Eligibilité_projet!E13="Hors climat Mediterranéen",LOOKUP(Eligibilité_projet!E16,'(ne pas modifier) BDD_REF'!$A$236:$A$239,'(ne pas modifier) BDD_REF'!$B$236:$B$239),LOOKUP(Eligibilité_projet!E16,'(ne pas modifier) BDD_REF'!$A$236:$A$239,'(ne pas modifier) BDD_REF'!$D$236:$D$239)))</f>
        <v>0</v>
      </c>
      <c r="G26" s="51">
        <f>IF(Eligibilité_projet!F13="",0,IF(Eligibilité_projet!F13="Hors climat Mediterranéen",LOOKUP(Eligibilité_projet!F16,'(ne pas modifier) BDD_REF'!$A$236:$A$239,'(ne pas modifier) BDD_REF'!$B$236:$B$239),LOOKUP(Eligibilité_projet!F16,'(ne pas modifier) BDD_REF'!$A$236:$A$239,'(ne pas modifier) BDD_REF'!$D$236:$D$239)))</f>
        <v>0</v>
      </c>
      <c r="H26" s="51">
        <f>IF(Eligibilité_projet!G13="",0,IF(Eligibilité_projet!G13="Hors climat Mediterranéen",LOOKUP(Eligibilité_projet!G16,'(ne pas modifier) BDD_REF'!$A$236:$A$239,'(ne pas modifier) BDD_REF'!$B$236:$B$239),LOOKUP(Eligibilité_projet!G16,'(ne pas modifier) BDD_REF'!$A$236:$A$239,'(ne pas modifier) BDD_REF'!$D$236:$D$239)))</f>
        <v>0</v>
      </c>
      <c r="I26" s="51">
        <f>IF(Eligibilité_projet!H13="",0,IF(Eligibilité_projet!H13="Hors climat Mediterranéen",LOOKUP(Eligibilité_projet!H16,'(ne pas modifier) BDD_REF'!$A$236:$A$239,'(ne pas modifier) BDD_REF'!$B$236:$B$239),LOOKUP(Eligibilité_projet!H16,'(ne pas modifier) BDD_REF'!$A$236:$A$239,'(ne pas modifier) BDD_REF'!$D$236:$D$239)))</f>
        <v>0</v>
      </c>
      <c r="J26" s="51">
        <f>IF(Eligibilité_projet!I13="",0,IF(Eligibilité_projet!I13="Hors climat Mediterranéen",LOOKUP(Eligibilité_projet!I16,'(ne pas modifier) BDD_REF'!$A$236:$A$239,'(ne pas modifier) BDD_REF'!$B$236:$B$239),LOOKUP(Eligibilité_projet!I16,'(ne pas modifier) BDD_REF'!$A$236:$A$239,'(ne pas modifier) BDD_REF'!$D$236:$D$239)))</f>
        <v>0</v>
      </c>
      <c r="K26" s="51">
        <f>IF(Eligibilité_projet!J13="",0,IF(Eligibilité_projet!J13="Hors climat Mediterranéen",LOOKUP(Eligibilité_projet!J16,'(ne pas modifier) BDD_REF'!$A$236:$A$239,'(ne pas modifier) BDD_REF'!$B$236:$B$239),LOOKUP(Eligibilité_projet!J16,'(ne pas modifier) BDD_REF'!$A$236:$A$239,'(ne pas modifier) BDD_REF'!$D$236:$D$239)))</f>
        <v>0</v>
      </c>
      <c r="L26" s="51">
        <f>IF(Eligibilité_projet!K13="",0,IF(Eligibilité_projet!K13="Hors climat Mediterranéen",LOOKUP(Eligibilité_projet!K16,'(ne pas modifier) BDD_REF'!$A$236:$A$239,'(ne pas modifier) BDD_REF'!$B$236:$B$239),LOOKUP(Eligibilité_projet!K16,'(ne pas modifier) BDD_REF'!$A$236:$A$239,'(ne pas modifier) BDD_REF'!$D$236:$D$239)))</f>
        <v>0</v>
      </c>
      <c r="M26" s="68">
        <f t="shared" si="0"/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35" t="s">
        <v>177</v>
      </c>
      <c r="C27" s="76">
        <f>Eligibilité_projet!B14 + 1</f>
        <v>21</v>
      </c>
      <c r="D27" s="76">
        <f>Eligibilité_projet!C14 + 1</f>
        <v>21</v>
      </c>
      <c r="E27" s="76">
        <f>Eligibilité_projet!D14 + 1</f>
        <v>21</v>
      </c>
      <c r="F27" s="76">
        <f>Eligibilité_projet!E14 + 1</f>
        <v>1</v>
      </c>
      <c r="G27" s="76">
        <f>Eligibilité_projet!F14 + 1</f>
        <v>1</v>
      </c>
      <c r="H27" s="76">
        <f>Eligibilité_projet!G14 + 1</f>
        <v>1</v>
      </c>
      <c r="I27" s="76">
        <f>Eligibilité_projet!H14 + 1</f>
        <v>1</v>
      </c>
      <c r="J27" s="76">
        <f>Eligibilité_projet!I14 + 1</f>
        <v>1</v>
      </c>
      <c r="K27" s="76">
        <f>Eligibilité_projet!J14 + 1</f>
        <v>1</v>
      </c>
      <c r="L27" s="76">
        <f>Eligibilité_projet!K14 + 1</f>
        <v>1</v>
      </c>
      <c r="M27" s="68">
        <f t="shared" si="0"/>
        <v>70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66" t="s">
        <v>178</v>
      </c>
      <c r="C28" s="77">
        <f>((C25/C27)-C26)*Eligibilité_projet!B8*44/12</f>
        <v>192.35700000000006</v>
      </c>
      <c r="D28" s="77">
        <f>((D25/D27)-D26)*Eligibilité_projet!C8*44/12</f>
        <v>95.153142857142868</v>
      </c>
      <c r="E28" s="77">
        <f>((E25/E27)-E26)*Eligibilité_projet!D8*44/12</f>
        <v>8.2028571428571446</v>
      </c>
      <c r="F28" s="77">
        <f>((F25/F27)-F26)*Eligibilité_projet!E8*44/12</f>
        <v>0</v>
      </c>
      <c r="G28" s="77">
        <f>((G25/G27)-G26)*Eligibilité_projet!F8*44/12</f>
        <v>0</v>
      </c>
      <c r="H28" s="77">
        <f>((H25/H27)-H26)*Eligibilité_projet!G8*44/12</f>
        <v>0</v>
      </c>
      <c r="I28" s="77">
        <f>((I25/I27)-I26)*Eligibilité_projet!H8*44/12</f>
        <v>0</v>
      </c>
      <c r="J28" s="77">
        <f>((J25/J27)-J26)*Eligibilité_projet!I8*44/12</f>
        <v>0</v>
      </c>
      <c r="K28" s="77">
        <f>((K25/K27)-K26)*Eligibilité_projet!J8*44/12</f>
        <v>0</v>
      </c>
      <c r="L28" s="77">
        <f>((L25/L27)-L26)*Eligibilité_projet!K8*44/12</f>
        <v>0</v>
      </c>
      <c r="M28" s="77">
        <f t="shared" si="0"/>
        <v>295.71300000000008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78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4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4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4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4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4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4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4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4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4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4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4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4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4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4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4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4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4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4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4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4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4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4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4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4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4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4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4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4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4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4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4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4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4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4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4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4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4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4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4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4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4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4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4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4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4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4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4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4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4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4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4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4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4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4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4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4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4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4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4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4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4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4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4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4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4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4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4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4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4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4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4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4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4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4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4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4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4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4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4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4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4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4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4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4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4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4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4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4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4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4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4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4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4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4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4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4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4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4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4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4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4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4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4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4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4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4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4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4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4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4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4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4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4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4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4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4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4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4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4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4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4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4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4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4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4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4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4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4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4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4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4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4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4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4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4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4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4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4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4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4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4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4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4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4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4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4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4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4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4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4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4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4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4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4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4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4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4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4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4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4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4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4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4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4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4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4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4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4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4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4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4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4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4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4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4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4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4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4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4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4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4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4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4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4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4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4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4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4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4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4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4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4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4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4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4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4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4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4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4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4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4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4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4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4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4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4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4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4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4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4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4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4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4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4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4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4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4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4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4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4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4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4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4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4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4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4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4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4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4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4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4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4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4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4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4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4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4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4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4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4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4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4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4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4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4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4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4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4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4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4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4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4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4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4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4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4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4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4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4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4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4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4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4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4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4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4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4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4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4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4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4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4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4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4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4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4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4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4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4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4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4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4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4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4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4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4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4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4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4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4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4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4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4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4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4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4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4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4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4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4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4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4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4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4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4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4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4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4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4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4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4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4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4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4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4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4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4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4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4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4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4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4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4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4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4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4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4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4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4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4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4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4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4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4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4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4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4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4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4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4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4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4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4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4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4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4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4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4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4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4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4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4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4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4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4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4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4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4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4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4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4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4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4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4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4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4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4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4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4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4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4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4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4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4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4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4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4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4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4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4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4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4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4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4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4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4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4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4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4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4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4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4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4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4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4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4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4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4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4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4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4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4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4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4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4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4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4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4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4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4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4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4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4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4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4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4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4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4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4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4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4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4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4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4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4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4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4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4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4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4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4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4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4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4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4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4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4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4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4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4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4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4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4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4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4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4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4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4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4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4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4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4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4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4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4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4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4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4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4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4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4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4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4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4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4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4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4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4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4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4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4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4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4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4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4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4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4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4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4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4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4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4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4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4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4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4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4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4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4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4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4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4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4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4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4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4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4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4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4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4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4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4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4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4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4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4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4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4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4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4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4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4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4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4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4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4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4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4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4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4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4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4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4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4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4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4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4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4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4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4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4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4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4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4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4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4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4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4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4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4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4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4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4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4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4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4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4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4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4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4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4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4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4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4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4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4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4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4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4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4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4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4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4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4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4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4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4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4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4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4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4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4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4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4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4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4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4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4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4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4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4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4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4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4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4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4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4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4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4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4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4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4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4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4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4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4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4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4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4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4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4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4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4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4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4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4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4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4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4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4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4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4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4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4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4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4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4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4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4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4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4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4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4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4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4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4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4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4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4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4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4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4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4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4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4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4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4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4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4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4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4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4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4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4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4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4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4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4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4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4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4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4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4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4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4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4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4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4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4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4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4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4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4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4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4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4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4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4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4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4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4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4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4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4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4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4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4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4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4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4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4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4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4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4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4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4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4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4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4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4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4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4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4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4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4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4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4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4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4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4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4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4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4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4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4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4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4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4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4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4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4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4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4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4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4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4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4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4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4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4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4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4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4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4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4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4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4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4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4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4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4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4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4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4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4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4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4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4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4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4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4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4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4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4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4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4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4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4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4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4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4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4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4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4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4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4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4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4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4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4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4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4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4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4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4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4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4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4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4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4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4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4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4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4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4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4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4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4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4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4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4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4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4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4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4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4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4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4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4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4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4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4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4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4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4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4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4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4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4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4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4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4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4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4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4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4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4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4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4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4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4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4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4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4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4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4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4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4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4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4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4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4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4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4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4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4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4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4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4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4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4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4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4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4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4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4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4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4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4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4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4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4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4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4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4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4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4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4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4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4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4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4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4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4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4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4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4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4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4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4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4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4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4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4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4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4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4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4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4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4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4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4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4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4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4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4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4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4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4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4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4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4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4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4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4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4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4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4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4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4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4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4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4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4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4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4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4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4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4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4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4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4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4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4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4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4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4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4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4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4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4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4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4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4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4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4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4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4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4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4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4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4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4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4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4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4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4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4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4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4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4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4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4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4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2:M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baseColWidth="10" defaultColWidth="14.5" defaultRowHeight="15" customHeight="1" x14ac:dyDescent="0.2"/>
  <cols>
    <col min="1" max="1" width="8.5" customWidth="1"/>
    <col min="2" max="2" width="33.6640625" customWidth="1"/>
    <col min="3" max="3" width="12.33203125" customWidth="1"/>
    <col min="4" max="26" width="11.5" customWidth="1"/>
  </cols>
  <sheetData>
    <row r="1" spans="1:26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">
      <c r="A2" s="2"/>
      <c r="B2" s="127" t="s">
        <v>56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9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2" x14ac:dyDescent="0.2">
      <c r="A4" s="2"/>
      <c r="B4" s="2"/>
      <c r="C4" s="48" t="s">
        <v>8</v>
      </c>
      <c r="D4" s="48" t="s">
        <v>9</v>
      </c>
      <c r="E4" s="48" t="s">
        <v>10</v>
      </c>
      <c r="F4" s="48" t="s">
        <v>11</v>
      </c>
      <c r="G4" s="48" t="s">
        <v>12</v>
      </c>
      <c r="H4" s="48" t="s">
        <v>13</v>
      </c>
      <c r="I4" s="48" t="s">
        <v>14</v>
      </c>
      <c r="J4" s="48" t="s">
        <v>15</v>
      </c>
      <c r="K4" s="48" t="s">
        <v>16</v>
      </c>
      <c r="L4" s="48" t="s">
        <v>17</v>
      </c>
      <c r="M4" s="50" t="s">
        <v>57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2"/>
      <c r="B5" s="35" t="s">
        <v>179</v>
      </c>
      <c r="C5" s="68">
        <f>IF(AND(Eligibilité_projet!B13="Hors climat Mediterranéen",Eligibilité_projet!B16="Grandes cultures"),'(ne pas modifier) BDD_REF'!$C$267,IF(AND(Eligibilité_projet!B13="Hors climat Mediterranéen",Eligibilité_projet!B16="Prairies permanentes"),'(ne pas modifier) BDD_REF'!$C$266,IF(AND(Eligibilité_projet!B13="Hors climat Mediterranéen",Eligibilité_projet!B16="Viticulture"),'(ne pas modifier) BDD_REF'!$C$265,IF(AND(Eligibilité_projet!B13="Climat Sec Mediterranéen",Eligibilité_projet!B16="Grandes cultures"),'(ne pas modifier) BDD_REF'!$B$267,IF(AND(Eligibilité_projet!B13="Climat Sec Mediterranéen",Eligibilité_projet!B16="Prairies permanentes"),'(ne pas modifier) BDD_REF'!$B$266,IF(Eligibilité_projet!B13="",0,'(ne pas modifier) BDD_REF'!$B$265))))))</f>
        <v>52</v>
      </c>
      <c r="D5" s="68">
        <f>IF(AND(Eligibilité_projet!C13="Hors climat Mediterranéen",Eligibilité_projet!C16="Grandes cultures"),'(ne pas modifier) BDD_REF'!$C$267,IF(AND(Eligibilité_projet!C13="Hors climat Mediterranéen",Eligibilité_projet!C16="Prairies permanentes"),'(ne pas modifier) BDD_REF'!$C$266,IF(AND(Eligibilité_projet!C13="Hors climat Mediterranéen",Eligibilité_projet!C16="Viticulture"),'(ne pas modifier) BDD_REF'!$C$265,IF(AND(Eligibilité_projet!C13="Climat Sec Mediterranéen",Eligibilité_projet!C16="Grandes cultures"),'(ne pas modifier) BDD_REF'!$B$267,IF(AND(Eligibilité_projet!C13="Climat Sec Mediterranéen",Eligibilité_projet!C16="Prairies permanentes"),'(ne pas modifier) BDD_REF'!$B$266,IF(Eligibilité_projet!C13="",0,'(ne pas modifier) BDD_REF'!$B$265))))))</f>
        <v>52</v>
      </c>
      <c r="E5" s="51">
        <f>IF(AND(Eligibilité_projet!D13="Hors climat Mediterranéen",Eligibilité_projet!D16="Grandes cultures"),'(ne pas modifier) BDD_REF'!$C$267,IF(AND(Eligibilité_projet!D13="Hors climat Mediterranéen",Eligibilité_projet!D16="Prairies permanentes"),'(ne pas modifier) BDD_REF'!$C$266,IF(AND(Eligibilité_projet!D13="Hors climat Mediterranéen",Eligibilité_projet!D16="Viticulture"),'(ne pas modifier) BDD_REF'!$C$265,IF(AND(Eligibilité_projet!D13="Climat Sec Mediterranéen",Eligibilité_projet!D16="Grandes cultures"),'(ne pas modifier) BDD_REF'!$B$267,IF(AND(Eligibilité_projet!D13="Climat Sec Mediterranéen",Eligibilité_projet!D16="Prairies permanentes"),'(ne pas modifier) BDD_REF'!$B$266,IF(Eligibilité_projet!D13="",0,'(ne pas modifier) BDD_REF'!$B$265))))))</f>
        <v>52</v>
      </c>
      <c r="F5" s="51">
        <f>IF(AND(Eligibilité_projet!E13="Hors climat Mediterranéen",Eligibilité_projet!E16="Grandes cultures"),'(ne pas modifier) BDD_REF'!$C$267,IF(AND(Eligibilité_projet!E13="Hors climat Mediterranéen",Eligibilité_projet!E16="Prairies permanentes"),'(ne pas modifier) BDD_REF'!$C$266,IF(AND(Eligibilité_projet!E13="Hors climat Mediterranéen",Eligibilité_projet!E16="Viticulture"),'(ne pas modifier) BDD_REF'!$C$265,IF(AND(Eligibilité_projet!E13="Climat Sec Mediterranéen",Eligibilité_projet!E16="Grandes cultures"),'(ne pas modifier) BDD_REF'!$B$267,IF(AND(Eligibilité_projet!E13="Climat Sec Mediterranéen",Eligibilité_projet!E16="Prairies permanentes"),'(ne pas modifier) BDD_REF'!$B$266,IF(Eligibilité_projet!E13="",0,'(ne pas modifier) BDD_REF'!$B$265))))))</f>
        <v>0</v>
      </c>
      <c r="G5" s="51">
        <f>IF(AND(Eligibilité_projet!F13="Hors climat Mediterranéen",Eligibilité_projet!F16="Grandes cultures"),'(ne pas modifier) BDD_REF'!$C$267,IF(AND(Eligibilité_projet!F13="Hors climat Mediterranéen",Eligibilité_projet!F16="Prairies permanentes"),'(ne pas modifier) BDD_REF'!$C$266,IF(AND(Eligibilité_projet!F13="Hors climat Mediterranéen",Eligibilité_projet!F16="Viticulture"),'(ne pas modifier) BDD_REF'!$C$265,IF(AND(Eligibilité_projet!F13="Climat Sec Mediterranéen",Eligibilité_projet!F16="Grandes cultures"),'(ne pas modifier) BDD_REF'!$B$267,IF(AND(Eligibilité_projet!F13="Climat Sec Mediterranéen",Eligibilité_projet!F16="Prairies permanentes"),'(ne pas modifier) BDD_REF'!$B$266,IF(Eligibilité_projet!F13="",0,'(ne pas modifier) BDD_REF'!$B$265))))))</f>
        <v>0</v>
      </c>
      <c r="H5" s="51">
        <f>IF(AND(Eligibilité_projet!G13="Hors climat Mediterranéen",Eligibilité_projet!G16="Grandes cultures"),'(ne pas modifier) BDD_REF'!$C$267,IF(AND(Eligibilité_projet!G13="Hors climat Mediterranéen",Eligibilité_projet!G16="Prairies permanentes"),'(ne pas modifier) BDD_REF'!$C$266,IF(AND(Eligibilité_projet!G13="Hors climat Mediterranéen",Eligibilité_projet!G16="Viticulture"),'(ne pas modifier) BDD_REF'!$C$265,IF(AND(Eligibilité_projet!G13="Climat Sec Mediterranéen",Eligibilité_projet!G16="Grandes cultures"),'(ne pas modifier) BDD_REF'!$B$267,IF(AND(Eligibilité_projet!G13="Climat Sec Mediterranéen",Eligibilité_projet!G16="Prairies permanentes"),'(ne pas modifier) BDD_REF'!$B$266,IF(Eligibilité_projet!G13="",0,'(ne pas modifier) BDD_REF'!$B$265))))))</f>
        <v>0</v>
      </c>
      <c r="I5" s="51">
        <f>IF(AND(Eligibilité_projet!H13="Hors climat Mediterranéen",Eligibilité_projet!H16="Grandes cultures"),'(ne pas modifier) BDD_REF'!$C$267,IF(AND(Eligibilité_projet!H13="Hors climat Mediterranéen",Eligibilité_projet!H16="Prairies permanentes"),'(ne pas modifier) BDD_REF'!$C$266,IF(AND(Eligibilité_projet!H13="Hors climat Mediterranéen",Eligibilité_projet!H16="Viticulture"),'(ne pas modifier) BDD_REF'!$C$265,IF(AND(Eligibilité_projet!H13="Climat Sec Mediterranéen",Eligibilité_projet!H16="Grandes cultures"),'(ne pas modifier) BDD_REF'!$B$267,IF(AND(Eligibilité_projet!H13="Climat Sec Mediterranéen",Eligibilité_projet!H16="Prairies permanentes"),'(ne pas modifier) BDD_REF'!$B$266,IF(Eligibilité_projet!H13="",0,'(ne pas modifier) BDD_REF'!$B$265))))))</f>
        <v>0</v>
      </c>
      <c r="J5" s="51">
        <f>IF(AND(Eligibilité_projet!I13="Hors climat Mediterranéen",Eligibilité_projet!I16="Grandes cultures"),'(ne pas modifier) BDD_REF'!$C$267,IF(AND(Eligibilité_projet!I13="Hors climat Mediterranéen",Eligibilité_projet!I16="Prairies permanentes"),'(ne pas modifier) BDD_REF'!$C$266,IF(AND(Eligibilité_projet!I13="Hors climat Mediterranéen",Eligibilité_projet!I16="Viticulture"),'(ne pas modifier) BDD_REF'!$C$265,IF(AND(Eligibilité_projet!I13="Climat Sec Mediterranéen",Eligibilité_projet!I16="Grandes cultures"),'(ne pas modifier) BDD_REF'!$B$267,IF(AND(Eligibilité_projet!I13="Climat Sec Mediterranéen",Eligibilité_projet!I16="Prairies permanentes"),'(ne pas modifier) BDD_REF'!$B$266,IF(Eligibilité_projet!I13="",0,'(ne pas modifier) BDD_REF'!$B$265))))))</f>
        <v>0</v>
      </c>
      <c r="K5" s="51">
        <f>IF(AND(Eligibilité_projet!J13="Hors climat Mediterranéen",Eligibilité_projet!J16="Grandes cultures"),'(ne pas modifier) BDD_REF'!$C$267,IF(AND(Eligibilité_projet!J13="Hors climat Mediterranéen",Eligibilité_projet!J16="Prairies permanentes"),'(ne pas modifier) BDD_REF'!$C$266,IF(AND(Eligibilité_projet!J13="Hors climat Mediterranéen",Eligibilité_projet!J16="Viticulture"),'(ne pas modifier) BDD_REF'!$C$265,IF(AND(Eligibilité_projet!J13="Climat Sec Mediterranéen",Eligibilité_projet!J16="Grandes cultures"),'(ne pas modifier) BDD_REF'!$B$267,IF(AND(Eligibilité_projet!J13="Climat Sec Mediterranéen",Eligibilité_projet!J16="Prairies permanentes"),'(ne pas modifier) BDD_REF'!$B$266,IF(Eligibilité_projet!J13="",0,'(ne pas modifier) BDD_REF'!$B$265))))))</f>
        <v>0</v>
      </c>
      <c r="L5" s="51">
        <f>IF(AND(Eligibilité_projet!K13="Hors climat Mediterranéen",Eligibilité_projet!K16="Grandes cultures"),'(ne pas modifier) BDD_REF'!$C$267,IF(AND(Eligibilité_projet!K13="Hors climat Mediterranéen",Eligibilité_projet!K16="Prairies permanentes"),'(ne pas modifier) BDD_REF'!$C$266,IF(AND(Eligibilité_projet!K13="Hors climat Mediterranéen",Eligibilité_projet!K16="Viticulture"),'(ne pas modifier) BDD_REF'!$C$265,IF(AND(Eligibilité_projet!K13="Climat Sec Mediterranéen",Eligibilité_projet!K16="Grandes cultures"),'(ne pas modifier) BDD_REF'!$B$267,IF(AND(Eligibilité_projet!K13="Climat Sec Mediterranéen",Eligibilité_projet!K16="Prairies permanentes"),'(ne pas modifier) BDD_REF'!$B$266,IF(Eligibilité_projet!K13="",0,'(ne pas modifier) BDD_REF'!$B$265))))))</f>
        <v>0</v>
      </c>
      <c r="M5" s="68">
        <f t="shared" ref="M5:M9" si="0">SUM(C5:L5)</f>
        <v>156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2"/>
      <c r="B6" s="35" t="s">
        <v>180</v>
      </c>
      <c r="C6" s="68">
        <f>IF(Eligibilité_projet!B13="Hors climat Mediterranéen",'(ne pas modifier) BDD_REF'!$C$271,IF(Eligibilité_projet!B13="",0,'(ne pas modifier) BDD_REF'!$B$271))</f>
        <v>47</v>
      </c>
      <c r="D6" s="68">
        <f>IF(Eligibilité_projet!C13="Hors climat Mediterranéen",'(ne pas modifier) BDD_REF'!$C$271,IF(Eligibilité_projet!C13="",0,'(ne pas modifier) BDD_REF'!$B$271))</f>
        <v>47</v>
      </c>
      <c r="E6" s="68">
        <f>IF(Eligibilité_projet!D13="Hors climat Mediterranéen",'(ne pas modifier) BDD_REF'!$C$271,IF(Eligibilité_projet!D13="",0,'(ne pas modifier) BDD_REF'!$B$271))</f>
        <v>47</v>
      </c>
      <c r="F6" s="68">
        <f>IF(Eligibilité_projet!E13="Hors climat Mediterranéen",'(ne pas modifier) BDD_REF'!$C$271,IF(Eligibilité_projet!E13="",0,'(ne pas modifier) BDD_REF'!$B$271))</f>
        <v>0</v>
      </c>
      <c r="G6" s="68">
        <f>IF(Eligibilité_projet!F13="Hors climat Mediterranéen",'(ne pas modifier) BDD_REF'!$C$271,IF(Eligibilité_projet!F13="",0,'(ne pas modifier) BDD_REF'!$B$271))</f>
        <v>0</v>
      </c>
      <c r="H6" s="68">
        <f>IF(Eligibilité_projet!G13="Hors climat Mediterranéen",'(ne pas modifier) BDD_REF'!$C$271,IF(Eligibilité_projet!G13="",0,'(ne pas modifier) BDD_REF'!$B$271))</f>
        <v>0</v>
      </c>
      <c r="I6" s="68">
        <f>IF(Eligibilité_projet!H13="Hors climat Mediterranéen",'(ne pas modifier) BDD_REF'!$C$271,IF(Eligibilité_projet!H13="",0,'(ne pas modifier) BDD_REF'!$B$271))</f>
        <v>0</v>
      </c>
      <c r="J6" s="68">
        <f>IF(Eligibilité_projet!I13="Hors climat Mediterranéen",'(ne pas modifier) BDD_REF'!$C$271,IF(Eligibilité_projet!I13="",0,'(ne pas modifier) BDD_REF'!$B$271))</f>
        <v>0</v>
      </c>
      <c r="K6" s="68">
        <f>IF(Eligibilité_projet!J13="Hors climat Mediterranéen",'(ne pas modifier) BDD_REF'!$C$271,IF(Eligibilité_projet!J13="",0,'(ne pas modifier) BDD_REF'!$B$271))</f>
        <v>0</v>
      </c>
      <c r="L6" s="68">
        <f>IF(Eligibilité_projet!K13="Hors climat Mediterranéen",'(ne pas modifier) BDD_REF'!$C$271,IF(Eligibilité_projet!K13="",0,'(ne pas modifier) BDD_REF'!$B$271))</f>
        <v>0</v>
      </c>
      <c r="M6" s="68">
        <f t="shared" si="0"/>
        <v>141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2"/>
      <c r="B7" s="35" t="s">
        <v>181</v>
      </c>
      <c r="C7" s="68">
        <f>Eligibilité_projet!B15</f>
        <v>0.75</v>
      </c>
      <c r="D7" s="68">
        <f>Eligibilité_projet!C15</f>
        <v>0.75</v>
      </c>
      <c r="E7" s="68">
        <f>Eligibilité_projet!D15</f>
        <v>0.75</v>
      </c>
      <c r="F7" s="68">
        <f>Eligibilité_projet!E15</f>
        <v>0</v>
      </c>
      <c r="G7" s="68">
        <f>Eligibilité_projet!F15</f>
        <v>0</v>
      </c>
      <c r="H7" s="68">
        <f>Eligibilité_projet!G15</f>
        <v>0</v>
      </c>
      <c r="I7" s="68">
        <f>Eligibilité_projet!H15</f>
        <v>0</v>
      </c>
      <c r="J7" s="68">
        <f>Eligibilité_projet!I15</f>
        <v>0</v>
      </c>
      <c r="K7" s="68">
        <f>Eligibilité_projet!J15</f>
        <v>0</v>
      </c>
      <c r="L7" s="68">
        <f>Eligibilité_projet!K15</f>
        <v>0</v>
      </c>
      <c r="M7" s="68">
        <f t="shared" si="0"/>
        <v>2.25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2"/>
      <c r="B8" s="35" t="s">
        <v>182</v>
      </c>
      <c r="C8" s="68">
        <f>Eligibilité_projet!B14</f>
        <v>20</v>
      </c>
      <c r="D8" s="68">
        <f>Eligibilité_projet!C14</f>
        <v>20</v>
      </c>
      <c r="E8" s="68">
        <f>Eligibilité_projet!D14</f>
        <v>20</v>
      </c>
      <c r="F8" s="68">
        <f>Eligibilité_projet!E14</f>
        <v>0</v>
      </c>
      <c r="G8" s="68">
        <f>Eligibilité_projet!F14</f>
        <v>0</v>
      </c>
      <c r="H8" s="68">
        <f>Eligibilité_projet!G14</f>
        <v>0</v>
      </c>
      <c r="I8" s="68">
        <f>Eligibilité_projet!H14</f>
        <v>0</v>
      </c>
      <c r="J8" s="68">
        <f>Eligibilité_projet!I14</f>
        <v>0</v>
      </c>
      <c r="K8" s="68">
        <f>Eligibilité_projet!J14</f>
        <v>0</v>
      </c>
      <c r="L8" s="68">
        <f>Eligibilité_projet!K14</f>
        <v>0</v>
      </c>
      <c r="M8" s="68">
        <f t="shared" si="0"/>
        <v>60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2"/>
      <c r="B9" s="66" t="s">
        <v>183</v>
      </c>
      <c r="C9" s="66">
        <f>((C6-C5)+('(ne pas modifier) BDD_REF'!$B$275*C7*C8))*Eligibilité_projet!B8*44/12</f>
        <v>40.412166666666664</v>
      </c>
      <c r="D9" s="66">
        <f>((D6-D5)+('(ne pas modifier) BDD_REF'!$B$275*D7*D8))*Eligibilité_projet!C8*44/12</f>
        <v>19.990666666666662</v>
      </c>
      <c r="E9" s="66">
        <f>((E6-E5)+('(ne pas modifier) BDD_REF'!$B$275*E7*E8))*Eligibilité_projet!D8*44/12</f>
        <v>1.7233333333333334</v>
      </c>
      <c r="F9" s="66">
        <f>((F6-F5)+('(ne pas modifier) BDD_REF'!$B$275*F7*F8))*Eligibilité_projet!E8*44/12</f>
        <v>0</v>
      </c>
      <c r="G9" s="66">
        <f>((G6-G5)+('(ne pas modifier) BDD_REF'!$B$275*G7*G8))*Eligibilité_projet!F8*44/12</f>
        <v>0</v>
      </c>
      <c r="H9" s="66">
        <f>((H6-H5)+('(ne pas modifier) BDD_REF'!$B$275*H7*H8))*Eligibilité_projet!G8*44/12</f>
        <v>0</v>
      </c>
      <c r="I9" s="66">
        <f>((I6-I5)+('(ne pas modifier) BDD_REF'!$B$275*I7*I8))*Eligibilité_projet!H8*44/12</f>
        <v>0</v>
      </c>
      <c r="J9" s="66">
        <f>((J6-J5)+('(ne pas modifier) BDD_REF'!$B$275*J7*J8))*Eligibilité_projet!I8*44/12</f>
        <v>0</v>
      </c>
      <c r="K9" s="66">
        <f>((K6-K5)+('(ne pas modifier) BDD_REF'!$B$275*K7*K8))*Eligibilité_projet!J8*44/12</f>
        <v>0</v>
      </c>
      <c r="L9" s="66">
        <f>((L6-L5)+('(ne pas modifier) BDD_REF'!$B$275*L7*L8))*Eligibilité_projet!K8*44/12</f>
        <v>0</v>
      </c>
      <c r="M9" s="66">
        <f t="shared" si="0"/>
        <v>62.126166666666663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">
      <c r="A11" s="2"/>
      <c r="B11" s="79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M2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baseColWidth="10" defaultColWidth="14.5" defaultRowHeight="15" customHeight="1" x14ac:dyDescent="0.2"/>
  <cols>
    <col min="1" max="1" width="21.83203125" customWidth="1"/>
    <col min="2" max="2" width="44.5" customWidth="1"/>
    <col min="3" max="4" width="11.5" customWidth="1"/>
    <col min="5" max="5" width="22.5" customWidth="1"/>
    <col min="6" max="26" width="11.5" customWidth="1"/>
  </cols>
  <sheetData>
    <row r="1" spans="1:26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47.25" customHeight="1" x14ac:dyDescent="0.2">
      <c r="A2" s="2"/>
      <c r="B2" s="130" t="s">
        <v>184</v>
      </c>
      <c r="C2" s="12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">
      <c r="A4" s="2"/>
      <c r="B4" s="131" t="s">
        <v>185</v>
      </c>
      <c r="C4" s="13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8" x14ac:dyDescent="0.2">
      <c r="A6" s="80" t="s">
        <v>186</v>
      </c>
      <c r="B6" s="8" t="s">
        <v>187</v>
      </c>
      <c r="C6" s="49" t="str">
        <f>IF(Eligibilité_projet!C2="NON","/",'RECeff + REIamont (1)'!L7)</f>
        <v>/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81" t="s">
        <v>188</v>
      </c>
      <c r="B7" s="8" t="s">
        <v>187</v>
      </c>
      <c r="C7" s="49">
        <f>IF(Eligibilité_projet!C2="OUI","/",'RECeff + REIamont (2)'!M144)</f>
        <v>-45.42706830838145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7"/>
      <c r="B8" s="8" t="s">
        <v>110</v>
      </c>
      <c r="C8" s="49">
        <f>REIaval!M20</f>
        <v>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2"/>
      <c r="B9" s="8" t="s">
        <v>189</v>
      </c>
      <c r="C9" s="49">
        <f>RECant_biom!M28</f>
        <v>295.71300000000008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2"/>
      <c r="B10" s="8" t="s">
        <v>183</v>
      </c>
      <c r="C10" s="49">
        <f>RECant_sol!M9</f>
        <v>62.126166666666663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2"/>
      <c r="B11" s="52" t="s">
        <v>190</v>
      </c>
      <c r="C11" s="82">
        <f>SUM(IF(Eligibilité_projet!C2="OUI",-C6,-C7),-C8,C10,C9)</f>
        <v>403.26623497504818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">
      <c r="A13" s="2"/>
      <c r="B13" s="131" t="s">
        <v>191</v>
      </c>
      <c r="C13" s="13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2"/>
      <c r="B15" s="8" t="s">
        <v>187</v>
      </c>
      <c r="C15" s="49">
        <f>IF(Eligibilité_projet!C2="OUI",C6*(1-0.15),C7)</f>
        <v>-45.42706830838145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2"/>
      <c r="B16" s="8" t="s">
        <v>110</v>
      </c>
      <c r="C16" s="49">
        <f>C8</f>
        <v>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2"/>
      <c r="B17" s="8" t="s">
        <v>189</v>
      </c>
      <c r="C17" s="49">
        <f>C9*(1-0.1)</f>
        <v>266.14170000000007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2"/>
      <c r="B18" s="8" t="s">
        <v>183</v>
      </c>
      <c r="C18" s="49">
        <f>RE!C10</f>
        <v>62.126166666666663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2"/>
      <c r="B19" s="52" t="s">
        <v>190</v>
      </c>
      <c r="C19" s="82">
        <f>SUM(-C15,-C16,((C17+C18)*(0.9)))</f>
        <v>340.86814830838148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hidden="1" customHeight="1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5.75" hidden="1" customHeight="1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5.75" customHeight="1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B2:C2"/>
    <mergeCell ref="B4:C4"/>
    <mergeCell ref="B13:C13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baseColWidth="10" defaultColWidth="14.5" defaultRowHeight="15" customHeight="1" x14ac:dyDescent="0.2"/>
  <cols>
    <col min="1" max="1" width="72.83203125" customWidth="1"/>
    <col min="2" max="2" width="41" customWidth="1"/>
    <col min="3" max="3" width="44.6640625" customWidth="1"/>
    <col min="4" max="4" width="28.5" customWidth="1"/>
    <col min="5" max="5" width="24.5" customWidth="1"/>
    <col min="6" max="6" width="28.83203125" customWidth="1"/>
    <col min="7" max="7" width="22.33203125" customWidth="1"/>
    <col min="8" max="8" width="19.1640625" customWidth="1"/>
    <col min="9" max="26" width="11.5" customWidth="1"/>
  </cols>
  <sheetData>
    <row r="1" spans="1:26" ht="16" x14ac:dyDescent="0.2">
      <c r="A1" s="83" t="s">
        <v>192</v>
      </c>
      <c r="B1" s="84" t="s">
        <v>193</v>
      </c>
      <c r="C1" s="84" t="s">
        <v>32</v>
      </c>
      <c r="D1" s="84" t="s">
        <v>194</v>
      </c>
      <c r="E1" s="85" t="s">
        <v>195</v>
      </c>
      <c r="F1" s="24"/>
      <c r="G1" s="24"/>
      <c r="H1" s="79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">
      <c r="A2" s="86" t="s">
        <v>196</v>
      </c>
      <c r="B2" s="86" t="s">
        <v>29</v>
      </c>
      <c r="C2" s="73" t="s">
        <v>33</v>
      </c>
      <c r="D2" s="73" t="str">
        <f t="shared" ref="D2:D17" si="0">CONCATENATE(B2," - ",C2)</f>
        <v>Hors climat Mediterranéen - Grandes cultures</v>
      </c>
      <c r="E2" s="73">
        <v>52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6" x14ac:dyDescent="0.2">
      <c r="A3" s="86" t="s">
        <v>196</v>
      </c>
      <c r="B3" s="86" t="s">
        <v>29</v>
      </c>
      <c r="C3" s="73" t="s">
        <v>197</v>
      </c>
      <c r="D3" s="73" t="str">
        <f t="shared" si="0"/>
        <v>Hors climat Mediterranéen - Prairies permanentes</v>
      </c>
      <c r="E3" s="73">
        <v>85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6" x14ac:dyDescent="0.2">
      <c r="A4" s="86" t="s">
        <v>196</v>
      </c>
      <c r="B4" s="86" t="s">
        <v>29</v>
      </c>
      <c r="C4" s="73" t="s">
        <v>198</v>
      </c>
      <c r="D4" s="73" t="str">
        <f t="shared" si="0"/>
        <v>Hors climat Mediterranéen - Viticulture</v>
      </c>
      <c r="E4" s="73">
        <v>34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86" t="s">
        <v>196</v>
      </c>
      <c r="B5" s="86" t="s">
        <v>29</v>
      </c>
      <c r="C5" s="73" t="s">
        <v>199</v>
      </c>
      <c r="D5" s="73" t="str">
        <f t="shared" si="0"/>
        <v>Hors climat Mediterranéen - Vergers</v>
      </c>
      <c r="E5" s="73">
        <v>47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" customHeight="1" x14ac:dyDescent="0.2">
      <c r="A6" s="86" t="s">
        <v>196</v>
      </c>
      <c r="B6" s="86" t="s">
        <v>200</v>
      </c>
      <c r="C6" s="73" t="s">
        <v>33</v>
      </c>
      <c r="D6" s="73" t="str">
        <f t="shared" si="0"/>
        <v>Climat Sec Mediterranéen - Grandes cultures</v>
      </c>
      <c r="E6" s="73">
        <v>43.1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86" t="s">
        <v>196</v>
      </c>
      <c r="B7" s="86" t="s">
        <v>200</v>
      </c>
      <c r="C7" s="73" t="b">
        <f>IF(Eligibilité_projet!B13="",'(ne pas modifier) BDD_REF'!B234:E234)</f>
        <v>0</v>
      </c>
      <c r="D7" s="73" t="str">
        <f t="shared" si="0"/>
        <v>Climat Sec Mediterranéen - FAUX</v>
      </c>
      <c r="E7" s="73">
        <v>49.5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86" t="s">
        <v>196</v>
      </c>
      <c r="B8" s="86" t="s">
        <v>200</v>
      </c>
      <c r="C8" s="73" t="s">
        <v>198</v>
      </c>
      <c r="D8" s="73" t="str">
        <f t="shared" si="0"/>
        <v>Climat Sec Mediterranéen - Viticulture</v>
      </c>
      <c r="E8" s="73">
        <v>34.299999999999997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86" t="s">
        <v>196</v>
      </c>
      <c r="B9" s="86" t="s">
        <v>200</v>
      </c>
      <c r="C9" s="73" t="s">
        <v>199</v>
      </c>
      <c r="D9" s="73" t="str">
        <f t="shared" si="0"/>
        <v>Climat Sec Mediterranéen - Vergers</v>
      </c>
      <c r="E9" s="73">
        <v>41.5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86" t="s">
        <v>196</v>
      </c>
      <c r="B10" s="86" t="s">
        <v>200</v>
      </c>
      <c r="C10" s="73" t="s">
        <v>201</v>
      </c>
      <c r="D10" s="73" t="str">
        <f t="shared" si="0"/>
        <v>Climat Sec Mediterranéen - Friche herbacée</v>
      </c>
      <c r="E10" s="73">
        <v>52.7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86" t="s">
        <v>202</v>
      </c>
      <c r="B11" s="86" t="s">
        <v>29</v>
      </c>
      <c r="C11" s="73" t="s">
        <v>33</v>
      </c>
      <c r="D11" s="73" t="str">
        <f t="shared" si="0"/>
        <v>Hors climat Mediterranéen - Grandes cultures</v>
      </c>
      <c r="E11" s="73">
        <f>(E5-E2)/20</f>
        <v>-0.25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86" t="s">
        <v>202</v>
      </c>
      <c r="B12" s="86" t="s">
        <v>29</v>
      </c>
      <c r="C12" s="73" t="s">
        <v>197</v>
      </c>
      <c r="D12" s="73" t="str">
        <f t="shared" si="0"/>
        <v>Hors climat Mediterranéen - Prairies permanentes</v>
      </c>
      <c r="E12" s="73">
        <f>(E5-E3)/20</f>
        <v>-1.9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86" t="s">
        <v>202</v>
      </c>
      <c r="B13" s="86" t="s">
        <v>29</v>
      </c>
      <c r="C13" s="73" t="s">
        <v>198</v>
      </c>
      <c r="D13" s="73" t="str">
        <f t="shared" si="0"/>
        <v>Hors climat Mediterranéen - Viticulture</v>
      </c>
      <c r="E13" s="73">
        <f>(E5-E4)/20</f>
        <v>0.65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86" t="s">
        <v>202</v>
      </c>
      <c r="B14" s="86" t="s">
        <v>200</v>
      </c>
      <c r="C14" s="73" t="s">
        <v>33</v>
      </c>
      <c r="D14" s="73" t="str">
        <f t="shared" si="0"/>
        <v>Climat Sec Mediterranéen - Grandes cultures</v>
      </c>
      <c r="E14" s="73">
        <f>(E9-E6)/20</f>
        <v>-8.0000000000000071E-2</v>
      </c>
      <c r="F14" s="2"/>
      <c r="G14" s="87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86" t="s">
        <v>202</v>
      </c>
      <c r="B15" s="86" t="s">
        <v>200</v>
      </c>
      <c r="C15" s="73" t="s">
        <v>197</v>
      </c>
      <c r="D15" s="73" t="str">
        <f t="shared" si="0"/>
        <v>Climat Sec Mediterranéen - Prairies permanentes</v>
      </c>
      <c r="E15" s="73">
        <f>(E9-E7)/20</f>
        <v>-0.4</v>
      </c>
      <c r="F15" s="2"/>
      <c r="G15" s="87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86" t="s">
        <v>202</v>
      </c>
      <c r="B16" s="86" t="s">
        <v>200</v>
      </c>
      <c r="C16" s="73" t="s">
        <v>198</v>
      </c>
      <c r="D16" s="73" t="str">
        <f t="shared" si="0"/>
        <v>Climat Sec Mediterranéen - Viticulture</v>
      </c>
      <c r="E16" s="73">
        <f>(E9-E8)/20</f>
        <v>0.36000000000000015</v>
      </c>
      <c r="F16" s="2"/>
      <c r="G16" s="87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86" t="s">
        <v>202</v>
      </c>
      <c r="B17" s="86" t="s">
        <v>200</v>
      </c>
      <c r="C17" s="73" t="s">
        <v>201</v>
      </c>
      <c r="D17" s="73" t="str">
        <f t="shared" si="0"/>
        <v>Climat Sec Mediterranéen - Friche herbacée</v>
      </c>
      <c r="E17" s="73">
        <f>(E9-E10)/20</f>
        <v>-0.56000000000000016</v>
      </c>
      <c r="F17" s="2"/>
      <c r="G17" s="87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88" t="s">
        <v>203</v>
      </c>
      <c r="B20" s="88" t="s">
        <v>25</v>
      </c>
      <c r="C20" s="88" t="s">
        <v>204</v>
      </c>
      <c r="D20" s="88" t="s">
        <v>205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73" t="s">
        <v>206</v>
      </c>
      <c r="B21" s="73" t="s">
        <v>207</v>
      </c>
      <c r="C21" s="73" t="str">
        <f t="shared" ref="C21:C42" si="1">CONCATENATE(A21," - ",B21)</f>
        <v>Abricotier - Gobelet</v>
      </c>
      <c r="D21" s="73">
        <v>300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73" t="s">
        <v>208</v>
      </c>
      <c r="B22" s="73" t="s">
        <v>207</v>
      </c>
      <c r="C22" s="73" t="str">
        <f t="shared" si="1"/>
        <v>Amandier - Gobelet</v>
      </c>
      <c r="D22" s="73">
        <v>150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73" t="s">
        <v>209</v>
      </c>
      <c r="B23" s="73" t="s">
        <v>26</v>
      </c>
      <c r="C23" s="73" t="str">
        <f t="shared" si="1"/>
        <v>Cerisier de table - Axe</v>
      </c>
      <c r="D23" s="73">
        <v>600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73" t="s">
        <v>210</v>
      </c>
      <c r="B24" s="73" t="s">
        <v>207</v>
      </c>
      <c r="C24" s="73" t="str">
        <f t="shared" si="1"/>
        <v>Cerisier - Gobelet</v>
      </c>
      <c r="D24" s="73">
        <v>150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73" t="s">
        <v>211</v>
      </c>
      <c r="B25" s="73" t="s">
        <v>212</v>
      </c>
      <c r="C25" s="73" t="str">
        <f t="shared" si="1"/>
        <v>Châtaignier - Plein vent</v>
      </c>
      <c r="D25" s="73">
        <v>40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73" t="s">
        <v>213</v>
      </c>
      <c r="B26" s="73" t="s">
        <v>212</v>
      </c>
      <c r="C26" s="73" t="str">
        <f t="shared" si="1"/>
        <v>Clémentinier - Plein vent</v>
      </c>
      <c r="D26" s="73">
        <v>500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73" t="s">
        <v>214</v>
      </c>
      <c r="B27" s="73" t="s">
        <v>207</v>
      </c>
      <c r="C27" s="73" t="str">
        <f t="shared" si="1"/>
        <v>Cognassier - Gobelet</v>
      </c>
      <c r="D27" s="73">
        <v>300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73" t="s">
        <v>214</v>
      </c>
      <c r="B28" s="73" t="s">
        <v>26</v>
      </c>
      <c r="C28" s="73" t="str">
        <f t="shared" si="1"/>
        <v>Cognassier - Axe</v>
      </c>
      <c r="D28" s="73">
        <v>1000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73" t="s">
        <v>215</v>
      </c>
      <c r="B29" s="73" t="s">
        <v>207</v>
      </c>
      <c r="C29" s="73" t="str">
        <f t="shared" si="1"/>
        <v>Figuier - Gobelet</v>
      </c>
      <c r="D29" s="73">
        <v>200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73" t="s">
        <v>216</v>
      </c>
      <c r="B30" s="73" t="s">
        <v>217</v>
      </c>
      <c r="C30" s="73" t="str">
        <f t="shared" si="1"/>
        <v>Kiwi - T-Barre</v>
      </c>
      <c r="D30" s="73">
        <v>350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73" t="s">
        <v>218</v>
      </c>
      <c r="B31" s="73" t="s">
        <v>207</v>
      </c>
      <c r="C31" s="73" t="str">
        <f t="shared" si="1"/>
        <v>Noisetier - Gobelet</v>
      </c>
      <c r="D31" s="73">
        <v>250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73" t="s">
        <v>219</v>
      </c>
      <c r="B32" s="73" t="s">
        <v>212</v>
      </c>
      <c r="C32" s="73" t="str">
        <f t="shared" si="1"/>
        <v>Noyer - Plein vent</v>
      </c>
      <c r="D32" s="73">
        <v>50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73" t="s">
        <v>220</v>
      </c>
      <c r="B33" s="73" t="s">
        <v>26</v>
      </c>
      <c r="C33" s="73" t="str">
        <f t="shared" si="1"/>
        <v>Pêcher - Axe</v>
      </c>
      <c r="D33" s="73">
        <v>1000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73" t="s">
        <v>220</v>
      </c>
      <c r="B34" s="73" t="s">
        <v>221</v>
      </c>
      <c r="C34" s="73" t="str">
        <f t="shared" si="1"/>
        <v>Pêcher - Upsilon</v>
      </c>
      <c r="D34" s="73">
        <v>500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73" t="s">
        <v>220</v>
      </c>
      <c r="B35" s="73" t="s">
        <v>222</v>
      </c>
      <c r="C35" s="73" t="str">
        <f t="shared" si="1"/>
        <v>Pêcher - Palmette</v>
      </c>
      <c r="D35" s="73">
        <v>500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73" t="s">
        <v>220</v>
      </c>
      <c r="B36" s="73" t="s">
        <v>207</v>
      </c>
      <c r="C36" s="73" t="str">
        <f t="shared" si="1"/>
        <v>Pêcher - Gobelet</v>
      </c>
      <c r="D36" s="73">
        <v>350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73" t="s">
        <v>223</v>
      </c>
      <c r="B37" s="73" t="s">
        <v>26</v>
      </c>
      <c r="C37" s="73" t="str">
        <f t="shared" si="1"/>
        <v>Poirier - Axe</v>
      </c>
      <c r="D37" s="73">
        <v>1000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73" t="s">
        <v>223</v>
      </c>
      <c r="B38" s="73" t="s">
        <v>207</v>
      </c>
      <c r="C38" s="73" t="str">
        <f t="shared" si="1"/>
        <v>Poirier - Gobelet</v>
      </c>
      <c r="D38" s="73">
        <v>300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73" t="s">
        <v>22</v>
      </c>
      <c r="B39" s="73" t="s">
        <v>26</v>
      </c>
      <c r="C39" s="73" t="str">
        <f t="shared" si="1"/>
        <v>Pommier - Axe</v>
      </c>
      <c r="D39" s="73">
        <v>1000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73" t="s">
        <v>22</v>
      </c>
      <c r="B40" s="73" t="s">
        <v>207</v>
      </c>
      <c r="C40" s="73" t="str">
        <f t="shared" si="1"/>
        <v>Pommier - Gobelet</v>
      </c>
      <c r="D40" s="73">
        <v>300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73" t="s">
        <v>224</v>
      </c>
      <c r="B41" s="73" t="s">
        <v>26</v>
      </c>
      <c r="C41" s="73" t="str">
        <f t="shared" si="1"/>
        <v>Prunier de table - Axe</v>
      </c>
      <c r="D41" s="73">
        <v>1000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73" t="s">
        <v>224</v>
      </c>
      <c r="B42" s="73" t="s">
        <v>207</v>
      </c>
      <c r="C42" s="73" t="str">
        <f t="shared" si="1"/>
        <v>Prunier de table - Gobelet</v>
      </c>
      <c r="D42" s="73">
        <v>300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133" t="s">
        <v>200</v>
      </c>
      <c r="C44" s="128"/>
      <c r="D44" s="129"/>
      <c r="E44" s="133" t="s">
        <v>225</v>
      </c>
      <c r="F44" s="128"/>
      <c r="G44" s="129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89" t="s">
        <v>226</v>
      </c>
      <c r="B45" s="90" t="s">
        <v>227</v>
      </c>
      <c r="C45" s="84" t="s">
        <v>228</v>
      </c>
      <c r="D45" s="91" t="s">
        <v>229</v>
      </c>
      <c r="E45" s="90" t="s">
        <v>230</v>
      </c>
      <c r="F45" s="84" t="s">
        <v>231</v>
      </c>
      <c r="G45" s="91" t="s">
        <v>232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73">
        <v>1</v>
      </c>
      <c r="B46" s="73">
        <v>2.4</v>
      </c>
      <c r="C46" s="73">
        <v>9.9</v>
      </c>
      <c r="D46" s="73">
        <f t="shared" ref="D46:D65" si="2">B46-C46</f>
        <v>-7.5</v>
      </c>
      <c r="E46" s="73">
        <v>2.7</v>
      </c>
      <c r="F46" s="73">
        <v>5</v>
      </c>
      <c r="G46" s="73">
        <f t="shared" ref="G46:G65" si="3">E46-F46</f>
        <v>-2.2999999999999998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73">
        <v>2</v>
      </c>
      <c r="B47" s="73">
        <v>3.72</v>
      </c>
      <c r="C47" s="73">
        <v>9.9</v>
      </c>
      <c r="D47" s="73">
        <f t="shared" si="2"/>
        <v>-6.18</v>
      </c>
      <c r="E47" s="73">
        <v>4.2</v>
      </c>
      <c r="F47" s="73">
        <v>5</v>
      </c>
      <c r="G47" s="73">
        <f t="shared" si="3"/>
        <v>-0.79999999999999982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73">
        <v>3</v>
      </c>
      <c r="B48" s="73">
        <v>5.04</v>
      </c>
      <c r="C48" s="73">
        <v>9.9</v>
      </c>
      <c r="D48" s="73">
        <f t="shared" si="2"/>
        <v>-4.8600000000000003</v>
      </c>
      <c r="E48" s="73">
        <v>5.6</v>
      </c>
      <c r="F48" s="73">
        <v>5</v>
      </c>
      <c r="G48" s="73">
        <f t="shared" si="3"/>
        <v>0.59999999999999964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73">
        <v>4</v>
      </c>
      <c r="B49" s="73">
        <v>6.36</v>
      </c>
      <c r="C49" s="73">
        <v>9.9</v>
      </c>
      <c r="D49" s="73">
        <f t="shared" si="2"/>
        <v>-3.54</v>
      </c>
      <c r="E49" s="73">
        <v>7.1</v>
      </c>
      <c r="F49" s="73">
        <v>5</v>
      </c>
      <c r="G49" s="73">
        <f t="shared" si="3"/>
        <v>2.0999999999999996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73">
        <v>5</v>
      </c>
      <c r="B50" s="73">
        <v>6.6</v>
      </c>
      <c r="C50" s="73">
        <v>9.9</v>
      </c>
      <c r="D50" s="73">
        <f t="shared" si="2"/>
        <v>-3.3000000000000007</v>
      </c>
      <c r="E50" s="73">
        <v>7.4</v>
      </c>
      <c r="F50" s="73">
        <v>5</v>
      </c>
      <c r="G50" s="73">
        <f t="shared" si="3"/>
        <v>2.4000000000000004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73">
        <v>6</v>
      </c>
      <c r="B51" s="73">
        <v>7.7</v>
      </c>
      <c r="C51" s="73">
        <v>9.9</v>
      </c>
      <c r="D51" s="73">
        <f t="shared" si="2"/>
        <v>-2.2000000000000002</v>
      </c>
      <c r="E51" s="73">
        <v>8.6</v>
      </c>
      <c r="F51" s="73">
        <v>5</v>
      </c>
      <c r="G51" s="73">
        <f t="shared" si="3"/>
        <v>3.5999999999999996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73">
        <v>7</v>
      </c>
      <c r="B52" s="73">
        <v>8.8000000000000007</v>
      </c>
      <c r="C52" s="73">
        <v>9.9</v>
      </c>
      <c r="D52" s="73">
        <f t="shared" si="2"/>
        <v>-1.0999999999999996</v>
      </c>
      <c r="E52" s="73">
        <v>9.8000000000000007</v>
      </c>
      <c r="F52" s="73">
        <v>5</v>
      </c>
      <c r="G52" s="73">
        <f t="shared" si="3"/>
        <v>4.8000000000000007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73">
        <v>8</v>
      </c>
      <c r="B53" s="73">
        <v>9.9</v>
      </c>
      <c r="C53" s="73">
        <v>9.9</v>
      </c>
      <c r="D53" s="73">
        <f t="shared" si="2"/>
        <v>0</v>
      </c>
      <c r="E53" s="73">
        <v>11.1</v>
      </c>
      <c r="F53" s="73">
        <v>5</v>
      </c>
      <c r="G53" s="73">
        <f t="shared" si="3"/>
        <v>6.1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73">
        <v>9</v>
      </c>
      <c r="B54" s="73">
        <v>11</v>
      </c>
      <c r="C54" s="73">
        <v>9.9</v>
      </c>
      <c r="D54" s="73">
        <f t="shared" si="2"/>
        <v>1.0999999999999996</v>
      </c>
      <c r="E54" s="73">
        <v>12.3</v>
      </c>
      <c r="F54" s="73">
        <v>5</v>
      </c>
      <c r="G54" s="73">
        <f t="shared" si="3"/>
        <v>7.3000000000000007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73">
        <v>10</v>
      </c>
      <c r="B55" s="73">
        <v>12.1</v>
      </c>
      <c r="C55" s="73">
        <v>9.9</v>
      </c>
      <c r="D55" s="73">
        <f t="shared" si="2"/>
        <v>2.1999999999999993</v>
      </c>
      <c r="E55" s="73">
        <v>13.5</v>
      </c>
      <c r="F55" s="73">
        <v>5</v>
      </c>
      <c r="G55" s="73">
        <f t="shared" si="3"/>
        <v>8.5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73">
        <v>11</v>
      </c>
      <c r="B56" s="73">
        <v>12.46</v>
      </c>
      <c r="C56" s="73">
        <v>9.9</v>
      </c>
      <c r="D56" s="73">
        <f t="shared" si="2"/>
        <v>2.5600000000000005</v>
      </c>
      <c r="E56" s="73">
        <v>13.9</v>
      </c>
      <c r="F56" s="73">
        <v>5</v>
      </c>
      <c r="G56" s="73">
        <f t="shared" si="3"/>
        <v>8.9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73">
        <v>12</v>
      </c>
      <c r="B57" s="73">
        <v>12.82</v>
      </c>
      <c r="C57" s="73">
        <v>9.9</v>
      </c>
      <c r="D57" s="73">
        <f t="shared" si="2"/>
        <v>2.92</v>
      </c>
      <c r="E57" s="73">
        <v>14.3</v>
      </c>
      <c r="F57" s="73">
        <v>5</v>
      </c>
      <c r="G57" s="73">
        <f t="shared" si="3"/>
        <v>9.3000000000000007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73">
        <v>13</v>
      </c>
      <c r="B58" s="73">
        <v>13.18</v>
      </c>
      <c r="C58" s="73">
        <v>9.9</v>
      </c>
      <c r="D58" s="73">
        <f t="shared" si="2"/>
        <v>3.2799999999999994</v>
      </c>
      <c r="E58" s="73">
        <v>14.7</v>
      </c>
      <c r="F58" s="73">
        <v>5</v>
      </c>
      <c r="G58" s="73">
        <f t="shared" si="3"/>
        <v>9.6999999999999993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73">
        <v>14</v>
      </c>
      <c r="B59" s="73">
        <v>13.54</v>
      </c>
      <c r="C59" s="73">
        <v>9.9</v>
      </c>
      <c r="D59" s="73">
        <f t="shared" si="2"/>
        <v>3.6399999999999988</v>
      </c>
      <c r="E59" s="73">
        <v>15.1</v>
      </c>
      <c r="F59" s="73">
        <v>5</v>
      </c>
      <c r="G59" s="73">
        <f t="shared" si="3"/>
        <v>10.1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73">
        <v>15</v>
      </c>
      <c r="B60" s="73">
        <v>13.9</v>
      </c>
      <c r="C60" s="73">
        <v>9.9</v>
      </c>
      <c r="D60" s="73">
        <f t="shared" si="2"/>
        <v>4</v>
      </c>
      <c r="E60" s="73">
        <v>15.6</v>
      </c>
      <c r="F60" s="73">
        <v>5</v>
      </c>
      <c r="G60" s="73">
        <f t="shared" si="3"/>
        <v>10.6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73">
        <v>16</v>
      </c>
      <c r="B61" s="73">
        <v>13.98</v>
      </c>
      <c r="C61" s="73">
        <v>9.9</v>
      </c>
      <c r="D61" s="73">
        <f t="shared" si="2"/>
        <v>4.08</v>
      </c>
      <c r="E61" s="73">
        <v>15.6</v>
      </c>
      <c r="F61" s="73">
        <v>5</v>
      </c>
      <c r="G61" s="73">
        <f t="shared" si="3"/>
        <v>10.6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73">
        <v>17</v>
      </c>
      <c r="B62" s="73">
        <v>14.06</v>
      </c>
      <c r="C62" s="73">
        <v>9.9</v>
      </c>
      <c r="D62" s="73">
        <f t="shared" si="2"/>
        <v>4.16</v>
      </c>
      <c r="E62" s="73">
        <v>15.7</v>
      </c>
      <c r="F62" s="73">
        <v>5</v>
      </c>
      <c r="G62" s="73">
        <f t="shared" si="3"/>
        <v>10.7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73">
        <v>18</v>
      </c>
      <c r="B63" s="73">
        <v>14.14</v>
      </c>
      <c r="C63" s="73">
        <v>9.9</v>
      </c>
      <c r="D63" s="73">
        <f t="shared" si="2"/>
        <v>4.24</v>
      </c>
      <c r="E63" s="73">
        <v>15.8</v>
      </c>
      <c r="F63" s="73">
        <v>5</v>
      </c>
      <c r="G63" s="73">
        <f t="shared" si="3"/>
        <v>10.8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73">
        <v>19</v>
      </c>
      <c r="B64" s="73">
        <v>14.22</v>
      </c>
      <c r="C64" s="73">
        <v>9.9</v>
      </c>
      <c r="D64" s="73">
        <f t="shared" si="2"/>
        <v>4.32</v>
      </c>
      <c r="E64" s="73">
        <v>15.9</v>
      </c>
      <c r="F64" s="73">
        <v>5</v>
      </c>
      <c r="G64" s="73">
        <f t="shared" si="3"/>
        <v>10.9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73">
        <v>20</v>
      </c>
      <c r="B65" s="73">
        <v>14.3</v>
      </c>
      <c r="C65" s="73">
        <v>9.9</v>
      </c>
      <c r="D65" s="73">
        <f t="shared" si="2"/>
        <v>4.4000000000000004</v>
      </c>
      <c r="E65" s="73">
        <v>16</v>
      </c>
      <c r="F65" s="73">
        <v>5</v>
      </c>
      <c r="G65" s="73">
        <f t="shared" si="3"/>
        <v>11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92" t="s">
        <v>233</v>
      </c>
      <c r="B67" s="92" t="s">
        <v>32</v>
      </c>
      <c r="C67" s="92" t="s">
        <v>234</v>
      </c>
      <c r="D67" s="92" t="s">
        <v>235</v>
      </c>
      <c r="E67" s="92" t="s">
        <v>236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93">
        <v>10</v>
      </c>
      <c r="B68" s="73" t="s">
        <v>33</v>
      </c>
      <c r="C68" s="86" t="s">
        <v>200</v>
      </c>
      <c r="D68" s="73" t="str">
        <f t="shared" ref="D68:D133" si="4">CONCATENATE(A68," - ",B68,"-",C68)</f>
        <v>10 - Grandes cultures-Climat Sec Mediterranéen</v>
      </c>
      <c r="E68" s="94">
        <f>SUM(B$46:B$55)/11</f>
        <v>6.6927272727272715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93">
        <v>11</v>
      </c>
      <c r="B69" s="73" t="s">
        <v>33</v>
      </c>
      <c r="C69" s="86" t="s">
        <v>200</v>
      </c>
      <c r="D69" s="73" t="str">
        <f t="shared" si="4"/>
        <v>11 - Grandes cultures-Climat Sec Mediterranéen</v>
      </c>
      <c r="E69" s="94">
        <f>SUM(B$46:B$56)/12</f>
        <v>7.173333333333332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93">
        <v>12</v>
      </c>
      <c r="B70" s="73" t="s">
        <v>33</v>
      </c>
      <c r="C70" s="86" t="s">
        <v>200</v>
      </c>
      <c r="D70" s="73" t="str">
        <f t="shared" si="4"/>
        <v>12 - Grandes cultures-Climat Sec Mediterranéen</v>
      </c>
      <c r="E70" s="94">
        <f>SUM(B$46:B$57)/(A70+1)</f>
        <v>7.6076923076923055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93">
        <v>13</v>
      </c>
      <c r="B71" s="73" t="s">
        <v>33</v>
      </c>
      <c r="C71" s="86" t="s">
        <v>200</v>
      </c>
      <c r="D71" s="73" t="str">
        <f t="shared" si="4"/>
        <v>13 - Grandes cultures-Climat Sec Mediterranéen</v>
      </c>
      <c r="E71" s="94">
        <f>SUM(B$46:B$58)/14</f>
        <v>8.0057142857142853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93">
        <v>14</v>
      </c>
      <c r="B72" s="73" t="s">
        <v>33</v>
      </c>
      <c r="C72" s="86" t="s">
        <v>200</v>
      </c>
      <c r="D72" s="73" t="str">
        <f t="shared" si="4"/>
        <v>14 - Grandes cultures-Climat Sec Mediterranéen</v>
      </c>
      <c r="E72" s="94">
        <f>SUM(B$46:B$59)/15</f>
        <v>8.3746666666666645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93">
        <v>15</v>
      </c>
      <c r="B73" s="73" t="s">
        <v>33</v>
      </c>
      <c r="C73" s="86" t="s">
        <v>200</v>
      </c>
      <c r="D73" s="73" t="str">
        <f t="shared" si="4"/>
        <v>15 - Grandes cultures-Climat Sec Mediterranéen</v>
      </c>
      <c r="E73" s="94">
        <f>SUM(B$46:B$60)/16</f>
        <v>8.7199999999999989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93">
        <v>16</v>
      </c>
      <c r="B74" s="73" t="s">
        <v>33</v>
      </c>
      <c r="C74" s="86" t="s">
        <v>200</v>
      </c>
      <c r="D74" s="73" t="str">
        <f t="shared" si="4"/>
        <v>16 - Grandes cultures-Climat Sec Mediterranéen</v>
      </c>
      <c r="E74" s="94">
        <f>SUM(B$46:B$61)/17</f>
        <v>9.0294117647058805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93">
        <v>17</v>
      </c>
      <c r="B75" s="73" t="s">
        <v>33</v>
      </c>
      <c r="C75" s="86" t="s">
        <v>200</v>
      </c>
      <c r="D75" s="73" t="str">
        <f t="shared" si="4"/>
        <v>17 - Grandes cultures-Climat Sec Mediterranéen</v>
      </c>
      <c r="E75" s="94">
        <f>SUM(B$46:B$62)/18</f>
        <v>9.3088888888888874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93">
        <v>18</v>
      </c>
      <c r="B76" s="73" t="s">
        <v>33</v>
      </c>
      <c r="C76" s="86" t="s">
        <v>200</v>
      </c>
      <c r="D76" s="73" t="str">
        <f t="shared" si="4"/>
        <v>18 - Grandes cultures-Climat Sec Mediterranéen</v>
      </c>
      <c r="E76" s="94">
        <f>SUM(B$46:B$63)/19</f>
        <v>9.5631578947368414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93">
        <v>19</v>
      </c>
      <c r="B77" s="73" t="s">
        <v>33</v>
      </c>
      <c r="C77" s="86" t="s">
        <v>200</v>
      </c>
      <c r="D77" s="73" t="str">
        <f t="shared" si="4"/>
        <v>19 - Grandes cultures-Climat Sec Mediterranéen</v>
      </c>
      <c r="E77" s="94">
        <f>SUM(B$46:B$64)/20</f>
        <v>9.7959999999999994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93">
        <v>20</v>
      </c>
      <c r="B78" s="73" t="s">
        <v>33</v>
      </c>
      <c r="C78" s="86" t="s">
        <v>200</v>
      </c>
      <c r="D78" s="73" t="str">
        <f t="shared" si="4"/>
        <v>20 - Grandes cultures-Climat Sec Mediterranéen</v>
      </c>
      <c r="E78" s="94">
        <f>SUM(B$46:B$65)/21</f>
        <v>10.01047619047619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93">
        <v>10</v>
      </c>
      <c r="B79" s="73" t="s">
        <v>197</v>
      </c>
      <c r="C79" s="86" t="s">
        <v>200</v>
      </c>
      <c r="D79" s="73" t="str">
        <f t="shared" si="4"/>
        <v>10 - Prairies permanentes-Climat Sec Mediterranéen</v>
      </c>
      <c r="E79" s="94">
        <f>SUM(B$46:B$55)/11</f>
        <v>6.6927272727272715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93">
        <v>11</v>
      </c>
      <c r="B80" s="73" t="s">
        <v>197</v>
      </c>
      <c r="C80" s="86" t="s">
        <v>200</v>
      </c>
      <c r="D80" s="73" t="str">
        <f t="shared" si="4"/>
        <v>11 - Prairies permanentes-Climat Sec Mediterranéen</v>
      </c>
      <c r="E80" s="94">
        <f>SUM(B$46:B$56)/12</f>
        <v>7.173333333333332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93">
        <v>12</v>
      </c>
      <c r="B81" s="73" t="s">
        <v>197</v>
      </c>
      <c r="C81" s="86" t="s">
        <v>200</v>
      </c>
      <c r="D81" s="73" t="str">
        <f t="shared" si="4"/>
        <v>12 - Prairies permanentes-Climat Sec Mediterranéen</v>
      </c>
      <c r="E81" s="94">
        <f>SUM(B$46:B$57)/(A81+1)</f>
        <v>7.6076923076923055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93">
        <v>13</v>
      </c>
      <c r="B82" s="73" t="s">
        <v>197</v>
      </c>
      <c r="C82" s="86" t="s">
        <v>200</v>
      </c>
      <c r="D82" s="73" t="str">
        <f t="shared" si="4"/>
        <v>13 - Prairies permanentes-Climat Sec Mediterranéen</v>
      </c>
      <c r="E82" s="94">
        <f>SUM(B$46:B$58)/14</f>
        <v>8.0057142857142853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93">
        <v>14</v>
      </c>
      <c r="B83" s="73" t="s">
        <v>197</v>
      </c>
      <c r="C83" s="86" t="s">
        <v>200</v>
      </c>
      <c r="D83" s="73" t="str">
        <f t="shared" si="4"/>
        <v>14 - Prairies permanentes-Climat Sec Mediterranéen</v>
      </c>
      <c r="E83" s="94">
        <f>SUM(B$46:B$59)/15</f>
        <v>8.3746666666666645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93">
        <v>15</v>
      </c>
      <c r="B84" s="73" t="s">
        <v>197</v>
      </c>
      <c r="C84" s="86" t="s">
        <v>200</v>
      </c>
      <c r="D84" s="73" t="str">
        <f t="shared" si="4"/>
        <v>15 - Prairies permanentes-Climat Sec Mediterranéen</v>
      </c>
      <c r="E84" s="94">
        <f>SUM(B$46:B$60)/16</f>
        <v>8.7199999999999989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93">
        <v>16</v>
      </c>
      <c r="B85" s="73" t="s">
        <v>197</v>
      </c>
      <c r="C85" s="86" t="s">
        <v>200</v>
      </c>
      <c r="D85" s="73" t="str">
        <f t="shared" si="4"/>
        <v>16 - Prairies permanentes-Climat Sec Mediterranéen</v>
      </c>
      <c r="E85" s="94">
        <f>SUM(B$46:B$61)/17</f>
        <v>9.0294117647058805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93">
        <v>17</v>
      </c>
      <c r="B86" s="73" t="s">
        <v>197</v>
      </c>
      <c r="C86" s="86" t="s">
        <v>200</v>
      </c>
      <c r="D86" s="73" t="str">
        <f t="shared" si="4"/>
        <v>17 - Prairies permanentes-Climat Sec Mediterranéen</v>
      </c>
      <c r="E86" s="94">
        <f>SUM(B$46:B$62)/18</f>
        <v>9.3088888888888874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93">
        <v>18</v>
      </c>
      <c r="B87" s="73" t="s">
        <v>197</v>
      </c>
      <c r="C87" s="86" t="s">
        <v>200</v>
      </c>
      <c r="D87" s="73" t="str">
        <f t="shared" si="4"/>
        <v>18 - Prairies permanentes-Climat Sec Mediterranéen</v>
      </c>
      <c r="E87" s="94">
        <f>SUM(B$46:B$63)/19</f>
        <v>9.5631578947368414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93">
        <v>19</v>
      </c>
      <c r="B88" s="73" t="s">
        <v>197</v>
      </c>
      <c r="C88" s="86" t="s">
        <v>200</v>
      </c>
      <c r="D88" s="73" t="str">
        <f t="shared" si="4"/>
        <v>19 - Prairies permanentes-Climat Sec Mediterranéen</v>
      </c>
      <c r="E88" s="94">
        <f>SUM(B$46:B$64)/20</f>
        <v>9.7959999999999994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93">
        <v>20</v>
      </c>
      <c r="B89" s="73" t="s">
        <v>197</v>
      </c>
      <c r="C89" s="86" t="s">
        <v>200</v>
      </c>
      <c r="D89" s="73" t="str">
        <f t="shared" si="4"/>
        <v>20 - Prairies permanentes-Climat Sec Mediterranéen</v>
      </c>
      <c r="E89" s="94">
        <f>SUM(B$46:B$65)/21</f>
        <v>10.01047619047619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93">
        <v>10</v>
      </c>
      <c r="B90" s="73" t="s">
        <v>198</v>
      </c>
      <c r="C90" s="86" t="s">
        <v>200</v>
      </c>
      <c r="D90" s="73" t="str">
        <f t="shared" si="4"/>
        <v>10 - Viticulture-Climat Sec Mediterranéen</v>
      </c>
      <c r="E90" s="94">
        <f>SUM(D46:D55)/11</f>
        <v>-2.3072727272727271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93">
        <v>11</v>
      </c>
      <c r="B91" s="73" t="s">
        <v>198</v>
      </c>
      <c r="C91" s="86" t="s">
        <v>200</v>
      </c>
      <c r="D91" s="73" t="str">
        <f t="shared" si="4"/>
        <v>11 - Viticulture-Climat Sec Mediterranéen</v>
      </c>
      <c r="E91" s="94">
        <f>SUM(D46:D56)/12</f>
        <v>-1.9016666666666666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93">
        <v>12</v>
      </c>
      <c r="B92" s="73" t="s">
        <v>198</v>
      </c>
      <c r="C92" s="86" t="s">
        <v>200</v>
      </c>
      <c r="D92" s="73" t="str">
        <f t="shared" si="4"/>
        <v>12 - Viticulture-Climat Sec Mediterranéen</v>
      </c>
      <c r="E92" s="94">
        <f>SUM(D46:D57)/13</f>
        <v>-1.5307692307692307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93">
        <v>13</v>
      </c>
      <c r="B93" s="73" t="s">
        <v>198</v>
      </c>
      <c r="C93" s="86" t="s">
        <v>200</v>
      </c>
      <c r="D93" s="73" t="str">
        <f t="shared" si="4"/>
        <v>13 - Viticulture-Climat Sec Mediterranéen</v>
      </c>
      <c r="E93" s="94">
        <f>SUM(D46:D58)/14</f>
        <v>-1.1871428571428571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93">
        <v>14</v>
      </c>
      <c r="B94" s="73" t="s">
        <v>198</v>
      </c>
      <c r="C94" s="86" t="s">
        <v>200</v>
      </c>
      <c r="D94" s="73" t="str">
        <f t="shared" si="4"/>
        <v>14 - Viticulture-Climat Sec Mediterranéen</v>
      </c>
      <c r="E94" s="94">
        <f>SUM(D46:D59)/15</f>
        <v>-0.86533333333333329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93">
        <v>15</v>
      </c>
      <c r="B95" s="73" t="s">
        <v>198</v>
      </c>
      <c r="C95" s="86" t="s">
        <v>200</v>
      </c>
      <c r="D95" s="73" t="str">
        <f t="shared" si="4"/>
        <v>15 - Viticulture-Climat Sec Mediterranéen</v>
      </c>
      <c r="E95" s="94">
        <f>SUM(D46:D60)/16</f>
        <v>-0.56124999999999992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93">
        <v>16</v>
      </c>
      <c r="B96" s="73" t="s">
        <v>198</v>
      </c>
      <c r="C96" s="86" t="s">
        <v>200</v>
      </c>
      <c r="D96" s="73" t="str">
        <f t="shared" si="4"/>
        <v>16 - Viticulture-Climat Sec Mediterranéen</v>
      </c>
      <c r="E96" s="94">
        <f>SUM(D46:D61)/17</f>
        <v>-0.28823529411764698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93">
        <v>17</v>
      </c>
      <c r="B97" s="73" t="s">
        <v>198</v>
      </c>
      <c r="C97" s="86" t="s">
        <v>200</v>
      </c>
      <c r="D97" s="73" t="str">
        <f t="shared" si="4"/>
        <v>17 - Viticulture-Climat Sec Mediterranéen</v>
      </c>
      <c r="E97" s="94">
        <f>SUM(D46:D62)/18</f>
        <v>-4.1111111111111022E-2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93">
        <v>18</v>
      </c>
      <c r="B98" s="73" t="s">
        <v>198</v>
      </c>
      <c r="C98" s="86" t="s">
        <v>200</v>
      </c>
      <c r="D98" s="73" t="str">
        <f t="shared" si="4"/>
        <v>18 - Viticulture-Climat Sec Mediterranéen</v>
      </c>
      <c r="E98" s="94">
        <f>SUM(D46:D63)/19</f>
        <v>0.18421052631578957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93">
        <v>19</v>
      </c>
      <c r="B99" s="73" t="s">
        <v>198</v>
      </c>
      <c r="C99" s="86" t="s">
        <v>200</v>
      </c>
      <c r="D99" s="73" t="str">
        <f t="shared" si="4"/>
        <v>19 - Viticulture-Climat Sec Mediterranéen</v>
      </c>
      <c r="E99" s="94">
        <f>SUM(D46:D64)/20</f>
        <v>0.39100000000000013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93">
        <v>20</v>
      </c>
      <c r="B100" s="73" t="s">
        <v>198</v>
      </c>
      <c r="C100" s="86" t="s">
        <v>200</v>
      </c>
      <c r="D100" s="73" t="str">
        <f t="shared" si="4"/>
        <v>20 - Viticulture-Climat Sec Mediterranéen</v>
      </c>
      <c r="E100" s="94">
        <f>SUM(D46:D65)/21</f>
        <v>0.58190476190476204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93">
        <v>10</v>
      </c>
      <c r="B101" s="73" t="s">
        <v>33</v>
      </c>
      <c r="C101" s="86" t="s">
        <v>29</v>
      </c>
      <c r="D101" s="73" t="str">
        <f t="shared" si="4"/>
        <v>10 - Grandes cultures-Hors climat Mediterranéen</v>
      </c>
      <c r="E101" s="94">
        <f>SUM(E$46:E$55)/11</f>
        <v>7.4818181818181833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93">
        <v>11</v>
      </c>
      <c r="B102" s="73" t="s">
        <v>33</v>
      </c>
      <c r="C102" s="86" t="s">
        <v>29</v>
      </c>
      <c r="D102" s="73" t="str">
        <f t="shared" si="4"/>
        <v>11 - Grandes cultures-Hors climat Mediterranéen</v>
      </c>
      <c r="E102" s="94">
        <f>SUM(E$46:E$56)/12</f>
        <v>8.0166666666666675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93">
        <v>12</v>
      </c>
      <c r="B103" s="73" t="s">
        <v>33</v>
      </c>
      <c r="C103" s="86" t="s">
        <v>29</v>
      </c>
      <c r="D103" s="73" t="str">
        <f t="shared" si="4"/>
        <v>12 - Grandes cultures-Hors climat Mediterranéen</v>
      </c>
      <c r="E103" s="94">
        <f>SUM(E$46:E$57)/(A103+1)</f>
        <v>8.5000000000000018</v>
      </c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93">
        <v>13</v>
      </c>
      <c r="B104" s="73" t="s">
        <v>33</v>
      </c>
      <c r="C104" s="86" t="s">
        <v>29</v>
      </c>
      <c r="D104" s="73" t="str">
        <f t="shared" si="4"/>
        <v>13 - Grandes cultures-Hors climat Mediterranéen</v>
      </c>
      <c r="E104" s="94">
        <f>SUM(E$46:E$58)/14</f>
        <v>8.9428571428571448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93">
        <v>14</v>
      </c>
      <c r="B105" s="73" t="s">
        <v>33</v>
      </c>
      <c r="C105" s="86" t="s">
        <v>29</v>
      </c>
      <c r="D105" s="73" t="str">
        <f t="shared" si="4"/>
        <v>14 - Grandes cultures-Hors climat Mediterranéen</v>
      </c>
      <c r="E105" s="94">
        <f>SUM(E$46:E$59)/15</f>
        <v>9.3533333333333335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93">
        <v>15</v>
      </c>
      <c r="B106" s="73" t="s">
        <v>33</v>
      </c>
      <c r="C106" s="86" t="s">
        <v>29</v>
      </c>
      <c r="D106" s="73" t="str">
        <f t="shared" si="4"/>
        <v>15 - Grandes cultures-Hors climat Mediterranéen</v>
      </c>
      <c r="E106" s="94">
        <f>SUM(E$46:E$60)/16</f>
        <v>9.7437500000000004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93">
        <v>16</v>
      </c>
      <c r="B107" s="73" t="s">
        <v>33</v>
      </c>
      <c r="C107" s="86" t="s">
        <v>29</v>
      </c>
      <c r="D107" s="73" t="str">
        <f t="shared" si="4"/>
        <v>16 - Grandes cultures-Hors climat Mediterranéen</v>
      </c>
      <c r="E107" s="94">
        <f>SUM(E$46:E$61)/17</f>
        <v>10.088235294117647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93">
        <v>17</v>
      </c>
      <c r="B108" s="73" t="s">
        <v>33</v>
      </c>
      <c r="C108" s="86" t="s">
        <v>29</v>
      </c>
      <c r="D108" s="73" t="str">
        <f t="shared" si="4"/>
        <v>17 - Grandes cultures-Hors climat Mediterranéen</v>
      </c>
      <c r="E108" s="94">
        <f>SUM(E$46:E$62)/18</f>
        <v>10.399999999999999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93">
        <v>18</v>
      </c>
      <c r="B109" s="73" t="s">
        <v>33</v>
      </c>
      <c r="C109" s="86" t="s">
        <v>29</v>
      </c>
      <c r="D109" s="73" t="str">
        <f t="shared" si="4"/>
        <v>18 - Grandes cultures-Hors climat Mediterranéen</v>
      </c>
      <c r="E109" s="94">
        <f>SUM(E$46:E$63)/19</f>
        <v>10.684210526315789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93">
        <v>19</v>
      </c>
      <c r="B110" s="73" t="s">
        <v>33</v>
      </c>
      <c r="C110" s="86" t="s">
        <v>29</v>
      </c>
      <c r="D110" s="73" t="str">
        <f t="shared" si="4"/>
        <v>19 - Grandes cultures-Hors climat Mediterranéen</v>
      </c>
      <c r="E110" s="94">
        <f>SUM(E$46:E$64)/20</f>
        <v>10.945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93">
        <v>20</v>
      </c>
      <c r="B111" s="73" t="s">
        <v>33</v>
      </c>
      <c r="C111" s="86" t="s">
        <v>29</v>
      </c>
      <c r="D111" s="73" t="str">
        <f t="shared" si="4"/>
        <v>20 - Grandes cultures-Hors climat Mediterranéen</v>
      </c>
      <c r="E111" s="94">
        <f>SUM(E$46:E$65)/21</f>
        <v>11.185714285714287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93">
        <v>10</v>
      </c>
      <c r="B112" s="73" t="s">
        <v>197</v>
      </c>
      <c r="C112" s="86" t="s">
        <v>29</v>
      </c>
      <c r="D112" s="73" t="str">
        <f t="shared" si="4"/>
        <v>10 - Prairies permanentes-Hors climat Mediterranéen</v>
      </c>
      <c r="E112" s="94">
        <f>SUM(E$46:E$55)/11</f>
        <v>7.4818181818181833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93">
        <v>11</v>
      </c>
      <c r="B113" s="73" t="s">
        <v>197</v>
      </c>
      <c r="C113" s="86" t="s">
        <v>29</v>
      </c>
      <c r="D113" s="73" t="str">
        <f t="shared" si="4"/>
        <v>11 - Prairies permanentes-Hors climat Mediterranéen</v>
      </c>
      <c r="E113" s="94">
        <f>SUM(E$46:E$56)/12</f>
        <v>8.0166666666666675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93">
        <v>12</v>
      </c>
      <c r="B114" s="73" t="s">
        <v>197</v>
      </c>
      <c r="C114" s="86" t="s">
        <v>29</v>
      </c>
      <c r="D114" s="73" t="str">
        <f t="shared" si="4"/>
        <v>12 - Prairies permanentes-Hors climat Mediterranéen</v>
      </c>
      <c r="E114" s="94">
        <f>SUM(E$46:E$57)/(A114+1)</f>
        <v>8.5000000000000018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93">
        <v>13</v>
      </c>
      <c r="B115" s="73" t="s">
        <v>197</v>
      </c>
      <c r="C115" s="86" t="s">
        <v>29</v>
      </c>
      <c r="D115" s="73" t="str">
        <f t="shared" si="4"/>
        <v>13 - Prairies permanentes-Hors climat Mediterranéen</v>
      </c>
      <c r="E115" s="94">
        <f>SUM(E$46:E$58)/14</f>
        <v>8.9428571428571448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93">
        <v>14</v>
      </c>
      <c r="B116" s="73" t="s">
        <v>197</v>
      </c>
      <c r="C116" s="86" t="s">
        <v>29</v>
      </c>
      <c r="D116" s="73" t="str">
        <f t="shared" si="4"/>
        <v>14 - Prairies permanentes-Hors climat Mediterranéen</v>
      </c>
      <c r="E116" s="94">
        <f>SUM(E$46:E$59)/15</f>
        <v>9.3533333333333335</v>
      </c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93">
        <v>15</v>
      </c>
      <c r="B117" s="73" t="s">
        <v>197</v>
      </c>
      <c r="C117" s="86" t="s">
        <v>29</v>
      </c>
      <c r="D117" s="73" t="str">
        <f t="shared" si="4"/>
        <v>15 - Prairies permanentes-Hors climat Mediterranéen</v>
      </c>
      <c r="E117" s="94">
        <f>SUM(E$46:E$60)/16</f>
        <v>9.7437500000000004</v>
      </c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93">
        <v>16</v>
      </c>
      <c r="B118" s="73" t="s">
        <v>197</v>
      </c>
      <c r="C118" s="86" t="s">
        <v>29</v>
      </c>
      <c r="D118" s="73" t="str">
        <f t="shared" si="4"/>
        <v>16 - Prairies permanentes-Hors climat Mediterranéen</v>
      </c>
      <c r="E118" s="94">
        <f>SUM(E$46:E$61)/17</f>
        <v>10.088235294117647</v>
      </c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93">
        <v>17</v>
      </c>
      <c r="B119" s="73" t="s">
        <v>197</v>
      </c>
      <c r="C119" s="86" t="s">
        <v>29</v>
      </c>
      <c r="D119" s="73" t="str">
        <f t="shared" si="4"/>
        <v>17 - Prairies permanentes-Hors climat Mediterranéen</v>
      </c>
      <c r="E119" s="94">
        <f>SUM(E$46:E$62)/18</f>
        <v>10.399999999999999</v>
      </c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93">
        <v>18</v>
      </c>
      <c r="B120" s="73" t="s">
        <v>197</v>
      </c>
      <c r="C120" s="86" t="s">
        <v>29</v>
      </c>
      <c r="D120" s="73" t="str">
        <f t="shared" si="4"/>
        <v>18 - Prairies permanentes-Hors climat Mediterranéen</v>
      </c>
      <c r="E120" s="94">
        <f>SUM(E$46:E$63)/19</f>
        <v>10.684210526315789</v>
      </c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93">
        <v>19</v>
      </c>
      <c r="B121" s="73" t="s">
        <v>197</v>
      </c>
      <c r="C121" s="86" t="s">
        <v>29</v>
      </c>
      <c r="D121" s="73" t="str">
        <f t="shared" si="4"/>
        <v>19 - Prairies permanentes-Hors climat Mediterranéen</v>
      </c>
      <c r="E121" s="94">
        <f>SUM(E$46:E$64)/20</f>
        <v>10.945</v>
      </c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93">
        <v>20</v>
      </c>
      <c r="B122" s="73" t="s">
        <v>197</v>
      </c>
      <c r="C122" s="86" t="s">
        <v>29</v>
      </c>
      <c r="D122" s="73" t="str">
        <f t="shared" si="4"/>
        <v>20 - Prairies permanentes-Hors climat Mediterranéen</v>
      </c>
      <c r="E122" s="94">
        <f>SUM(E$46:E$65)/21</f>
        <v>11.185714285714287</v>
      </c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93">
        <v>10</v>
      </c>
      <c r="B123" s="73" t="s">
        <v>198</v>
      </c>
      <c r="C123" s="86" t="s">
        <v>29</v>
      </c>
      <c r="D123" s="73" t="str">
        <f t="shared" si="4"/>
        <v>10 - Viticulture-Hors climat Mediterranéen</v>
      </c>
      <c r="E123" s="94">
        <f>SUM(G$46:G$55)/11</f>
        <v>2.9363636363636361</v>
      </c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93">
        <v>11</v>
      </c>
      <c r="B124" s="73" t="s">
        <v>198</v>
      </c>
      <c r="C124" s="86" t="s">
        <v>29</v>
      </c>
      <c r="D124" s="73" t="str">
        <f t="shared" si="4"/>
        <v>11 - Viticulture-Hors climat Mediterranéen</v>
      </c>
      <c r="E124" s="94">
        <f>SUM(G$46:G$56)/12</f>
        <v>3.4333333333333331</v>
      </c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93">
        <v>12</v>
      </c>
      <c r="B125" s="73" t="s">
        <v>198</v>
      </c>
      <c r="C125" s="86" t="s">
        <v>29</v>
      </c>
      <c r="D125" s="73" t="str">
        <f t="shared" si="4"/>
        <v>12 - Viticulture-Hors climat Mediterranéen</v>
      </c>
      <c r="E125" s="94">
        <f>SUM(G$46:G$57)/(A125+1)</f>
        <v>3.8846153846153846</v>
      </c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93">
        <v>13</v>
      </c>
      <c r="B126" s="73" t="s">
        <v>198</v>
      </c>
      <c r="C126" s="86" t="s">
        <v>29</v>
      </c>
      <c r="D126" s="73" t="str">
        <f t="shared" si="4"/>
        <v>13 - Viticulture-Hors climat Mediterranéen</v>
      </c>
      <c r="E126" s="94">
        <f>SUM(G$46:G$58)/14</f>
        <v>4.3</v>
      </c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93">
        <v>14</v>
      </c>
      <c r="B127" s="73" t="s">
        <v>198</v>
      </c>
      <c r="C127" s="86" t="s">
        <v>29</v>
      </c>
      <c r="D127" s="73" t="str">
        <f t="shared" si="4"/>
        <v>14 - Viticulture-Hors climat Mediterranéen</v>
      </c>
      <c r="E127" s="94">
        <f>SUM(G$46:G$59)/15</f>
        <v>4.6866666666666665</v>
      </c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93">
        <v>15</v>
      </c>
      <c r="B128" s="73" t="s">
        <v>198</v>
      </c>
      <c r="C128" s="86" t="s">
        <v>29</v>
      </c>
      <c r="D128" s="73" t="str">
        <f t="shared" si="4"/>
        <v>15 - Viticulture-Hors climat Mediterranéen</v>
      </c>
      <c r="E128" s="94">
        <f>SUM(G$46:G$60)/16</f>
        <v>5.0562499999999995</v>
      </c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93">
        <v>16</v>
      </c>
      <c r="B129" s="73" t="s">
        <v>198</v>
      </c>
      <c r="C129" s="86" t="s">
        <v>29</v>
      </c>
      <c r="D129" s="73" t="str">
        <f t="shared" si="4"/>
        <v>16 - Viticulture-Hors climat Mediterranéen</v>
      </c>
      <c r="E129" s="94">
        <f>SUM(G$46:G$61)/17</f>
        <v>5.3823529411764701</v>
      </c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93">
        <v>17</v>
      </c>
      <c r="B130" s="73" t="s">
        <v>198</v>
      </c>
      <c r="C130" s="86" t="s">
        <v>29</v>
      </c>
      <c r="D130" s="73" t="str">
        <f t="shared" si="4"/>
        <v>17 - Viticulture-Hors climat Mediterranéen</v>
      </c>
      <c r="E130" s="94">
        <f>SUM(G$46:G$62)/18</f>
        <v>5.6777777777777771</v>
      </c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93">
        <v>18</v>
      </c>
      <c r="B131" s="73" t="s">
        <v>198</v>
      </c>
      <c r="C131" s="86" t="s">
        <v>29</v>
      </c>
      <c r="D131" s="73" t="str">
        <f t="shared" si="4"/>
        <v>18 - Viticulture-Hors climat Mediterranéen</v>
      </c>
      <c r="E131" s="94">
        <f>SUM(G$46:G$63)/19</f>
        <v>5.947368421052631</v>
      </c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93">
        <v>19</v>
      </c>
      <c r="B132" s="73" t="s">
        <v>198</v>
      </c>
      <c r="C132" s="86" t="s">
        <v>29</v>
      </c>
      <c r="D132" s="73" t="str">
        <f t="shared" si="4"/>
        <v>19 - Viticulture-Hors climat Mediterranéen</v>
      </c>
      <c r="E132" s="94">
        <f>SUM(G$46:G$64)/20</f>
        <v>6.1949999999999994</v>
      </c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93">
        <v>20</v>
      </c>
      <c r="B133" s="73" t="s">
        <v>198</v>
      </c>
      <c r="C133" s="86" t="s">
        <v>29</v>
      </c>
      <c r="D133" s="73" t="str">
        <f t="shared" si="4"/>
        <v>20 - Viticulture-Hors climat Mediterranéen</v>
      </c>
      <c r="E133" s="94">
        <f>SUM(G$46:G$65)/21</f>
        <v>6.4238095238095223</v>
      </c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95"/>
      <c r="B134" s="2"/>
      <c r="C134" s="79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95"/>
      <c r="B135" s="2"/>
      <c r="C135" s="79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92" t="s">
        <v>237</v>
      </c>
      <c r="B136" s="92" t="s">
        <v>238</v>
      </c>
      <c r="C136" s="79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93" t="s">
        <v>239</v>
      </c>
      <c r="B137" s="96">
        <v>3023.6659187519999</v>
      </c>
      <c r="C137" s="79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93" t="s">
        <v>240</v>
      </c>
      <c r="B138" s="96">
        <v>3462.3325584952004</v>
      </c>
      <c r="C138" s="79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93" t="s">
        <v>241</v>
      </c>
      <c r="B139" s="96">
        <v>1051.9666372200002</v>
      </c>
      <c r="C139" s="79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93" t="s">
        <v>242</v>
      </c>
      <c r="B140" s="96">
        <v>680.11092420000011</v>
      </c>
      <c r="C140" s="79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93" t="s">
        <v>243</v>
      </c>
      <c r="B141" s="96">
        <v>3969.2165201334001</v>
      </c>
      <c r="C141" s="79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93" t="s">
        <v>39</v>
      </c>
      <c r="B142" s="96">
        <v>3120.9100082900004</v>
      </c>
      <c r="C142" s="79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93" t="s">
        <v>244</v>
      </c>
      <c r="B143" s="96">
        <v>3118.3572501499998</v>
      </c>
      <c r="C143" s="79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93" t="s">
        <v>245</v>
      </c>
      <c r="B144" s="96">
        <v>2602.140331525</v>
      </c>
      <c r="C144" s="79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93" t="s">
        <v>246</v>
      </c>
      <c r="B145" s="96">
        <v>4557.9951523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93" t="s">
        <v>37</v>
      </c>
      <c r="B146" s="96">
        <v>3047.448611238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93" t="s">
        <v>247</v>
      </c>
      <c r="B147" s="96">
        <v>740.69039574999999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93" t="s">
        <v>248</v>
      </c>
      <c r="B148" s="96">
        <v>897.80714540400004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93" t="s">
        <v>249</v>
      </c>
      <c r="B149" s="96">
        <v>883.16209499700005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93" t="s">
        <v>250</v>
      </c>
      <c r="B150" s="96">
        <v>1019.94225066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93" t="s">
        <v>251</v>
      </c>
      <c r="B151" s="96">
        <v>889.46139315170001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93" t="s">
        <v>252</v>
      </c>
      <c r="B152" s="96">
        <v>752.72081800977992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93" t="s">
        <v>253</v>
      </c>
      <c r="B153" s="96">
        <v>946.9611047855999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93" t="s">
        <v>254</v>
      </c>
      <c r="B154" s="96">
        <v>1074.1029483240002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93" t="s">
        <v>255</v>
      </c>
      <c r="B155" s="96">
        <v>1420.210775454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93" t="s">
        <v>256</v>
      </c>
      <c r="B156" s="96">
        <v>774.61553566148007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93" t="s">
        <v>257</v>
      </c>
      <c r="B157" s="96">
        <v>765.12397890409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93" t="s">
        <v>258</v>
      </c>
      <c r="B158" s="96">
        <v>1001.1849360304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93" t="s">
        <v>259</v>
      </c>
      <c r="B159" s="96">
        <v>1279.8013208596001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93" t="s">
        <v>260</v>
      </c>
      <c r="B160" s="96">
        <v>723.80564597088994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93" t="s">
        <v>261</v>
      </c>
      <c r="B161" s="96">
        <v>1232.6787939830401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93" t="s">
        <v>262</v>
      </c>
      <c r="B162" s="96">
        <v>1788.5815223822999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93" t="s">
        <v>263</v>
      </c>
      <c r="B163" s="96">
        <v>626.40579813411489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93" t="s">
        <v>264</v>
      </c>
      <c r="B164" s="96">
        <v>1886.3492469093001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93" t="s">
        <v>265</v>
      </c>
      <c r="B165" s="96">
        <v>1245.7052980295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93" t="s">
        <v>266</v>
      </c>
      <c r="B166" s="96">
        <v>1283.4653141729998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93" t="s">
        <v>267</v>
      </c>
      <c r="B167" s="96">
        <v>1487.4535399215001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93" t="s">
        <v>268</v>
      </c>
      <c r="B168" s="96">
        <v>1457.6311863044998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93" t="s">
        <v>269</v>
      </c>
      <c r="B169" s="96">
        <v>1441.472337333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93" t="s">
        <v>35</v>
      </c>
      <c r="B170" s="96">
        <v>2444.8047991999997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93" t="s">
        <v>270</v>
      </c>
      <c r="B171" s="96">
        <v>3601.9636359103997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93" t="s">
        <v>271</v>
      </c>
      <c r="B172" s="96">
        <v>2724.2246671013995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93" t="s">
        <v>272</v>
      </c>
      <c r="B173" s="96">
        <v>2678.1548398122004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93" t="s">
        <v>273</v>
      </c>
      <c r="B174" s="96">
        <v>925.39090928000007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93" t="s">
        <v>274</v>
      </c>
      <c r="B175" s="96">
        <v>832.84025582999993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93" t="s">
        <v>275</v>
      </c>
      <c r="B176" s="96">
        <v>3847.6402921410004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93" t="s">
        <v>276</v>
      </c>
      <c r="B177" s="96">
        <v>3849.2868810089999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93" t="s">
        <v>277</v>
      </c>
      <c r="B178" s="96">
        <v>3453.8088875220001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93" t="s">
        <v>278</v>
      </c>
      <c r="B179" s="96">
        <v>3391.1981881470001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93" t="s">
        <v>279</v>
      </c>
      <c r="B180" s="96">
        <v>3759.2860042549196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93" t="s">
        <v>280</v>
      </c>
      <c r="B181" s="96">
        <v>2658.9292517203125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93" t="s">
        <v>281</v>
      </c>
      <c r="B182" s="96">
        <v>4303.8993272226562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93" t="s">
        <v>282</v>
      </c>
      <c r="B183" s="96">
        <v>4054.8428879156254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93" t="s">
        <v>283</v>
      </c>
      <c r="B184" s="96">
        <v>3165.3350675625002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93" t="s">
        <v>284</v>
      </c>
      <c r="B185" s="96">
        <v>21727.520374600001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93" t="s">
        <v>285</v>
      </c>
      <c r="B186" s="96">
        <v>763729.18826415588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93" t="s">
        <v>286</v>
      </c>
      <c r="B187" s="96">
        <v>28201.949841089998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93" t="s">
        <v>287</v>
      </c>
      <c r="B188" s="96">
        <v>745475.31653372501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93" t="s">
        <v>288</v>
      </c>
      <c r="B189" s="96">
        <v>1313.2063369499999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93" t="s">
        <v>289</v>
      </c>
      <c r="B190" s="96">
        <v>864.20333642999981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93" t="s">
        <v>290</v>
      </c>
      <c r="B191" s="96">
        <v>2605.9006745199999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7" t="s">
        <v>237</v>
      </c>
      <c r="B193" s="97" t="s">
        <v>238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 t="s">
        <v>291</v>
      </c>
      <c r="B194" s="98">
        <v>5895.9797374104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 t="s">
        <v>292</v>
      </c>
      <c r="B195" s="98">
        <v>2576.2094178333336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 t="s">
        <v>293</v>
      </c>
      <c r="B196" s="98">
        <v>4062.9965796000001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 t="s">
        <v>294</v>
      </c>
      <c r="B197" s="98">
        <v>4011.4789508640006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 t="s">
        <v>295</v>
      </c>
      <c r="B198" s="98">
        <v>2682.7232290992001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 t="s">
        <v>296</v>
      </c>
      <c r="B199" s="98">
        <v>2548.7495763313045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 t="s">
        <v>24</v>
      </c>
      <c r="B200" s="98">
        <v>3366.7024762240003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 t="s">
        <v>297</v>
      </c>
      <c r="B201" s="98">
        <v>3370.0393371360001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 t="s">
        <v>298</v>
      </c>
      <c r="B202" s="98">
        <v>3392.0923222031997</v>
      </c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 t="s">
        <v>299</v>
      </c>
      <c r="B203" s="98">
        <v>3141.3860726075795</v>
      </c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7" t="s">
        <v>300</v>
      </c>
      <c r="B205" s="7" t="s">
        <v>195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 t="s">
        <v>301</v>
      </c>
      <c r="B206" s="2">
        <v>1.6E-2</v>
      </c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 t="s">
        <v>302</v>
      </c>
      <c r="B207" s="2">
        <v>6.0000000000000001E-3</v>
      </c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 t="s">
        <v>303</v>
      </c>
      <c r="B208" s="99">
        <v>0.01</v>
      </c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 t="s">
        <v>304</v>
      </c>
      <c r="B209" s="99">
        <v>1.0999999999999999E-2</v>
      </c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 t="s">
        <v>305</v>
      </c>
      <c r="B210" s="99">
        <v>5.7000000000000002E-2</v>
      </c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 t="s">
        <v>306</v>
      </c>
      <c r="B211" s="99">
        <v>4.51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 t="s">
        <v>307</v>
      </c>
      <c r="B212" s="99">
        <v>1.45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 t="s">
        <v>308</v>
      </c>
      <c r="B213" s="99">
        <v>0.71</v>
      </c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100" t="s">
        <v>309</v>
      </c>
      <c r="B214" s="99">
        <v>6.0090000000000003</v>
      </c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100" t="s">
        <v>310</v>
      </c>
      <c r="B215" s="99">
        <v>8.9849999999999994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100" t="s">
        <v>311</v>
      </c>
      <c r="B216" s="99">
        <v>25.134</v>
      </c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101" t="s">
        <v>312</v>
      </c>
      <c r="B217" s="99">
        <v>8.4779999999999998</v>
      </c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10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 t="s">
        <v>313</v>
      </c>
      <c r="B219" s="2">
        <v>0.11</v>
      </c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 t="s">
        <v>314</v>
      </c>
      <c r="B220" s="2">
        <v>0.21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103" t="s">
        <v>315</v>
      </c>
      <c r="B221" s="2">
        <v>0.24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7" t="s">
        <v>316</v>
      </c>
      <c r="B223" s="7" t="s">
        <v>317</v>
      </c>
      <c r="C223" s="7" t="s">
        <v>318</v>
      </c>
      <c r="D223" s="7" t="s">
        <v>319</v>
      </c>
      <c r="E223" s="7" t="s">
        <v>320</v>
      </c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 t="s">
        <v>121</v>
      </c>
      <c r="B224" s="2" t="s">
        <v>321</v>
      </c>
      <c r="C224" s="2">
        <f t="shared" ref="C224:C229" si="5">D224+E224</f>
        <v>3.0680000000000001</v>
      </c>
      <c r="D224" s="2">
        <v>2.6459999999999999</v>
      </c>
      <c r="E224" s="2">
        <v>0.42199999999999999</v>
      </c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 t="s">
        <v>126</v>
      </c>
      <c r="B225" s="2" t="s">
        <v>321</v>
      </c>
      <c r="C225" s="2">
        <f t="shared" si="5"/>
        <v>3.0709999999999997</v>
      </c>
      <c r="D225" s="2">
        <v>2.6459999999999999</v>
      </c>
      <c r="E225" s="2">
        <v>0.42499999999999999</v>
      </c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 t="s">
        <v>322</v>
      </c>
      <c r="B226" s="2" t="s">
        <v>321</v>
      </c>
      <c r="C226" s="2">
        <f t="shared" si="5"/>
        <v>3.286</v>
      </c>
      <c r="D226" s="2">
        <v>2.698</v>
      </c>
      <c r="E226" s="2">
        <v>0.58799999999999997</v>
      </c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 t="s">
        <v>125</v>
      </c>
      <c r="B227" s="2" t="s">
        <v>323</v>
      </c>
      <c r="C227" s="2">
        <f t="shared" si="5"/>
        <v>3.4169999999999998</v>
      </c>
      <c r="D227" s="2">
        <v>2.827</v>
      </c>
      <c r="E227" s="2">
        <v>0.59</v>
      </c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 t="s">
        <v>125</v>
      </c>
      <c r="B228" s="2" t="s">
        <v>324</v>
      </c>
      <c r="C228" s="2">
        <f t="shared" si="5"/>
        <v>0.24819999999999998</v>
      </c>
      <c r="D228" s="2">
        <v>0.20519999999999999</v>
      </c>
      <c r="E228" s="2">
        <v>4.2999999999999997E-2</v>
      </c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 t="s">
        <v>325</v>
      </c>
      <c r="B229" s="2" t="s">
        <v>323</v>
      </c>
      <c r="C229" s="2">
        <f t="shared" si="5"/>
        <v>3.5430000000000001</v>
      </c>
      <c r="D229" s="2">
        <v>2.944</v>
      </c>
      <c r="E229" s="2">
        <v>0.59899999999999998</v>
      </c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 t="s">
        <v>326</v>
      </c>
      <c r="B231" s="2">
        <v>265</v>
      </c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" customHeight="1" x14ac:dyDescent="0.2">
      <c r="A234" s="73"/>
      <c r="B234" s="73" t="s">
        <v>327</v>
      </c>
      <c r="C234" s="73"/>
      <c r="D234" s="73" t="s">
        <v>328</v>
      </c>
      <c r="E234" s="73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73" t="s">
        <v>329</v>
      </c>
      <c r="B235" s="73" t="s">
        <v>330</v>
      </c>
      <c r="C235" s="73" t="s">
        <v>331</v>
      </c>
      <c r="D235" s="73" t="s">
        <v>332</v>
      </c>
      <c r="E235" s="73" t="s">
        <v>331</v>
      </c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73" t="s">
        <v>33</v>
      </c>
      <c r="B236" s="73">
        <v>0</v>
      </c>
      <c r="C236" s="73" t="s">
        <v>333</v>
      </c>
      <c r="D236" s="73">
        <v>0</v>
      </c>
      <c r="E236" s="73" t="s">
        <v>333</v>
      </c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73" t="s">
        <v>197</v>
      </c>
      <c r="B237" s="73">
        <v>0</v>
      </c>
      <c r="C237" s="73" t="s">
        <v>333</v>
      </c>
      <c r="D237" s="73">
        <v>0</v>
      </c>
      <c r="E237" s="73" t="s">
        <v>333</v>
      </c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73" t="s">
        <v>198</v>
      </c>
      <c r="B238" s="73">
        <v>5</v>
      </c>
      <c r="C238" s="73" t="s">
        <v>334</v>
      </c>
      <c r="D238" s="73">
        <v>9.9</v>
      </c>
      <c r="E238" s="73" t="s">
        <v>335</v>
      </c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73" t="s">
        <v>336</v>
      </c>
      <c r="B239" s="73">
        <v>16</v>
      </c>
      <c r="C239" s="73" t="s">
        <v>334</v>
      </c>
      <c r="D239" s="73">
        <v>14.3</v>
      </c>
      <c r="E239" s="73" t="s">
        <v>335</v>
      </c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" customHeight="1" x14ac:dyDescent="0.2">
      <c r="A241" s="73"/>
      <c r="B241" s="73" t="s">
        <v>327</v>
      </c>
      <c r="C241" s="73" t="s">
        <v>328</v>
      </c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8.75" customHeight="1" x14ac:dyDescent="0.25">
      <c r="A242" s="73" t="s">
        <v>337</v>
      </c>
      <c r="B242" s="73" t="s">
        <v>338</v>
      </c>
      <c r="C242" s="73" t="s">
        <v>339</v>
      </c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73">
        <v>1</v>
      </c>
      <c r="B243" s="73">
        <v>2.7</v>
      </c>
      <c r="C243" s="73">
        <v>2.4</v>
      </c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73">
        <v>2</v>
      </c>
      <c r="B244" s="73">
        <v>4.2</v>
      </c>
      <c r="C244" s="73">
        <v>3.72</v>
      </c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73">
        <v>3</v>
      </c>
      <c r="B245" s="73">
        <v>5.6</v>
      </c>
      <c r="C245" s="73">
        <v>5.04</v>
      </c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73">
        <v>4</v>
      </c>
      <c r="B246" s="73">
        <v>7.1</v>
      </c>
      <c r="C246" s="73">
        <v>6.36</v>
      </c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73">
        <v>5</v>
      </c>
      <c r="B247" s="73">
        <v>7.4</v>
      </c>
      <c r="C247" s="73">
        <v>6.6</v>
      </c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73">
        <v>6</v>
      </c>
      <c r="B248" s="73">
        <v>8.6</v>
      </c>
      <c r="C248" s="73">
        <v>7.7</v>
      </c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73">
        <v>7</v>
      </c>
      <c r="B249" s="73">
        <v>9.8000000000000007</v>
      </c>
      <c r="C249" s="73">
        <v>8.8000000000000007</v>
      </c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73">
        <v>8</v>
      </c>
      <c r="B250" s="73">
        <v>11.1</v>
      </c>
      <c r="C250" s="73">
        <v>9.9</v>
      </c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73">
        <v>9</v>
      </c>
      <c r="B251" s="73">
        <v>12.3</v>
      </c>
      <c r="C251" s="73">
        <v>11</v>
      </c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73">
        <v>10</v>
      </c>
      <c r="B252" s="73">
        <v>13.5</v>
      </c>
      <c r="C252" s="73">
        <v>12.1</v>
      </c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73">
        <v>11</v>
      </c>
      <c r="B253" s="73">
        <v>13.9</v>
      </c>
      <c r="C253" s="73">
        <v>12.46</v>
      </c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73">
        <v>12</v>
      </c>
      <c r="B254" s="73">
        <v>14.3</v>
      </c>
      <c r="C254" s="73">
        <v>12.82</v>
      </c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73">
        <v>13</v>
      </c>
      <c r="B255" s="73">
        <v>14.7</v>
      </c>
      <c r="C255" s="73">
        <v>13.18</v>
      </c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73">
        <v>14</v>
      </c>
      <c r="B256" s="73">
        <v>15.1</v>
      </c>
      <c r="C256" s="73">
        <v>13.54</v>
      </c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73">
        <v>15</v>
      </c>
      <c r="B257" s="73">
        <v>15.6</v>
      </c>
      <c r="C257" s="73">
        <v>13.9</v>
      </c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73">
        <v>16</v>
      </c>
      <c r="B258" s="73">
        <v>15.6</v>
      </c>
      <c r="C258" s="73">
        <v>13.98</v>
      </c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73">
        <v>17</v>
      </c>
      <c r="B259" s="73">
        <v>15.7</v>
      </c>
      <c r="C259" s="73">
        <v>14.06</v>
      </c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73">
        <v>18</v>
      </c>
      <c r="B260" s="73">
        <v>15.8</v>
      </c>
      <c r="C260" s="73">
        <v>14.14</v>
      </c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73">
        <v>19</v>
      </c>
      <c r="B261" s="73">
        <v>15.9</v>
      </c>
      <c r="C261" s="73">
        <v>14.22</v>
      </c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73">
        <v>20</v>
      </c>
      <c r="B262" s="73">
        <v>16</v>
      </c>
      <c r="C262" s="73">
        <v>14.3</v>
      </c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" customHeight="1" x14ac:dyDescent="0.2">
      <c r="A264" s="73" t="s">
        <v>32</v>
      </c>
      <c r="B264" s="73" t="s">
        <v>340</v>
      </c>
      <c r="C264" s="73" t="s">
        <v>341</v>
      </c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73" t="s">
        <v>198</v>
      </c>
      <c r="B265" s="73">
        <v>34.299999999999997</v>
      </c>
      <c r="C265" s="73">
        <v>34</v>
      </c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73" t="s">
        <v>197</v>
      </c>
      <c r="B266" s="73">
        <v>49.5</v>
      </c>
      <c r="C266" s="73">
        <v>85</v>
      </c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73" t="s">
        <v>33</v>
      </c>
      <c r="B267" s="73">
        <v>43.1</v>
      </c>
      <c r="C267" s="73">
        <v>52</v>
      </c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73" t="s">
        <v>342</v>
      </c>
      <c r="B268" s="73" t="s">
        <v>343</v>
      </c>
      <c r="C268" s="73" t="s">
        <v>344</v>
      </c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" customHeight="1" x14ac:dyDescent="0.2">
      <c r="A270" s="73" t="s">
        <v>32</v>
      </c>
      <c r="B270" s="73" t="s">
        <v>345</v>
      </c>
      <c r="C270" s="73" t="s">
        <v>341</v>
      </c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73" t="s">
        <v>336</v>
      </c>
      <c r="B271" s="73">
        <v>41.5</v>
      </c>
      <c r="C271" s="73">
        <v>47</v>
      </c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73" t="s">
        <v>342</v>
      </c>
      <c r="B272" s="73" t="s">
        <v>343</v>
      </c>
      <c r="C272" s="73" t="s">
        <v>344</v>
      </c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73" t="s">
        <v>346</v>
      </c>
      <c r="B275" s="73">
        <v>0.49</v>
      </c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73" t="s">
        <v>347</v>
      </c>
      <c r="B277" s="73">
        <v>277.77800000000002</v>
      </c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B44:D44"/>
    <mergeCell ref="E44:G44"/>
  </mergeCells>
  <pageMargins left="0.7" right="0.7" top="0.75" bottom="0.75" header="0" footer="0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Accueil</vt:lpstr>
      <vt:lpstr>Eligibilité_projet</vt:lpstr>
      <vt:lpstr>RECeff + REIamont (1)</vt:lpstr>
      <vt:lpstr>RECeff + REIamont (2)</vt:lpstr>
      <vt:lpstr>REIaval</vt:lpstr>
      <vt:lpstr>RECant_biom</vt:lpstr>
      <vt:lpstr>RECant_sol</vt:lpstr>
      <vt:lpstr>RE</vt:lpstr>
      <vt:lpstr>(ne pas modifier) BDD_REF</vt:lpstr>
      <vt:lpstr>(ne pas modifier) LISTES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HENAFF Morgane</dc:creator>
  <cp:lastModifiedBy>Microsoft Office User</cp:lastModifiedBy>
  <dcterms:created xsi:type="dcterms:W3CDTF">2020-09-28T09:31:11Z</dcterms:created>
  <dcterms:modified xsi:type="dcterms:W3CDTF">2023-02-27T12:48:47Z</dcterms:modified>
</cp:coreProperties>
</file>