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CASTEL-SARRAZIN_Dossier Groupé LAGEYRE - BOULY SwC E10\Archives\Dossier à déposer\"/>
    </mc:Choice>
  </mc:AlternateContent>
  <xr:revisionPtr revIDLastSave="0" documentId="13_ncr:1_{9BFC17F0-34AE-4A04-A02F-A31147DFA8EB}" xr6:coauthVersionLast="36" xr6:coauthVersionMax="36" xr10:uidLastSave="{00000000-0000-0000-0000-000000000000}"/>
  <bookViews>
    <workbookView xWindow="0" yWindow="0" windowWidth="28800" windowHeight="1240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82" i="2" a="1"/>
  <c r="BC82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AH90" i="2" a="1"/>
  <c r="AH90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4" i="2" a="1"/>
  <c r="BC84" i="2" s="1"/>
  <c r="BC143" i="2" a="1"/>
  <c r="BC143" i="2" s="1"/>
  <c r="BC7" i="2" a="1"/>
  <c r="BC7" i="2" s="1"/>
  <c r="BC151" i="2" a="1"/>
  <c r="BC151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CS116" i="2" l="1" a="1"/>
  <c r="CS116" i="2" s="1"/>
  <c r="CS38" i="2" a="1"/>
  <c r="CS38" i="2" s="1"/>
  <c r="CS105" i="2" a="1"/>
  <c r="CS105" i="2" s="1"/>
  <c r="CS161" i="2" a="1"/>
  <c r="CS161" i="2" s="1"/>
  <c r="BC185" i="2" a="1"/>
  <c r="BC185" i="2" s="1"/>
  <c r="BC65" i="2" a="1"/>
  <c r="BC65" i="2" s="1"/>
  <c r="BC31" i="2" a="1"/>
  <c r="BC31" i="2" s="1"/>
  <c r="BC126" i="2" a="1"/>
  <c r="BC126" i="2" s="1"/>
  <c r="BC32" i="2" a="1"/>
  <c r="BC32" i="2" s="1"/>
  <c r="BC47" i="2" a="1"/>
  <c r="BC47" i="2" s="1"/>
  <c r="BC192" i="2" a="1"/>
  <c r="BC192" i="2" s="1"/>
  <c r="BC58" i="2" a="1"/>
  <c r="BC58" i="2" s="1"/>
  <c r="BC55" i="2" a="1"/>
  <c r="BC55" i="2" s="1"/>
  <c r="BC34" i="2" a="1"/>
  <c r="BC34" i="2" s="1"/>
  <c r="BC38" i="2" a="1"/>
  <c r="BC38" i="2" s="1"/>
  <c r="BC130" i="2" a="1"/>
  <c r="BC130" i="2" s="1"/>
  <c r="BC18" i="2" a="1"/>
  <c r="BC18" i="2" s="1"/>
  <c r="BC83" i="2" a="1"/>
  <c r="BC83" i="2" s="1"/>
  <c r="BX107" i="2" a="1"/>
  <c r="BX107" i="2" s="1"/>
  <c r="CS185" i="2" a="1"/>
  <c r="CS185" i="2" s="1"/>
  <c r="CS129" i="2" a="1"/>
  <c r="CS129" i="2" s="1"/>
  <c r="CS52" i="2" a="1"/>
  <c r="CS52" i="2" s="1"/>
  <c r="CS137" i="2" a="1"/>
  <c r="CS137" i="2" s="1"/>
  <c r="CS66" i="2" a="1"/>
  <c r="CS66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M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M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<sst xmlns="http://schemas.openxmlformats.org/spreadsheetml/2006/main" count="1170" uniqueCount="324">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</sst>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1.7904341346046484</c:v>
                </c:pt>
                <c:pt idx="2">
                  <c:v>2.5757811656357572</c:v>
                </c:pt>
                <c:pt idx="3">
                  <c:v>3.7071554741721617</c:v>
                </c:pt>
                <c:pt idx="4">
                  <c:v>5.3376594823275356</c:v>
                </c:pt>
                <c:pt idx="5">
                  <c:v>7.6884016933081405</c:v>
                </c:pt>
                <c:pt idx="6">
                  <c:v>11.078812926898626</c:v>
                </c:pt>
                <c:pt idx="7">
                  <c:v>15.970521705684718</c:v>
                </c:pt>
                <c:pt idx="8">
                  <c:v>23.030871400258992</c:v>
                </c:pt>
                <c:pt idx="9">
                  <c:v>33.224897781808458</c:v>
                </c:pt>
                <c:pt idx="10">
                  <c:v>47.948555376768446</c:v>
                </c:pt>
                <c:pt idx="11">
                  <c:v>69.221741972539789</c:v>
                </c:pt>
                <c:pt idx="12">
                  <c:v>99.968032707112897</c:v>
                </c:pt>
                <c:pt idx="13">
                  <c:v>144.42017521455691</c:v>
                </c:pt>
                <c:pt idx="14">
                  <c:v>208.70802551070017</c:v>
                </c:pt>
                <c:pt idx="15">
                  <c:v>301.71120644434927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63" zoomScale="90" zoomScaleNormal="90" workbookViewId="0">
      <selection activeCell="E92" sqref="E9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13.76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7.2999999999999995E-2</v>
      </c>
      <c r="D9" s="36">
        <f t="shared" ref="D9:D18" si="0">C9*$C$5</f>
        <v>1.0044799999999998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6.5000000000000002E-2</v>
      </c>
      <c r="D10" s="36">
        <f t="shared" si="0"/>
        <v>0.89439999999999997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116</v>
      </c>
      <c r="C11" s="35">
        <v>4.7E-2</v>
      </c>
      <c r="D11" s="36">
        <f t="shared" si="0"/>
        <v>0.64671999999999996</v>
      </c>
      <c r="E11" s="37">
        <v>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138</v>
      </c>
      <c r="C12" s="35">
        <v>0.69199999999999995</v>
      </c>
      <c r="D12" s="36">
        <f t="shared" si="0"/>
        <v>9.5219199999999997</v>
      </c>
      <c r="E12" s="37">
        <v>34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44</v>
      </c>
      <c r="C13" s="35">
        <v>0.122</v>
      </c>
      <c r="D13" s="36">
        <f t="shared" si="0"/>
        <v>1.67872</v>
      </c>
      <c r="E13" s="37">
        <v>45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</v>
      </c>
      <c r="D19" s="41">
        <f>SUM(D9:D18)</f>
        <v>13.746239999999998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132</v>
      </c>
      <c r="C36" s="63">
        <v>1</v>
      </c>
      <c r="D36" s="63">
        <v>50</v>
      </c>
      <c r="E36" s="54"/>
      <c r="F36" s="54"/>
      <c r="G36" s="54"/>
      <c r="H36" s="54">
        <v>1</v>
      </c>
      <c r="I36" s="52">
        <f>IFERROR(B36/A36,"")</f>
        <v>6.6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143</v>
      </c>
      <c r="C37" s="63">
        <v>2</v>
      </c>
      <c r="D37" s="63">
        <v>37</v>
      </c>
      <c r="E37" s="54"/>
      <c r="F37" s="54"/>
      <c r="G37" s="54"/>
      <c r="H37" s="54">
        <v>1</v>
      </c>
      <c r="I37" s="56">
        <f t="shared" ref="I37:I55" si="1">IF(A37&lt;&gt;0,(B37-(B36-D36))/(A37-A36),"")</f>
        <v>12.2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163</v>
      </c>
      <c r="C38" s="63">
        <v>3</v>
      </c>
      <c r="D38" s="63">
        <v>37</v>
      </c>
      <c r="E38" s="54"/>
      <c r="F38" s="54"/>
      <c r="G38" s="54"/>
      <c r="H38" s="54">
        <v>1</v>
      </c>
      <c r="I38" s="56">
        <f t="shared" si="1"/>
        <v>11.4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179</v>
      </c>
      <c r="C39" s="63">
        <v>4</v>
      </c>
      <c r="D39" s="63">
        <v>36</v>
      </c>
      <c r="E39" s="54"/>
      <c r="F39" s="54"/>
      <c r="G39" s="54"/>
      <c r="H39" s="54"/>
      <c r="I39" s="52">
        <f t="shared" si="1"/>
        <v>10.6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191</v>
      </c>
      <c r="C40" s="63">
        <v>5</v>
      </c>
      <c r="D40" s="63">
        <v>33</v>
      </c>
      <c r="E40" s="54"/>
      <c r="F40" s="54"/>
      <c r="G40" s="54"/>
      <c r="H40" s="54"/>
      <c r="I40" s="52">
        <f t="shared" si="1"/>
        <v>9.6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201</v>
      </c>
      <c r="C41" s="63">
        <v>6</v>
      </c>
      <c r="D41" s="63">
        <v>31</v>
      </c>
      <c r="E41" s="54"/>
      <c r="F41" s="54"/>
      <c r="G41" s="54"/>
      <c r="H41" s="54"/>
      <c r="I41" s="56">
        <f t="shared" si="1"/>
        <v>8.6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209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215</v>
      </c>
      <c r="C43" s="63">
        <v>8</v>
      </c>
      <c r="D43" s="63">
        <v>25</v>
      </c>
      <c r="E43" s="54"/>
      <c r="F43" s="54"/>
      <c r="G43" s="54"/>
      <c r="H43" s="54"/>
      <c r="I43" s="52">
        <f t="shared" si="1"/>
        <v>6.8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220</v>
      </c>
      <c r="C44" s="63">
        <v>9</v>
      </c>
      <c r="D44" s="63">
        <v>22</v>
      </c>
      <c r="E44" s="54"/>
      <c r="F44" s="54"/>
      <c r="G44" s="54"/>
      <c r="H44" s="54"/>
      <c r="I44" s="52">
        <f t="shared" si="1"/>
        <v>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224</v>
      </c>
      <c r="C45" s="63">
        <v>10</v>
      </c>
      <c r="D45" s="63">
        <v>20</v>
      </c>
      <c r="E45" s="54"/>
      <c r="F45" s="54"/>
      <c r="G45" s="54"/>
      <c r="H45" s="54"/>
      <c r="I45" s="52">
        <f t="shared" si="1"/>
        <v>5.2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227</v>
      </c>
      <c r="C46" s="63">
        <v>11</v>
      </c>
      <c r="D46" s="63">
        <v>17</v>
      </c>
      <c r="E46" s="54"/>
      <c r="F46" s="54"/>
      <c r="G46" s="54"/>
      <c r="H46" s="54"/>
      <c r="I46" s="52">
        <f t="shared" si="1"/>
        <v>4.5999999999999996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230</v>
      </c>
      <c r="C47" s="63">
        <v>12</v>
      </c>
      <c r="D47" s="63">
        <v>15</v>
      </c>
      <c r="E47" s="54"/>
      <c r="F47" s="54"/>
      <c r="G47" s="54"/>
      <c r="H47" s="54"/>
      <c r="I47" s="52">
        <f t="shared" si="1"/>
        <v>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233</v>
      </c>
      <c r="C48" s="63">
        <v>13</v>
      </c>
      <c r="D48" s="63">
        <v>13</v>
      </c>
      <c r="E48" s="54"/>
      <c r="F48" s="54"/>
      <c r="G48" s="54"/>
      <c r="H48" s="54"/>
      <c r="I48" s="52">
        <f t="shared" si="1"/>
        <v>3.6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235</v>
      </c>
      <c r="C49" s="63">
        <v>14</v>
      </c>
      <c r="D49" s="63">
        <v>12</v>
      </c>
      <c r="E49" s="54"/>
      <c r="F49" s="54"/>
      <c r="G49" s="54"/>
      <c r="H49" s="54"/>
      <c r="I49" s="52">
        <f t="shared" si="1"/>
        <v>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236</v>
      </c>
      <c r="C50" s="53">
        <v>15</v>
      </c>
      <c r="D50" s="53">
        <v>236</v>
      </c>
      <c r="E50" s="54"/>
      <c r="F50" s="54"/>
      <c r="G50" s="54"/>
      <c r="H50" s="54"/>
      <c r="I50" s="52">
        <f t="shared" si="1"/>
        <v>2.6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Polargo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289</v>
      </c>
      <c r="C88" s="63">
        <v>1</v>
      </c>
      <c r="D88" s="63">
        <v>289</v>
      </c>
      <c r="E88" s="54">
        <v>0.77</v>
      </c>
      <c r="F88" s="54">
        <v>0.21</v>
      </c>
      <c r="G88" s="54"/>
      <c r="H88" s="93"/>
      <c r="I88" s="56">
        <f>IFERROR(B88/A88,"")</f>
        <v>19.266666666666666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taeda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13</v>
      </c>
      <c r="B114" s="63">
        <v>101</v>
      </c>
      <c r="C114" s="53">
        <v>1</v>
      </c>
      <c r="D114" s="63">
        <v>28</v>
      </c>
      <c r="E114" s="54"/>
      <c r="F114" s="54"/>
      <c r="G114" s="54">
        <v>1</v>
      </c>
      <c r="H114" s="54"/>
      <c r="I114" s="56">
        <f>IFERROR(B114/A114,"")</f>
        <v>7.7692307692307692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18</v>
      </c>
      <c r="B115" s="63">
        <v>166</v>
      </c>
      <c r="C115" s="53">
        <v>2</v>
      </c>
      <c r="D115" s="63">
        <v>40</v>
      </c>
      <c r="E115" s="54">
        <v>0.25</v>
      </c>
      <c r="F115" s="54"/>
      <c r="G115" s="54">
        <v>0.75</v>
      </c>
      <c r="H115" s="54"/>
      <c r="I115" s="56">
        <f t="shared" ref="I115:I133" si="4">IF(A115&lt;&gt;0,(B115-(B114-D114))/(A115-A114),"")</f>
        <v>18.600000000000001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23</v>
      </c>
      <c r="B116" s="63">
        <v>215</v>
      </c>
      <c r="C116" s="53">
        <v>3</v>
      </c>
      <c r="D116" s="63">
        <v>52</v>
      </c>
      <c r="E116" s="54">
        <v>0.5</v>
      </c>
      <c r="F116" s="54"/>
      <c r="G116" s="54">
        <v>0.5</v>
      </c>
      <c r="H116" s="54"/>
      <c r="I116" s="56">
        <f t="shared" si="4"/>
        <v>17.8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269</v>
      </c>
      <c r="C117" s="53">
        <v>4</v>
      </c>
      <c r="D117" s="63">
        <v>0</v>
      </c>
      <c r="E117" s="54">
        <v>0.6</v>
      </c>
      <c r="F117" s="54"/>
      <c r="G117" s="54">
        <v>0.4</v>
      </c>
      <c r="H117" s="54"/>
      <c r="I117" s="56">
        <f t="shared" si="4"/>
        <v>15.142857142857142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34</v>
      </c>
      <c r="B118" s="63">
        <v>325</v>
      </c>
      <c r="C118" s="53">
        <v>5</v>
      </c>
      <c r="D118" s="63">
        <v>325</v>
      </c>
      <c r="E118" s="54">
        <v>0.7</v>
      </c>
      <c r="F118" s="54"/>
      <c r="G118" s="54">
        <v>0.3</v>
      </c>
      <c r="H118" s="54"/>
      <c r="I118" s="56">
        <f t="shared" si="4"/>
        <v>14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Robinier faux-acacia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5</v>
      </c>
      <c r="B140" s="63">
        <v>34</v>
      </c>
      <c r="C140" s="53">
        <v>1</v>
      </c>
      <c r="D140" s="63">
        <v>6</v>
      </c>
      <c r="E140" s="54"/>
      <c r="F140" s="54"/>
      <c r="G140" s="54"/>
      <c r="H140" s="54">
        <v>1</v>
      </c>
      <c r="I140" s="60">
        <f>IFERROR(B140/A140,"")</f>
        <v>6.8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10</v>
      </c>
      <c r="B141" s="63">
        <v>99</v>
      </c>
      <c r="C141" s="53">
        <v>2</v>
      </c>
      <c r="D141" s="63">
        <v>28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14.2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15</v>
      </c>
      <c r="B142" s="63">
        <v>140</v>
      </c>
      <c r="C142" s="53">
        <v>3</v>
      </c>
      <c r="D142" s="63">
        <v>23</v>
      </c>
      <c r="E142" s="54"/>
      <c r="F142" s="54"/>
      <c r="G142" s="54"/>
      <c r="H142" s="54">
        <v>1</v>
      </c>
      <c r="I142" s="60">
        <f t="shared" si="5"/>
        <v>13.8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20</v>
      </c>
      <c r="B143" s="63">
        <v>180</v>
      </c>
      <c r="C143" s="53">
        <v>4</v>
      </c>
      <c r="D143" s="63">
        <v>18</v>
      </c>
      <c r="E143" s="54"/>
      <c r="F143" s="54"/>
      <c r="G143" s="54"/>
      <c r="H143" s="54">
        <v>1</v>
      </c>
      <c r="I143" s="60">
        <f t="shared" si="5"/>
        <v>12.6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25</v>
      </c>
      <c r="B144" s="63">
        <v>214</v>
      </c>
      <c r="C144" s="53">
        <v>5</v>
      </c>
      <c r="D144" s="63">
        <v>14</v>
      </c>
      <c r="E144" s="54"/>
      <c r="F144" s="54"/>
      <c r="G144" s="54"/>
      <c r="H144" s="54">
        <v>1</v>
      </c>
      <c r="I144" s="60">
        <f t="shared" si="5"/>
        <v>10.4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30</v>
      </c>
      <c r="B145" s="63">
        <v>243</v>
      </c>
      <c r="C145" s="53">
        <v>6</v>
      </c>
      <c r="D145" s="63">
        <v>11</v>
      </c>
      <c r="E145" s="54"/>
      <c r="F145" s="54"/>
      <c r="G145" s="54"/>
      <c r="H145" s="54">
        <v>1</v>
      </c>
      <c r="I145" s="60">
        <f t="shared" si="5"/>
        <v>8.6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35</v>
      </c>
      <c r="B146" s="63">
        <v>267</v>
      </c>
      <c r="C146" s="53">
        <v>7</v>
      </c>
      <c r="D146" s="63">
        <v>9</v>
      </c>
      <c r="E146" s="54"/>
      <c r="F146" s="54"/>
      <c r="G146" s="54"/>
      <c r="H146" s="54"/>
      <c r="I146" s="60">
        <f t="shared" si="5"/>
        <v>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40</v>
      </c>
      <c r="B147" s="63">
        <v>289</v>
      </c>
      <c r="C147" s="53">
        <v>8</v>
      </c>
      <c r="D147" s="63">
        <v>7</v>
      </c>
      <c r="E147" s="54"/>
      <c r="F147" s="54"/>
      <c r="G147" s="54"/>
      <c r="H147" s="54"/>
      <c r="I147" s="60">
        <f>IF(A147&lt;&gt;0,(B147-(B146-D146))/(A147-A146),"")</f>
        <v>6.2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45</v>
      </c>
      <c r="B148" s="63">
        <v>312</v>
      </c>
      <c r="C148" s="53">
        <v>9</v>
      </c>
      <c r="D148" s="63">
        <v>312</v>
      </c>
      <c r="E148" s="54"/>
      <c r="F148" s="54"/>
      <c r="G148" s="54"/>
      <c r="H148" s="54"/>
      <c r="I148" s="60">
        <f t="shared" si="5"/>
        <v>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rouge d'Amérique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Peuplier Polargo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taeda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Robinier faux-acacia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354.90450119887635</v>
      </c>
      <c r="T3" s="62">
        <f>IF('Données projet'!E9&gt;30,$R$33-$H$33,LOOKUP('Données projet'!$E$9,$A$3:$A$203,R3:R203)-LOOKUP('Données projet'!$E$9,$A$3:$A$203,$H$3:$H$203))</f>
        <v>367.95449187183942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406.87679146534634</v>
      </c>
      <c r="AO3" s="62">
        <f>IF('Données projet'!E10&gt;30,$AM$33-$H$33,LOOKUP('Données projet'!$E$10,$A$3:$A$203,AM3:AM203)-LOOKUP('Données projet'!$E$10,$A$3:$A$203,$H$3:$H$203))</f>
        <v>252.43382636914751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62.870522503922729</v>
      </c>
      <c r="BJ3" s="62">
        <f>IF('Données projet'!E11&gt;30,$BH$33-$H$33,LOOKUP('Données projet'!$E$11,$A$3:$A$203,BH3:BH203)-LOOKUP('Données projet'!$E$11,$A$3:$A$203,$H$3:$H$203))</f>
        <v>322.87462304389692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199.99576079505897</v>
      </c>
      <c r="CE3" s="62">
        <f>IF('Données projet'!E12&gt;30,$CC$33-$H$33,LOOKUP('Données projet'!$E$12,$A$3:$A$203,CC3:CC203)-LOOKUP('Données projet'!$E$12,$A$3:$A$203,$H$3:$H$203))</f>
        <v>407.41464279973172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376.68007030857598</v>
      </c>
      <c r="CZ3" s="62">
        <f>IF('Données projet'!E13&gt;30,$CX$33-$H$33,LOOKUP('Données projet'!$E$13,$A$3:$A$203,CX3:CX203)-LOOKUP('Données projet'!$E$13,$A$3:$A$203,$H$3:$H$203))</f>
        <v>532.90758914457626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6.6</v>
      </c>
      <c r="N4" s="14">
        <f>IF('Données projet'!$A$36&gt;35,N3+M4-V3,IF(A4&lt;'Données projet'!$A$36,$K$205^A4,IF(A4='Données projet'!$A$36,'Données projet'!$B$36,N3+M4-V3)))</f>
        <v>1.2765231539157764</v>
      </c>
      <c r="O4" s="14">
        <f>N4*VLOOKUP('Données projet'!$B$9,Paramètres!$A$1:$I$89,3,0)*VLOOKUP('Données projet'!$B$9,Paramètres!$A$1:$I$89,5,0)</f>
        <v>1.1151706272608224</v>
      </c>
      <c r="P4" s="14">
        <f>EXP(-1.0587+0.8836*LN(O4)+0.284)</f>
        <v>0.50743784838663863</v>
      </c>
      <c r="Q4" s="22">
        <f t="shared" ref="Q4:Q34" si="2">(O4+P4)*0.475*44/12</f>
        <v>2.8260430950859945</v>
      </c>
      <c r="R4" s="62">
        <f t="shared" si="0"/>
        <v>170.63847704800983</v>
      </c>
      <c r="S4" s="62">
        <f ca="1">AVERAGE(OFFSET($R$3,0,0,'Données projet'!$E$9+1,1))-AVERAGE(OFFSET($H$3,0,0,'Données projet'!$E$9+1,1))</f>
        <v>354.90450119887635</v>
      </c>
      <c r="T4" s="62">
        <f>$T$3</f>
        <v>367.95449187183942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1.0730079158215224</v>
      </c>
      <c r="AK4" s="14">
        <f>EXP(-1.0587+0.8836*LN(AJ4)+0.284)</f>
        <v>0.49044782191261621</v>
      </c>
      <c r="AL4" s="22">
        <f t="shared" ref="AL4:AL67" si="4">(AJ4+AK4)*0.475*44/12</f>
        <v>2.7230187432202917</v>
      </c>
      <c r="AM4" s="62">
        <f t="shared" ref="AM4:AM67" si="5">AL4+(AD4+AE4)*44/12</f>
        <v>170.53545269614412</v>
      </c>
      <c r="AN4" s="62">
        <f ca="1">AVERAGE(OFFSET($AM$3,0,0,'Données projet'!$E$10+1,1))-AVERAGE(OFFSET($H$3,0,0,'Données projet'!$E$10+1,1))</f>
        <v>406.87679146534634</v>
      </c>
      <c r="AO4" s="62">
        <f>$AO$3</f>
        <v>252.43382636914751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19.266666666666666</v>
      </c>
      <c r="BD4" s="13">
        <f>IF('Données projet'!$A$88&gt;35,BD3+BC4-BL3,IF(A4&lt;'Données projet'!$A$88,$BA$205^A4,IF(A4='Données projet'!$A$88,'Données projet'!$B$88,BD3+BC4-BL3)))</f>
        <v>1.4590153336845055</v>
      </c>
      <c r="BE4" s="14">
        <f>BD4*VLOOKUP('Données projet'!$B$11,Paramètres!$A$1:$I$89,3,0)*VLOOKUP('Données projet'!$B$11,Paramètres!$A$1:$I$89,5,0)</f>
        <v>0.69419949576708773</v>
      </c>
      <c r="BF4" s="14">
        <f>EXP(-1.0587+0.8836*LN(BE4)+0.284)</f>
        <v>0.33380096429299755</v>
      </c>
      <c r="BG4" s="22">
        <f t="shared" ref="BG4:BG67" si="7">(BE4+BF4)*0.475*44/12</f>
        <v>1.7904341346046484</v>
      </c>
      <c r="BH4" s="62">
        <f t="shared" ref="BH4:BH67" si="8">BG4+(AY4+AZ4)*44/12</f>
        <v>169.60286808752849</v>
      </c>
      <c r="BI4" s="62">
        <f ca="1">AVERAGE(OFFSET($BH$3,0,0,'Données projet'!$E$11+1,1))-AVERAGE(OFFSET($H$3,0,0,'Données projet'!$E$11+1,1))</f>
        <v>62.870522503922729</v>
      </c>
      <c r="BJ4" s="62">
        <f>$BJ$3</f>
        <v>322.87462304389692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7.7692307692307692</v>
      </c>
      <c r="BY4" s="13">
        <f>IF('Données projet'!$A$114&gt;35,BY3+BX4-CG3,IF(A4&lt;'Données projet'!$A$114,$BV$205^A4,IF(A4='Données projet'!$A$114,'Données projet'!$B$114,BY3+BX4-CG3)))</f>
        <v>1.4261938757879591</v>
      </c>
      <c r="BZ4" s="14">
        <f>BY4*VLOOKUP('Données projet'!$B$12,Paramètres!$A$1:$I$89,3,0)*VLOOKUP('Données projet'!$B$12,Paramètres!$A$1:$I$89,5,0)</f>
        <v>0.85286393772119951</v>
      </c>
      <c r="CA4" s="14">
        <f>EXP(-1.0587+0.8836*LN(BZ4)+0.284)</f>
        <v>0.40038464441801103</v>
      </c>
      <c r="CB4" s="22">
        <f t="shared" ref="CB4:CB67" si="10">(BZ4+CA4)*0.475*44/12</f>
        <v>2.1827412805591249</v>
      </c>
      <c r="CC4" s="62">
        <f t="shared" ref="CC4:CC67" si="11">CB4+(BT4+BU4)*44/12</f>
        <v>169.99517523348297</v>
      </c>
      <c r="CD4" s="62">
        <f ca="1">AVERAGE(OFFSET($CC$3,0,0,'Données projet'!$E$12+1,1))-AVERAGE(OFFSET($H$3,0,0,'Données projet'!$E$12+1,1))</f>
        <v>199.99576079505897</v>
      </c>
      <c r="CE4" s="62">
        <f>$CE$3</f>
        <v>407.41464279973172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6.8</v>
      </c>
      <c r="CT4" s="13">
        <f>IF('Données projet'!$A$140&gt;35,CT3+CS4-DB3,IF(A4&lt;'Données projet'!$A$140,$CQ$205^A4,IF(A4='Données projet'!$A$140,'Données projet'!$B$140,CT3+CS4-DB3)))</f>
        <v>2.0243974584998852</v>
      </c>
      <c r="CU4" s="18">
        <f>CT4*VLOOKUP('Données projet'!$B$13,Paramètres!$A$1:$I$89,3,0)*VLOOKUP('Données projet'!$B$13,Paramètres!$A$1:$I$89,5,0)</f>
        <v>1.8316748204506961</v>
      </c>
      <c r="CV4" s="14">
        <f>EXP(-1.0587+0.8836*LN(CU4)+0.284)</f>
        <v>0.78669228172688432</v>
      </c>
      <c r="CW4" s="22">
        <f t="shared" ref="CW4:CW67" si="13">(CU4+CV4)*0.475*44/12</f>
        <v>4.5603227029592857</v>
      </c>
      <c r="CX4" s="62">
        <f t="shared" ref="CX4:CX67" si="14">CW4+(CO4+CP4)*44/12</f>
        <v>172.37275665588314</v>
      </c>
      <c r="CY4" s="62">
        <f ca="1">AVERAGE(OFFSET($CX$3,0,0,'Données projet'!$E$13+1,1))-AVERAGE(OFFSET($H$3,0,0,'Données projet'!$E$13+1,1))</f>
        <v>376.68007030857598</v>
      </c>
      <c r="CZ4" s="62">
        <f>$CZ$3</f>
        <v>532.90758914457626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6.6</v>
      </c>
      <c r="N5" s="14">
        <f>IF('Données projet'!$A$36&gt;35,N4+M5-V4,IF(A5&lt;'Données projet'!$A$36,$K$205^A5,IF(A5='Données projet'!$A$36,'Données projet'!$B$36,N4+M5-V4)))</f>
        <v>1.629511362483081</v>
      </c>
      <c r="O5" s="14">
        <f>N5*VLOOKUP('Données projet'!$B$9,Paramètres!$A$1:$I$89,3,0)*VLOOKUP('Données projet'!$B$9,Paramètres!$A$1:$I$89,5,0)</f>
        <v>1.4235411262652198</v>
      </c>
      <c r="P5" s="14">
        <f t="shared" ref="P5:P68" si="33">EXP(-1.0587+0.8836*LN(O5)+0.284)</f>
        <v>0.62960738463416654</v>
      </c>
      <c r="Q5" s="22">
        <f t="shared" si="2"/>
        <v>3.5759003231497637</v>
      </c>
      <c r="R5" s="62">
        <f t="shared" si="0"/>
        <v>174.1731816106506</v>
      </c>
      <c r="S5" s="62">
        <f ca="1">AVERAGE(OFFSET($R$3,0,0,'Données projet'!$E$9+1,1))-AVERAGE(OFFSET($H$3,0,0,'Données projet'!$E$9+1,1))</f>
        <v>354.90450119887635</v>
      </c>
      <c r="T5" s="62">
        <f t="shared" ref="T5:T68" si="34">$T$3</f>
        <v>367.95449187183942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1.2724867234920949</v>
      </c>
      <c r="AK5" s="14">
        <f t="shared" ref="AK5:AK68" si="35">EXP(-1.0587+0.8836*LN(AJ5)+0.284)</f>
        <v>0.570195368340213</v>
      </c>
      <c r="AL5" s="22">
        <f t="shared" si="4"/>
        <v>3.209337976607936</v>
      </c>
      <c r="AM5" s="62">
        <f t="shared" si="5"/>
        <v>173.80661926410878</v>
      </c>
      <c r="AN5" s="62">
        <f ca="1">AVERAGE(OFFSET($AM$3,0,0,'Données projet'!$E$10+1,1))-AVERAGE(OFFSET($H$3,0,0,'Données projet'!$E$10+1,1))</f>
        <v>406.87679146534634</v>
      </c>
      <c r="AO5" s="62">
        <f t="shared" ref="AO5:AO68" si="36">$AO$3</f>
        <v>252.43382636914751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19.266666666666666</v>
      </c>
      <c r="BD5" s="13">
        <f>IF('Données projet'!$A$88&gt;35,BD4+BC5-BL4,IF(A5&lt;'Données projet'!$A$88,$BA$205^A5,IF(A5='Données projet'!$A$88,'Données projet'!$B$88,BD4+BC5-BL4)))</f>
        <v>2.128725743926509</v>
      </c>
      <c r="BE5" s="14">
        <f>BD5*VLOOKUP('Données projet'!$B$11,Paramètres!$A$1:$I$89,3,0)*VLOOKUP('Données projet'!$B$11,Paramètres!$A$1:$I$89,5,0)</f>
        <v>1.012847708960233</v>
      </c>
      <c r="BF5" s="14">
        <f t="shared" ref="BF5:BF68" si="37">EXP(-1.0587+0.8836*LN(BE5)+0.284)</f>
        <v>0.46606970671579967</v>
      </c>
      <c r="BG5" s="22">
        <f t="shared" si="7"/>
        <v>2.5757811656357572</v>
      </c>
      <c r="BH5" s="62">
        <f t="shared" si="8"/>
        <v>173.17306245313659</v>
      </c>
      <c r="BI5" s="62">
        <f ca="1">AVERAGE(OFFSET($BH$3,0,0,'Données projet'!$E$11+1,1))-AVERAGE(OFFSET($H$3,0,0,'Données projet'!$E$11+1,1))</f>
        <v>62.870522503922729</v>
      </c>
      <c r="BJ5" s="62">
        <f t="shared" ref="BJ5:BJ68" si="38">$BJ$3</f>
        <v>322.87462304389692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7.7692307692307692</v>
      </c>
      <c r="BY5" s="13">
        <f>IF('Données projet'!$A$114&gt;35,BY4+BX5-CG4,IF(A5&lt;'Données projet'!$A$114,$BV$205^A5,IF(A5='Données projet'!$A$114,'Données projet'!$B$114,BY4+BX5-CG4)))</f>
        <v>2.0340289713350805</v>
      </c>
      <c r="BZ5" s="14">
        <f>BY5*VLOOKUP('Données projet'!$B$12,Paramètres!$A$1:$I$89,3,0)*VLOOKUP('Données projet'!$B$12,Paramètres!$A$1:$I$89,5,0)</f>
        <v>1.2163493248583781</v>
      </c>
      <c r="CA5" s="14">
        <f t="shared" ref="CA5:CA68" si="39">EXP(-1.0587+0.8836*LN(BZ5)+0.284)</f>
        <v>0.54791046443869817</v>
      </c>
      <c r="CB5" s="22">
        <f t="shared" si="10"/>
        <v>3.072752466359074</v>
      </c>
      <c r="CC5" s="62">
        <f t="shared" si="11"/>
        <v>173.67003375385991</v>
      </c>
      <c r="CD5" s="62">
        <f ca="1">AVERAGE(OFFSET($CC$3,0,0,'Données projet'!$E$12+1,1))-AVERAGE(OFFSET($H$3,0,0,'Données projet'!$E$12+1,1))</f>
        <v>199.99576079505897</v>
      </c>
      <c r="CE5" s="62">
        <f t="shared" ref="CE5:CE68" si="40">$CE$3</f>
        <v>407.41464279973172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6.8</v>
      </c>
      <c r="CT5" s="13">
        <f>IF('Données projet'!$A$140&gt;35,CT4+CS5-DB4,IF(A5&lt;'Données projet'!$A$140,$CQ$205^A5,IF(A5='Données projet'!$A$140,'Données projet'!$B$140,CT4+CS5-DB4)))</f>
        <v>4.0981850699807945</v>
      </c>
      <c r="CU5" s="18">
        <f>CT5*VLOOKUP('Données projet'!$B$13,Paramètres!$A$1:$I$89,3,0)*VLOOKUP('Données projet'!$B$13,Paramètres!$A$1:$I$89,5,0)</f>
        <v>3.7080378513186227</v>
      </c>
      <c r="CV5" s="14">
        <f t="shared" ref="CV5:CV68" si="41">EXP(-1.0587+0.8836*LN(CU5)+0.284)</f>
        <v>1.4670598901857457</v>
      </c>
      <c r="CW5" s="22">
        <f t="shared" si="13"/>
        <v>9.0132952331201093</v>
      </c>
      <c r="CX5" s="62">
        <f t="shared" si="14"/>
        <v>179.61057652062095</v>
      </c>
      <c r="CY5" s="62">
        <f ca="1">AVERAGE(OFFSET($CX$3,0,0,'Données projet'!$E$13+1,1))-AVERAGE(OFFSET($H$3,0,0,'Données projet'!$E$13+1,1))</f>
        <v>376.68007030857598</v>
      </c>
      <c r="CZ5" s="62">
        <f t="shared" ref="CZ5:CZ68" si="42">$CZ$3</f>
        <v>532.90758914457626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6.6</v>
      </c>
      <c r="N6" s="14">
        <f>IF('Données projet'!$A$36&gt;35,N5+M6-V5,IF(A6&lt;'Données projet'!$A$36,$K$205^A6,IF(A6='Données projet'!$A$36,'Données projet'!$B$36,N5+M6-V5)))</f>
        <v>2.0801089837784965</v>
      </c>
      <c r="O6" s="14">
        <f>N6*VLOOKUP('Données projet'!$B$9,Paramètres!$A$1:$I$89,3,0)*VLOOKUP('Données projet'!$B$9,Paramètres!$A$1:$I$89,5,0)</f>
        <v>1.8171832082288948</v>
      </c>
      <c r="P6" s="14">
        <f t="shared" si="33"/>
        <v>0.7811901694881791</v>
      </c>
      <c r="Q6" s="22">
        <f t="shared" si="2"/>
        <v>4.5255002995239044</v>
      </c>
      <c r="R6" s="62">
        <f t="shared" si="0"/>
        <v>177.8805208694088</v>
      </c>
      <c r="S6" s="62">
        <f ca="1">AVERAGE(OFFSET($R$3,0,0,'Données projet'!$E$9+1,1))-AVERAGE(OFFSET($H$3,0,0,'Données projet'!$E$9+1,1))</f>
        <v>354.90450119887635</v>
      </c>
      <c r="T6" s="62">
        <f t="shared" si="34"/>
        <v>367.95449187183942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1.5090498752042558</v>
      </c>
      <c r="AK6" s="14">
        <f t="shared" si="35"/>
        <v>0.66290998461108197</v>
      </c>
      <c r="AL6" s="22">
        <f t="shared" si="4"/>
        <v>3.7828300891783795</v>
      </c>
      <c r="AM6" s="62">
        <f t="shared" si="5"/>
        <v>177.13785065906328</v>
      </c>
      <c r="AN6" s="62">
        <f ca="1">AVERAGE(OFFSET($AM$3,0,0,'Données projet'!$E$10+1,1))-AVERAGE(OFFSET($H$3,0,0,'Données projet'!$E$10+1,1))</f>
        <v>406.87679146534634</v>
      </c>
      <c r="AO6" s="62">
        <f t="shared" si="36"/>
        <v>252.43382636914751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19.266666666666666</v>
      </c>
      <c r="BD6" s="13">
        <f>IF('Données projet'!$A$88&gt;35,BD5+BC6-BL5,IF(A6&lt;'Données projet'!$A$88,$BA$205^A6,IF(A6='Données projet'!$A$88,'Données projet'!$B$88,BD5+BC6-BL5)))</f>
        <v>3.1058435015977328</v>
      </c>
      <c r="BE6" s="14">
        <f>BD6*VLOOKUP('Données projet'!$B$11,Paramètres!$A$1:$I$89,3,0)*VLOOKUP('Données projet'!$B$11,Paramètres!$A$1:$I$89,5,0)</f>
        <v>1.4777603380602014</v>
      </c>
      <c r="BF6" s="14">
        <f t="shared" si="37"/>
        <v>0.65074998203864798</v>
      </c>
      <c r="BG6" s="22">
        <f t="shared" si="7"/>
        <v>3.7071554741721617</v>
      </c>
      <c r="BH6" s="62">
        <f t="shared" si="8"/>
        <v>177.06217604405705</v>
      </c>
      <c r="BI6" s="62">
        <f ca="1">AVERAGE(OFFSET($BH$3,0,0,'Données projet'!$E$11+1,1))-AVERAGE(OFFSET($H$3,0,0,'Données projet'!$E$11+1,1))</f>
        <v>62.870522503922729</v>
      </c>
      <c r="BJ6" s="62">
        <f t="shared" si="38"/>
        <v>322.87462304389692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7.7692307692307692</v>
      </c>
      <c r="BY6" s="13">
        <f>IF('Données projet'!$A$114&gt;35,BY5+BX6-CG5,IF(A6&lt;'Données projet'!$A$114,$BV$205^A6,IF(A6='Données projet'!$A$114,'Données projet'!$B$114,BY5+BX6-CG5)))</f>
        <v>2.9009196620933739</v>
      </c>
      <c r="BZ6" s="14">
        <f>BY6*VLOOKUP('Données projet'!$B$12,Paramètres!$A$1:$I$89,3,0)*VLOOKUP('Données projet'!$B$12,Paramètres!$A$1:$I$89,5,0)</f>
        <v>1.7347499579318377</v>
      </c>
      <c r="CA6" s="14">
        <f t="shared" si="39"/>
        <v>0.74979368271678282</v>
      </c>
      <c r="CB6" s="22">
        <f t="shared" si="10"/>
        <v>4.3272468407963478</v>
      </c>
      <c r="CC6" s="62">
        <f t="shared" si="11"/>
        <v>177.68226741068122</v>
      </c>
      <c r="CD6" s="62">
        <f ca="1">AVERAGE(OFFSET($CC$3,0,0,'Données projet'!$E$12+1,1))-AVERAGE(OFFSET($H$3,0,0,'Données projet'!$E$12+1,1))</f>
        <v>199.99576079505897</v>
      </c>
      <c r="CE6" s="62">
        <f t="shared" si="40"/>
        <v>407.41464279973172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6.8</v>
      </c>
      <c r="CT6" s="13">
        <f>IF('Données projet'!$A$140&gt;35,CT5+CS6-DB5,IF(A6&lt;'Données projet'!$A$140,$CQ$205^A6,IF(A6='Données projet'!$A$140,'Données projet'!$B$140,CT5+CS6-DB5)))</f>
        <v>8.2963554401312951</v>
      </c>
      <c r="CU6" s="18">
        <f>CT6*VLOOKUP('Données projet'!$B$13,Paramètres!$A$1:$I$89,3,0)*VLOOKUP('Données projet'!$B$13,Paramètres!$A$1:$I$89,5,0)</f>
        <v>7.5065424022307949</v>
      </c>
      <c r="CV6" s="14">
        <f t="shared" si="41"/>
        <v>2.7358406474604431</v>
      </c>
      <c r="CW6" s="22">
        <f t="shared" si="13"/>
        <v>17.838817144878906</v>
      </c>
      <c r="CX6" s="62">
        <f t="shared" si="14"/>
        <v>191.19383771476379</v>
      </c>
      <c r="CY6" s="62">
        <f ca="1">AVERAGE(OFFSET($CX$3,0,0,'Données projet'!$E$13+1,1))-AVERAGE(OFFSET($H$3,0,0,'Données projet'!$E$13+1,1))</f>
        <v>376.68007030857598</v>
      </c>
      <c r="CZ6" s="62">
        <f t="shared" si="42"/>
        <v>532.90758914457626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6.6</v>
      </c>
      <c r="N7" s="14">
        <f>IF('Données projet'!$A$36&gt;35,N6+M7-V6,IF(A7&lt;'Données projet'!$A$36,$K$205^A7,IF(A7='Données projet'!$A$36,'Données projet'!$B$36,N6+M7-V6)))</f>
        <v>2.655307280461467</v>
      </c>
      <c r="O7" s="14">
        <f>N7*VLOOKUP('Données projet'!$B$9,Paramètres!$A$1:$I$89,3,0)*VLOOKUP('Données projet'!$B$9,Paramètres!$A$1:$I$89,5,0)</f>
        <v>2.3196764402111376</v>
      </c>
      <c r="P7" s="14">
        <f t="shared" si="33"/>
        <v>0.96926766711854973</v>
      </c>
      <c r="Q7" s="22">
        <f t="shared" si="2"/>
        <v>5.7282443202658717</v>
      </c>
      <c r="R7" s="62">
        <f t="shared" si="0"/>
        <v>181.81436638444282</v>
      </c>
      <c r="S7" s="62">
        <f ca="1">AVERAGE(OFFSET($R$3,0,0,'Données projet'!$E$9+1,1))-AVERAGE(OFFSET($H$3,0,0,'Données projet'!$E$9+1,1))</f>
        <v>354.90450119887635</v>
      </c>
      <c r="T7" s="62">
        <f t="shared" si="34"/>
        <v>367.95449187183942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1.7895915798669841</v>
      </c>
      <c r="AK7" s="14">
        <f t="shared" si="35"/>
        <v>0.77070013559784434</v>
      </c>
      <c r="AL7" s="22">
        <f t="shared" si="4"/>
        <v>4.459174737767909</v>
      </c>
      <c r="AM7" s="62">
        <f t="shared" si="5"/>
        <v>180.54529680194486</v>
      </c>
      <c r="AN7" s="62">
        <f ca="1">AVERAGE(OFFSET($AM$3,0,0,'Données projet'!$E$10+1,1))-AVERAGE(OFFSET($H$3,0,0,'Données projet'!$E$10+1,1))</f>
        <v>406.87679146534634</v>
      </c>
      <c r="AO7" s="62">
        <f t="shared" si="36"/>
        <v>252.43382636914751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19.266666666666666</v>
      </c>
      <c r="BD7" s="13">
        <f>IF('Données projet'!$A$88&gt;35,BD6+BC7-BL6,IF(A7&lt;'Données projet'!$A$88,$BA$205^A7,IF(A7='Données projet'!$A$88,'Données projet'!$B$88,BD6+BC7-BL6)))</f>
        <v>4.5314732928554697</v>
      </c>
      <c r="BE7" s="14">
        <f>BD7*VLOOKUP('Données projet'!$B$11,Paramètres!$A$1:$I$89,3,0)*VLOOKUP('Données projet'!$B$11,Paramètres!$A$1:$I$89,5,0)</f>
        <v>2.1560749927406326</v>
      </c>
      <c r="BF7" s="14">
        <f t="shared" si="37"/>
        <v>0.90860987749527322</v>
      </c>
      <c r="BG7" s="22">
        <f t="shared" si="7"/>
        <v>5.3376594823275356</v>
      </c>
      <c r="BH7" s="62">
        <f t="shared" si="8"/>
        <v>181.42378154650447</v>
      </c>
      <c r="BI7" s="62">
        <f ca="1">AVERAGE(OFFSET($BH$3,0,0,'Données projet'!$E$11+1,1))-AVERAGE(OFFSET($H$3,0,0,'Données projet'!$E$11+1,1))</f>
        <v>62.870522503922729</v>
      </c>
      <c r="BJ7" s="62">
        <f t="shared" si="38"/>
        <v>322.87462304389692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7.7692307692307692</v>
      </c>
      <c r="BY7" s="13">
        <f>IF('Données projet'!$A$114&gt;35,BY6+BX7-CG6,IF(A7&lt;'Données projet'!$A$114,$BV$205^A7,IF(A7='Données projet'!$A$114,'Données projet'!$B$114,BY6+BX7-CG6)))</f>
        <v>4.1372738562304461</v>
      </c>
      <c r="BZ7" s="14">
        <f>BY7*VLOOKUP('Données projet'!$B$12,Paramètres!$A$1:$I$89,3,0)*VLOOKUP('Données projet'!$B$12,Paramètres!$A$1:$I$89,5,0)</f>
        <v>2.474089766025807</v>
      </c>
      <c r="CA7" s="14">
        <f t="shared" si="39"/>
        <v>1.0260628389675426</v>
      </c>
      <c r="CB7" s="22">
        <f t="shared" si="10"/>
        <v>6.0960991203634167</v>
      </c>
      <c r="CC7" s="62">
        <f t="shared" si="11"/>
        <v>182.18222118454037</v>
      </c>
      <c r="CD7" s="62">
        <f ca="1">AVERAGE(OFFSET($CC$3,0,0,'Données projet'!$E$12+1,1))-AVERAGE(OFFSET($H$3,0,0,'Données projet'!$E$12+1,1))</f>
        <v>199.99576079505897</v>
      </c>
      <c r="CE7" s="62">
        <f t="shared" si="40"/>
        <v>407.41464279973172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6.8</v>
      </c>
      <c r="CT7" s="13">
        <f>IF('Données projet'!$A$140&gt;35,CT6+CS7-DB6,IF(A7&lt;'Données projet'!$A$140,$CQ$205^A7,IF(A7='Données projet'!$A$140,'Données projet'!$B$140,CT6+CS7-DB6)))</f>
        <v>16.795120867813488</v>
      </c>
      <c r="CU7" s="18">
        <f>CT7*VLOOKUP('Données projet'!$B$13,Paramètres!$A$1:$I$89,3,0)*VLOOKUP('Données projet'!$B$13,Paramètres!$A$1:$I$89,5,0)</f>
        <v>15.196225361197643</v>
      </c>
      <c r="CV7" s="14">
        <f t="shared" si="41"/>
        <v>5.1019212633160578</v>
      </c>
      <c r="CW7" s="22">
        <f t="shared" si="13"/>
        <v>35.352605371028027</v>
      </c>
      <c r="CX7" s="62">
        <f t="shared" si="14"/>
        <v>211.43872743520498</v>
      </c>
      <c r="CY7" s="62">
        <f ca="1">AVERAGE(OFFSET($CX$3,0,0,'Données projet'!$E$13+1,1))-AVERAGE(OFFSET($H$3,0,0,'Données projet'!$E$13+1,1))</f>
        <v>376.68007030857598</v>
      </c>
      <c r="CZ7" s="62">
        <f t="shared" si="42"/>
        <v>532.90758914457626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6.6</v>
      </c>
      <c r="N8" s="14">
        <f>IF('Données projet'!$A$36&gt;35,N7+M8-V7,IF(A8&lt;'Données projet'!$A$36,$K$205^A8,IF(A8='Données projet'!$A$36,'Données projet'!$B$36,N7+M8-V7)))</f>
        <v>3.3895612242701949</v>
      </c>
      <c r="O8" s="14">
        <f>N8*VLOOKUP('Données projet'!$B$9,Paramètres!$A$1:$I$89,3,0)*VLOOKUP('Données projet'!$B$9,Paramètres!$A$1:$I$89,5,0)</f>
        <v>2.9611206855224426</v>
      </c>
      <c r="P8" s="14">
        <f t="shared" si="33"/>
        <v>1.2026262582604759</v>
      </c>
      <c r="Q8" s="22">
        <f t="shared" si="2"/>
        <v>7.2518592604219156</v>
      </c>
      <c r="R8" s="62">
        <f t="shared" si="0"/>
        <v>186.04290713686927</v>
      </c>
      <c r="S8" s="62">
        <f ca="1">AVERAGE(OFFSET($R$3,0,0,'Données projet'!$E$9+1,1))-AVERAGE(OFFSET($H$3,0,0,'Données projet'!$E$9+1,1))</f>
        <v>354.90450119887635</v>
      </c>
      <c r="T8" s="62">
        <f t="shared" si="34"/>
        <v>367.95449187183942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2.122287722463327</v>
      </c>
      <c r="AK8" s="14">
        <f t="shared" si="35"/>
        <v>0.89601712570223679</v>
      </c>
      <c r="AL8" s="22">
        <f t="shared" si="4"/>
        <v>5.2568809438883566</v>
      </c>
      <c r="AM8" s="62">
        <f t="shared" si="5"/>
        <v>184.0479288203357</v>
      </c>
      <c r="AN8" s="62">
        <f ca="1">AVERAGE(OFFSET($AM$3,0,0,'Données projet'!$E$10+1,1))-AVERAGE(OFFSET($H$3,0,0,'Données projet'!$E$10+1,1))</f>
        <v>406.87679146534634</v>
      </c>
      <c r="AO8" s="62">
        <f t="shared" si="36"/>
        <v>252.43382636914751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19.266666666666666</v>
      </c>
      <c r="BD8" s="13">
        <f>IF('Données projet'!$A$88&gt;35,BD7+BC8-BL7,IF(A8&lt;'Données projet'!$A$88,$BA$205^A8,IF(A8='Données projet'!$A$88,'Données projet'!$B$88,BD7+BC8-BL7)))</f>
        <v>6.6114890184579487</v>
      </c>
      <c r="BE8" s="14">
        <f>BD8*VLOOKUP('Données projet'!$B$11,Paramètres!$A$1:$I$89,3,0)*VLOOKUP('Données projet'!$B$11,Paramètres!$A$1:$I$89,5,0)</f>
        <v>3.1457464749822921</v>
      </c>
      <c r="BF8" s="14">
        <f t="shared" si="37"/>
        <v>1.2686468417496548</v>
      </c>
      <c r="BG8" s="22">
        <f t="shared" si="7"/>
        <v>7.6884016933081405</v>
      </c>
      <c r="BH8" s="62">
        <f t="shared" si="8"/>
        <v>186.4794495697555</v>
      </c>
      <c r="BI8" s="62">
        <f ca="1">AVERAGE(OFFSET($BH$3,0,0,'Données projet'!$E$11+1,1))-AVERAGE(OFFSET($H$3,0,0,'Données projet'!$E$11+1,1))</f>
        <v>62.870522503922729</v>
      </c>
      <c r="BJ8" s="62">
        <f t="shared" si="38"/>
        <v>322.87462304389692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7.7692307692307692</v>
      </c>
      <c r="BY8" s="13">
        <f>IF('Données projet'!$A$114&gt;35,BY7+BX8-CG7,IF(A8&lt;'Données projet'!$A$114,$BV$205^A8,IF(A8='Données projet'!$A$114,'Données projet'!$B$114,BY7+BX8-CG7)))</f>
        <v>5.9005546362134957</v>
      </c>
      <c r="BZ8" s="14">
        <f>BY8*VLOOKUP('Données projet'!$B$12,Paramètres!$A$1:$I$89,3,0)*VLOOKUP('Données projet'!$B$12,Paramètres!$A$1:$I$89,5,0)</f>
        <v>3.5285316724556708</v>
      </c>
      <c r="CA8" s="14">
        <f t="shared" si="39"/>
        <v>1.404126193348852</v>
      </c>
      <c r="CB8" s="22">
        <f t="shared" si="10"/>
        <v>8.5910457829428761</v>
      </c>
      <c r="CC8" s="62">
        <f t="shared" si="11"/>
        <v>187.38209365939022</v>
      </c>
      <c r="CD8" s="62">
        <f ca="1">AVERAGE(OFFSET($CC$3,0,0,'Données projet'!$E$12+1,1))-AVERAGE(OFFSET($H$3,0,0,'Données projet'!$E$12+1,1))</f>
        <v>199.99576079505897</v>
      </c>
      <c r="CE8" s="62">
        <f t="shared" si="40"/>
        <v>407.41464279973172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>
        <f>VLOOKUP(A8,'Données projet'!$A$139:$I$159,2,0)</f>
        <v>34</v>
      </c>
      <c r="CR8" s="13">
        <f>VLOOKUP(A8,'Données projet'!$A$139:$I$159,9,0)</f>
        <v>6.8</v>
      </c>
      <c r="CS8" s="13">
        <f t="array" ref="CS8">INDEX(CR:CR,MIN(IF(ISNUMBER(CR8:CR204),ROW(CR8:CR204),"")))</f>
        <v>6.8</v>
      </c>
      <c r="CT8" s="13">
        <f>IF('Données projet'!$A$140&gt;35,CT7+CS8-DB7,IF(A8&lt;'Données projet'!$A$140,$CQ$205^A8,IF(A8='Données projet'!$A$140,'Données projet'!$B$140,CT7+CS8-DB7)))</f>
        <v>34</v>
      </c>
      <c r="CU8" s="18">
        <f>CT8*VLOOKUP('Données projet'!$B$13,Paramètres!$A$1:$I$89,3,0)*VLOOKUP('Données projet'!$B$13,Paramètres!$A$1:$I$89,5,0)</f>
        <v>30.763199999999998</v>
      </c>
      <c r="CV8" s="14">
        <f t="shared" si="41"/>
        <v>9.5142970411082253</v>
      </c>
      <c r="CW8" s="22">
        <f t="shared" si="13"/>
        <v>70.149974013263474</v>
      </c>
      <c r="CX8" s="62">
        <f t="shared" si="14"/>
        <v>248.94102188971084</v>
      </c>
      <c r="CY8" s="62">
        <f ca="1">AVERAGE(OFFSET($CX$3,0,0,'Données projet'!$E$13+1,1))-AVERAGE(OFFSET($H$3,0,0,'Données projet'!$E$13+1,1))</f>
        <v>376.68007030857598</v>
      </c>
      <c r="CZ8" s="62">
        <f t="shared" si="42"/>
        <v>532.90758914457626</v>
      </c>
      <c r="DA8" s="16">
        <f>IF(ISNA(VLOOKUP(A8,'Données projet'!$A$139:$I$159,3,0)),0,VLOOKUP(A8,'Données projet'!$A$139:$I$159,3,0))</f>
        <v>1</v>
      </c>
      <c r="DB8" s="16">
        <f>IF(ISNA(VLOOKUP(A8,'Données projet'!$A$139:$I$159,4,0)),0,VLOOKUP(A8,'Données projet'!$A$139:$I$159,4,0))</f>
        <v>6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6.6</v>
      </c>
      <c r="N9" s="14">
        <f>IF('Données projet'!$A$36&gt;35,N8+M9-V8,IF(A9&lt;'Données projet'!$A$36,$K$205^A9,IF(A9='Données projet'!$A$36,'Données projet'!$B$36,N8+M9-V8)))</f>
        <v>4.32685338439601</v>
      </c>
      <c r="O9" s="14">
        <f>N9*VLOOKUP('Données projet'!$B$9,Paramètres!$A$1:$I$89,3,0)*VLOOKUP('Données projet'!$B$9,Paramètres!$A$1:$I$89,5,0)</f>
        <v>3.7799391166083551</v>
      </c>
      <c r="P9" s="14">
        <f t="shared" si="33"/>
        <v>1.4921677118944865</v>
      </c>
      <c r="Q9" s="22">
        <f t="shared" si="2"/>
        <v>9.1822527263091143</v>
      </c>
      <c r="R9" s="62">
        <f t="shared" si="0"/>
        <v>190.65250482256809</v>
      </c>
      <c r="S9" s="62">
        <f ca="1">AVERAGE(OFFSET($R$3,0,0,'Données projet'!$E$9+1,1))-AVERAGE(OFFSET($H$3,0,0,'Données projet'!$E$9+1,1))</f>
        <v>354.90450119887635</v>
      </c>
      <c r="T9" s="62">
        <f t="shared" si="34"/>
        <v>367.95449187183942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2.5168341355592179</v>
      </c>
      <c r="AK9" s="14">
        <f t="shared" si="35"/>
        <v>1.0417108450732491</v>
      </c>
      <c r="AL9" s="22">
        <f t="shared" si="4"/>
        <v>6.1977991746015464</v>
      </c>
      <c r="AM9" s="62">
        <f t="shared" si="5"/>
        <v>187.66805127086053</v>
      </c>
      <c r="AN9" s="62">
        <f ca="1">AVERAGE(OFFSET($AM$3,0,0,'Données projet'!$E$10+1,1))-AVERAGE(OFFSET($H$3,0,0,'Données projet'!$E$10+1,1))</f>
        <v>406.87679146534634</v>
      </c>
      <c r="AO9" s="62">
        <f t="shared" si="36"/>
        <v>252.43382636914751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19.266666666666666</v>
      </c>
      <c r="BD9" s="13">
        <f>IF('Données projet'!$A$88&gt;35,BD8+BC9-BL8,IF(A9&lt;'Données projet'!$A$88,$BA$205^A9,IF(A9='Données projet'!$A$88,'Données projet'!$B$88,BD8+BC9-BL8)))</f>
        <v>9.6462638564168675</v>
      </c>
      <c r="BE9" s="14">
        <f>BD9*VLOOKUP('Données projet'!$B$11,Paramètres!$A$1:$I$89,3,0)*VLOOKUP('Données projet'!$B$11,Paramètres!$A$1:$I$89,5,0)</f>
        <v>4.5896923428831453</v>
      </c>
      <c r="BF9" s="14">
        <f t="shared" si="37"/>
        <v>1.7713485720825728</v>
      </c>
      <c r="BG9" s="22">
        <f t="shared" si="7"/>
        <v>11.078812926898626</v>
      </c>
      <c r="BH9" s="62">
        <f t="shared" si="8"/>
        <v>192.5490650231576</v>
      </c>
      <c r="BI9" s="62">
        <f ca="1">AVERAGE(OFFSET($BH$3,0,0,'Données projet'!$E$11+1,1))-AVERAGE(OFFSET($H$3,0,0,'Données projet'!$E$11+1,1))</f>
        <v>62.870522503922729</v>
      </c>
      <c r="BJ9" s="62">
        <f t="shared" si="38"/>
        <v>322.87462304389692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7.7692307692307692</v>
      </c>
      <c r="BY9" s="13">
        <f>IF('Données projet'!$A$114&gt;35,BY8+BX9-CG8,IF(A9&lt;'Données projet'!$A$114,$BV$205^A9,IF(A9='Données projet'!$A$114,'Données projet'!$B$114,BY8+BX9-CG8)))</f>
        <v>8.4153348859199362</v>
      </c>
      <c r="BZ9" s="14">
        <f>BY9*VLOOKUP('Données projet'!$B$12,Paramètres!$A$1:$I$89,3,0)*VLOOKUP('Données projet'!$B$12,Paramètres!$A$1:$I$89,5,0)</f>
        <v>5.0323702617801223</v>
      </c>
      <c r="CA9" s="14">
        <f t="shared" si="39"/>
        <v>1.9214908599868947</v>
      </c>
      <c r="CB9" s="22">
        <f t="shared" si="10"/>
        <v>12.111308120410888</v>
      </c>
      <c r="CC9" s="62">
        <f t="shared" si="11"/>
        <v>193.58156021666986</v>
      </c>
      <c r="CD9" s="62">
        <f ca="1">AVERAGE(OFFSET($CC$3,0,0,'Données projet'!$E$12+1,1))-AVERAGE(OFFSET($H$3,0,0,'Données projet'!$E$12+1,1))</f>
        <v>199.99576079505897</v>
      </c>
      <c r="CE9" s="62">
        <f t="shared" si="40"/>
        <v>407.41464279973172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14.2</v>
      </c>
      <c r="CT9" s="13">
        <f>IF('Données projet'!$A$140&gt;35,CT8+CS9-DB8,IF(A9&lt;'Données projet'!$A$140,$CQ$205^A9,IF(A9='Données projet'!$A$140,'Données projet'!$B$140,CT8+CS9-DB8)))</f>
        <v>42.2</v>
      </c>
      <c r="CU9" s="18">
        <f>CT9*VLOOKUP('Données projet'!$B$13,Paramètres!$A$1:$I$89,3,0)*VLOOKUP('Données projet'!$B$13,Paramètres!$A$1:$I$89,5,0)</f>
        <v>38.182560000000002</v>
      </c>
      <c r="CV9" s="14">
        <f t="shared" si="41"/>
        <v>11.515638334288104</v>
      </c>
      <c r="CW9" s="22">
        <f t="shared" si="13"/>
        <v>86.557695432218452</v>
      </c>
      <c r="CX9" s="62">
        <f t="shared" si="14"/>
        <v>268.0279475284774</v>
      </c>
      <c r="CY9" s="62">
        <f ca="1">AVERAGE(OFFSET($CX$3,0,0,'Données projet'!$E$13+1,1))-AVERAGE(OFFSET($H$3,0,0,'Données projet'!$E$13+1,1))</f>
        <v>376.68007030857598</v>
      </c>
      <c r="CZ9" s="62">
        <f t="shared" si="42"/>
        <v>532.90758914457626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6.6</v>
      </c>
      <c r="N10" s="14">
        <f>IF('Données projet'!$A$36&gt;35,N9+M10-V9,IF(A10&lt;'Données projet'!$A$36,$K$205^A10,IF(A10='Données projet'!$A$36,'Données projet'!$B$36,N9+M10-V9)))</f>
        <v>5.5233285287803451</v>
      </c>
      <c r="O10" s="14">
        <f>N10*VLOOKUP('Données projet'!$B$9,Paramètres!$A$1:$I$89,3,0)*VLOOKUP('Données projet'!$B$9,Paramètres!$A$1:$I$89,5,0)</f>
        <v>4.8251798027425101</v>
      </c>
      <c r="P10" s="14">
        <f t="shared" si="33"/>
        <v>1.8514184811173284</v>
      </c>
      <c r="Q10" s="22">
        <f t="shared" si="2"/>
        <v>11.628408677722552</v>
      </c>
      <c r="R10" s="62">
        <f t="shared" si="0"/>
        <v>195.75258961345878</v>
      </c>
      <c r="S10" s="62">
        <f ca="1">AVERAGE(OFFSET($R$3,0,0,'Données projet'!$E$9+1,1))-AVERAGE(OFFSET($H$3,0,0,'Données projet'!$E$9+1,1))</f>
        <v>354.90450119887635</v>
      </c>
      <c r="T10" s="62">
        <f t="shared" si="34"/>
        <v>367.95449187183942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2.9847291669593941</v>
      </c>
      <c r="AK10" s="14">
        <f t="shared" si="35"/>
        <v>1.2110945802433715</v>
      </c>
      <c r="AL10" s="22">
        <f t="shared" si="4"/>
        <v>7.3077263597114817</v>
      </c>
      <c r="AM10" s="62">
        <f t="shared" si="5"/>
        <v>191.43190729544773</v>
      </c>
      <c r="AN10" s="62">
        <f ca="1">AVERAGE(OFFSET($AM$3,0,0,'Données projet'!$E$10+1,1))-AVERAGE(OFFSET($H$3,0,0,'Données projet'!$E$10+1,1))</f>
        <v>406.87679146534634</v>
      </c>
      <c r="AO10" s="62">
        <f t="shared" si="36"/>
        <v>252.43382636914751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19.266666666666666</v>
      </c>
      <c r="BD10" s="13">
        <f>IF('Données projet'!$A$88&gt;35,BD9+BC10-BL9,IF(A10&lt;'Données projet'!$A$88,$BA$205^A10,IF(A10='Données projet'!$A$88,'Données projet'!$B$88,BD9+BC10-BL9)))</f>
        <v>14.074046879278841</v>
      </c>
      <c r="BE10" s="14">
        <f>BD10*VLOOKUP('Données projet'!$B$11,Paramètres!$A$1:$I$89,3,0)*VLOOKUP('Données projet'!$B$11,Paramètres!$A$1:$I$89,5,0)</f>
        <v>6.6964315051608727</v>
      </c>
      <c r="BF10" s="14">
        <f t="shared" si="37"/>
        <v>2.4732460292035596</v>
      </c>
      <c r="BG10" s="22">
        <f t="shared" si="7"/>
        <v>15.970521705684718</v>
      </c>
      <c r="BH10" s="62">
        <f t="shared" si="8"/>
        <v>200.09470264142095</v>
      </c>
      <c r="BI10" s="62">
        <f ca="1">AVERAGE(OFFSET($BH$3,0,0,'Données projet'!$E$11+1,1))-AVERAGE(OFFSET($H$3,0,0,'Données projet'!$E$11+1,1))</f>
        <v>62.870522503922729</v>
      </c>
      <c r="BJ10" s="62">
        <f t="shared" si="38"/>
        <v>322.87462304389692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7.7692307692307692</v>
      </c>
      <c r="BY10" s="13">
        <f>IF('Données projet'!$A$114&gt;35,BY9+BX10-CG9,IF(A10&lt;'Données projet'!$A$114,$BV$205^A10,IF(A10='Données projet'!$A$114,'Données projet'!$B$114,BY9+BX10-CG9)))</f>
        <v>12.001899077003776</v>
      </c>
      <c r="BZ10" s="14">
        <f>BY10*VLOOKUP('Données projet'!$B$12,Paramètres!$A$1:$I$89,3,0)*VLOOKUP('Données projet'!$B$12,Paramètres!$A$1:$I$89,5,0)</f>
        <v>7.1771356480482584</v>
      </c>
      <c r="CA10" s="14">
        <f t="shared" si="39"/>
        <v>2.6294838330787229</v>
      </c>
      <c r="CB10" s="22">
        <f t="shared" si="10"/>
        <v>17.079862262962827</v>
      </c>
      <c r="CC10" s="62">
        <f t="shared" si="11"/>
        <v>201.20404319869905</v>
      </c>
      <c r="CD10" s="62">
        <f ca="1">AVERAGE(OFFSET($CC$3,0,0,'Données projet'!$E$12+1,1))-AVERAGE(OFFSET($H$3,0,0,'Données projet'!$E$12+1,1))</f>
        <v>199.99576079505897</v>
      </c>
      <c r="CE10" s="62">
        <f t="shared" si="40"/>
        <v>407.41464279973172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14.2</v>
      </c>
      <c r="CT10" s="13">
        <f>IF('Données projet'!$A$140&gt;35,CT9+CS10-DB9,IF(A10&lt;'Données projet'!$A$140,$CQ$205^A10,IF(A10='Données projet'!$A$140,'Données projet'!$B$140,CT9+CS10-DB9)))</f>
        <v>56.400000000000006</v>
      </c>
      <c r="CU10" s="18">
        <f>CT10*VLOOKUP('Données projet'!$B$13,Paramètres!$A$1:$I$89,3,0)*VLOOKUP('Données projet'!$B$13,Paramètres!$A$1:$I$89,5,0)</f>
        <v>51.030720000000009</v>
      </c>
      <c r="CV10" s="14">
        <f t="shared" si="41"/>
        <v>14.879630660597618</v>
      </c>
      <c r="CW10" s="22">
        <f t="shared" si="13"/>
        <v>114.79386073387418</v>
      </c>
      <c r="CX10" s="62">
        <f t="shared" si="14"/>
        <v>298.91804166961043</v>
      </c>
      <c r="CY10" s="62">
        <f ca="1">AVERAGE(OFFSET($CX$3,0,0,'Données projet'!$E$13+1,1))-AVERAGE(OFFSET($H$3,0,0,'Données projet'!$E$13+1,1))</f>
        <v>376.68007030857598</v>
      </c>
      <c r="CZ10" s="62">
        <f t="shared" si="42"/>
        <v>532.90758914457626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6.6</v>
      </c>
      <c r="N11" s="14">
        <f>IF('Données projet'!$A$36&gt;35,N10+M11-V10,IF(A11&lt;'Données projet'!$A$36,$K$205^A11,IF(A11='Données projet'!$A$36,'Données projet'!$B$36,N10+M11-V10)))</f>
        <v>7.0506567536716718</v>
      </c>
      <c r="O11" s="14">
        <f>N11*VLOOKUP('Données projet'!$B$9,Paramètres!$A$1:$I$89,3,0)*VLOOKUP('Données projet'!$B$9,Paramètres!$A$1:$I$89,5,0)</f>
        <v>6.1594537400075735</v>
      </c>
      <c r="P11" s="14">
        <f t="shared" si="33"/>
        <v>2.2971616158822084</v>
      </c>
      <c r="Q11" s="22">
        <f t="shared" si="2"/>
        <v>14.728605078174702</v>
      </c>
      <c r="R11" s="62">
        <f t="shared" si="0"/>
        <v>201.48187794439525</v>
      </c>
      <c r="S11" s="62">
        <f ca="1">AVERAGE(OFFSET($R$3,0,0,'Données projet'!$E$9+1,1))-AVERAGE(OFFSET($H$3,0,0,'Données projet'!$E$9+1,1))</f>
        <v>354.90450119887635</v>
      </c>
      <c r="T11" s="62">
        <f t="shared" si="34"/>
        <v>367.95449187183942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3.5396087784381174</v>
      </c>
      <c r="AK11" s="14">
        <f t="shared" si="35"/>
        <v>1.4080203630708406</v>
      </c>
      <c r="AL11" s="22">
        <f t="shared" si="4"/>
        <v>8.6171207547947688</v>
      </c>
      <c r="AM11" s="62">
        <f t="shared" si="5"/>
        <v>195.37039362101532</v>
      </c>
      <c r="AN11" s="62">
        <f ca="1">AVERAGE(OFFSET($AM$3,0,0,'Données projet'!$E$10+1,1))-AVERAGE(OFFSET($H$3,0,0,'Données projet'!$E$10+1,1))</f>
        <v>406.87679146534634</v>
      </c>
      <c r="AO11" s="62">
        <f t="shared" si="36"/>
        <v>252.43382636914751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19.266666666666666</v>
      </c>
      <c r="BD11" s="13">
        <f>IF('Données projet'!$A$88&gt;35,BD10+BC11-BL10,IF(A11&lt;'Données projet'!$A$88,$BA$205^A11,IF(A11='Données projet'!$A$88,'Données projet'!$B$88,BD10+BC11-BL10)))</f>
        <v>20.534250203862396</v>
      </c>
      <c r="BE11" s="14">
        <f>BD11*VLOOKUP('Données projet'!$B$11,Paramètres!$A$1:$I$89,3,0)*VLOOKUP('Données projet'!$B$11,Paramètres!$A$1:$I$89,5,0)</f>
        <v>9.7701962469977275</v>
      </c>
      <c r="BF11" s="14">
        <f t="shared" si="37"/>
        <v>3.4532705856868628</v>
      </c>
      <c r="BG11" s="22">
        <f t="shared" si="7"/>
        <v>23.030871400258992</v>
      </c>
      <c r="BH11" s="62">
        <f t="shared" si="8"/>
        <v>209.78414426647956</v>
      </c>
      <c r="BI11" s="62">
        <f ca="1">AVERAGE(OFFSET($BH$3,0,0,'Données projet'!$E$11+1,1))-AVERAGE(OFFSET($H$3,0,0,'Données projet'!$E$11+1,1))</f>
        <v>62.870522503922729</v>
      </c>
      <c r="BJ11" s="62">
        <f t="shared" si="38"/>
        <v>322.87462304389692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7.7692307692307692</v>
      </c>
      <c r="BY11" s="13">
        <f>IF('Données projet'!$A$114&gt;35,BY10+BX11-CG10,IF(A11&lt;'Données projet'!$A$114,$BV$205^A11,IF(A11='Données projet'!$A$114,'Données projet'!$B$114,BY10+BX11-CG10)))</f>
        <v>17.117034961447946</v>
      </c>
      <c r="BZ11" s="14">
        <f>BY11*VLOOKUP('Données projet'!$B$12,Paramètres!$A$1:$I$89,3,0)*VLOOKUP('Données projet'!$B$12,Paramètres!$A$1:$I$89,5,0)</f>
        <v>10.235986906945872</v>
      </c>
      <c r="CA11" s="14">
        <f t="shared" si="39"/>
        <v>3.5983440631455994</v>
      </c>
      <c r="CB11" s="22">
        <f t="shared" si="10"/>
        <v>24.094793106242644</v>
      </c>
      <c r="CC11" s="62">
        <f t="shared" si="11"/>
        <v>210.84806597246319</v>
      </c>
      <c r="CD11" s="62">
        <f ca="1">AVERAGE(OFFSET($CC$3,0,0,'Données projet'!$E$12+1,1))-AVERAGE(OFFSET($H$3,0,0,'Données projet'!$E$12+1,1))</f>
        <v>199.99576079505897</v>
      </c>
      <c r="CE11" s="62">
        <f t="shared" si="40"/>
        <v>407.41464279973172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14.2</v>
      </c>
      <c r="CT11" s="13">
        <f>IF('Données projet'!$A$140&gt;35,CT10+CS11-DB10,IF(A11&lt;'Données projet'!$A$140,$CQ$205^A11,IF(A11='Données projet'!$A$140,'Données projet'!$B$140,CT10+CS11-DB10)))</f>
        <v>70.600000000000009</v>
      </c>
      <c r="CU11" s="18">
        <f>CT11*VLOOKUP('Données projet'!$B$13,Paramètres!$A$1:$I$89,3,0)*VLOOKUP('Données projet'!$B$13,Paramètres!$A$1:$I$89,5,0)</f>
        <v>63.878880000000002</v>
      </c>
      <c r="CV11" s="14">
        <f t="shared" si="41"/>
        <v>18.145367520913332</v>
      </c>
      <c r="CW11" s="22">
        <f t="shared" si="13"/>
        <v>142.85889776559074</v>
      </c>
      <c r="CX11" s="62">
        <f t="shared" si="14"/>
        <v>329.6121706318113</v>
      </c>
      <c r="CY11" s="62">
        <f ca="1">AVERAGE(OFFSET($CX$3,0,0,'Données projet'!$E$13+1,1))-AVERAGE(OFFSET($H$3,0,0,'Données projet'!$E$13+1,1))</f>
        <v>376.68007030857598</v>
      </c>
      <c r="CZ11" s="62">
        <f t="shared" si="42"/>
        <v>532.90758914457626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6.6</v>
      </c>
      <c r="N12" s="14">
        <f>IF('Données projet'!$A$36&gt;35,N11+M12-V11,IF(A12&lt;'Données projet'!$A$36,$K$205^A12,IF(A12='Données projet'!$A$36,'Données projet'!$B$36,N11+M12-V11)))</f>
        <v>9.0003265963745314</v>
      </c>
      <c r="O12" s="14">
        <f>N12*VLOOKUP('Données projet'!$B$9,Paramètres!$A$1:$I$89,3,0)*VLOOKUP('Données projet'!$B$9,Paramètres!$A$1:$I$89,5,0)</f>
        <v>7.8626853145927917</v>
      </c>
      <c r="P12" s="14">
        <f t="shared" si="33"/>
        <v>2.8502208135558442</v>
      </c>
      <c r="Q12" s="22">
        <f t="shared" si="2"/>
        <v>18.658311506525539</v>
      </c>
      <c r="R12" s="62">
        <f t="shared" si="0"/>
        <v>208.01627025908161</v>
      </c>
      <c r="S12" s="62">
        <f ca="1">AVERAGE(OFFSET($R$3,0,0,'Données projet'!$E$9+1,1))-AVERAGE(OFFSET($H$3,0,0,'Données projet'!$E$9+1,1))</f>
        <v>354.90450119887635</v>
      </c>
      <c r="T12" s="62">
        <f t="shared" si="34"/>
        <v>367.95449187183942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4.1976439413963851</v>
      </c>
      <c r="AK12" s="14">
        <f t="shared" si="35"/>
        <v>1.6369665715321342</v>
      </c>
      <c r="AL12" s="22">
        <f t="shared" si="4"/>
        <v>10.161946643350502</v>
      </c>
      <c r="AM12" s="62">
        <f t="shared" si="5"/>
        <v>199.51990539590656</v>
      </c>
      <c r="AN12" s="62">
        <f ca="1">AVERAGE(OFFSET($AM$3,0,0,'Données projet'!$E$10+1,1))-AVERAGE(OFFSET($H$3,0,0,'Données projet'!$E$10+1,1))</f>
        <v>406.87679146534634</v>
      </c>
      <c r="AO12" s="62">
        <f t="shared" si="36"/>
        <v>252.43382636914751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19.266666666666666</v>
      </c>
      <c r="BD12" s="13">
        <f>IF('Données projet'!$A$88&gt;35,BD11+BC12-BL11,IF(A12&lt;'Données projet'!$A$88,$BA$205^A12,IF(A12='Données projet'!$A$88,'Données projet'!$B$88,BD11+BC12-BL11)))</f>
        <v>29.959785913149418</v>
      </c>
      <c r="BE12" s="14">
        <f>BD12*VLOOKUP('Données projet'!$B$11,Paramètres!$A$1:$I$89,3,0)*VLOOKUP('Données projet'!$B$11,Paramètres!$A$1:$I$89,5,0)</f>
        <v>14.254866137476494</v>
      </c>
      <c r="BF12" s="14">
        <f t="shared" si="37"/>
        <v>4.8216301965762085</v>
      </c>
      <c r="BG12" s="22">
        <f t="shared" si="7"/>
        <v>33.224897781808458</v>
      </c>
      <c r="BH12" s="62">
        <f t="shared" si="8"/>
        <v>222.58285653436454</v>
      </c>
      <c r="BI12" s="62">
        <f ca="1">AVERAGE(OFFSET($BH$3,0,0,'Données projet'!$E$11+1,1))-AVERAGE(OFFSET($H$3,0,0,'Données projet'!$E$11+1,1))</f>
        <v>62.870522503922729</v>
      </c>
      <c r="BJ12" s="62">
        <f t="shared" si="38"/>
        <v>322.87462304389692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7.7692307692307692</v>
      </c>
      <c r="BY12" s="13">
        <f>IF('Données projet'!$A$114&gt;35,BY11+BX12-CG11,IF(A12&lt;'Données projet'!$A$114,$BV$205^A12,IF(A12='Données projet'!$A$114,'Données projet'!$B$114,BY11+BX12-CG11)))</f>
        <v>24.412210433665443</v>
      </c>
      <c r="BZ12" s="14">
        <f>BY12*VLOOKUP('Données projet'!$B$12,Paramètres!$A$1:$I$89,3,0)*VLOOKUP('Données projet'!$B$12,Paramètres!$A$1:$I$89,5,0)</f>
        <v>14.598501839331936</v>
      </c>
      <c r="CA12" s="14">
        <f t="shared" si="39"/>
        <v>4.9241907608973428</v>
      </c>
      <c r="CB12" s="22">
        <f t="shared" si="10"/>
        <v>34.002022945399325</v>
      </c>
      <c r="CC12" s="62">
        <f t="shared" si="11"/>
        <v>223.35998169795539</v>
      </c>
      <c r="CD12" s="62">
        <f ca="1">AVERAGE(OFFSET($CC$3,0,0,'Données projet'!$E$12+1,1))-AVERAGE(OFFSET($H$3,0,0,'Données projet'!$E$12+1,1))</f>
        <v>199.99576079505897</v>
      </c>
      <c r="CE12" s="62">
        <f t="shared" si="40"/>
        <v>407.41464279973172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14.2</v>
      </c>
      <c r="CT12" s="13">
        <f>IF('Données projet'!$A$140&gt;35,CT11+CS12-DB11,IF(A12&lt;'Données projet'!$A$140,$CQ$205^A12,IF(A12='Données projet'!$A$140,'Données projet'!$B$140,CT11+CS12-DB11)))</f>
        <v>84.800000000000011</v>
      </c>
      <c r="CU12" s="18">
        <f>CT12*VLOOKUP('Données projet'!$B$13,Paramètres!$A$1:$I$89,3,0)*VLOOKUP('Données projet'!$B$13,Paramètres!$A$1:$I$89,5,0)</f>
        <v>76.727040000000017</v>
      </c>
      <c r="CV12" s="14">
        <f t="shared" si="41"/>
        <v>21.334993267156719</v>
      </c>
      <c r="CW12" s="22">
        <f t="shared" si="13"/>
        <v>170.79137460696464</v>
      </c>
      <c r="CX12" s="62">
        <f t="shared" si="14"/>
        <v>360.14933335952071</v>
      </c>
      <c r="CY12" s="62">
        <f ca="1">AVERAGE(OFFSET($CX$3,0,0,'Données projet'!$E$13+1,1))-AVERAGE(OFFSET($H$3,0,0,'Données projet'!$E$13+1,1))</f>
        <v>376.68007030857598</v>
      </c>
      <c r="CZ12" s="62">
        <f t="shared" si="42"/>
        <v>532.90758914457626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6.6</v>
      </c>
      <c r="N13" s="14">
        <f>IF('Données projet'!$A$36&gt;35,N12+M13-V12,IF(A13&lt;'Données projet'!$A$36,$K$205^A13,IF(A13='Données projet'!$A$36,'Données projet'!$B$36,N12+M13-V12)))</f>
        <v>11.489125293076063</v>
      </c>
      <c r="O13" s="14">
        <f>N13*VLOOKUP('Données projet'!$B$9,Paramètres!$A$1:$I$89,3,0)*VLOOKUP('Données projet'!$B$9,Paramètres!$A$1:$I$89,5,0)</f>
        <v>10.036899856031249</v>
      </c>
      <c r="P13" s="14">
        <f t="shared" si="33"/>
        <v>3.5364332356333024</v>
      </c>
      <c r="Q13" s="22">
        <f t="shared" si="2"/>
        <v>23.640221801315761</v>
      </c>
      <c r="R13" s="62">
        <f t="shared" si="0"/>
        <v>215.57888378636065</v>
      </c>
      <c r="S13" s="62">
        <f ca="1">AVERAGE(OFFSET($R$3,0,0,'Données projet'!$E$9+1,1))-AVERAGE(OFFSET($H$3,0,0,'Données projet'!$E$9+1,1))</f>
        <v>354.90450119887635</v>
      </c>
      <c r="T13" s="62">
        <f t="shared" si="34"/>
        <v>367.95449187183942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4.9780119108295491</v>
      </c>
      <c r="AK13" s="14">
        <f t="shared" si="35"/>
        <v>1.9031397745338225</v>
      </c>
      <c r="AL13" s="22">
        <f t="shared" si="4"/>
        <v>11.984672518674538</v>
      </c>
      <c r="AM13" s="62">
        <f t="shared" si="5"/>
        <v>203.92333450371942</v>
      </c>
      <c r="AN13" s="62">
        <f ca="1">AVERAGE(OFFSET($AM$3,0,0,'Données projet'!$E$10+1,1))-AVERAGE(OFFSET($H$3,0,0,'Données projet'!$E$10+1,1))</f>
        <v>406.87679146534634</v>
      </c>
      <c r="AO13" s="62">
        <f t="shared" si="36"/>
        <v>252.43382636914751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19.266666666666666</v>
      </c>
      <c r="BD13" s="13">
        <f>IF('Données projet'!$A$88&gt;35,BD12+BC13-BL12,IF(A13&lt;'Données projet'!$A$88,$BA$205^A13,IF(A13='Données projet'!$A$88,'Données projet'!$B$88,BD12+BC13-BL12)))</f>
        <v>43.71178704119005</v>
      </c>
      <c r="BE13" s="14">
        <f>BD13*VLOOKUP('Données projet'!$B$11,Paramètres!$A$1:$I$89,3,0)*VLOOKUP('Données projet'!$B$11,Paramètres!$A$1:$I$89,5,0)</f>
        <v>20.798068274198226</v>
      </c>
      <c r="BF13" s="14">
        <f t="shared" si="37"/>
        <v>6.7322027555252912</v>
      </c>
      <c r="BG13" s="22">
        <f t="shared" si="7"/>
        <v>47.948555376768446</v>
      </c>
      <c r="BH13" s="62">
        <f t="shared" si="8"/>
        <v>239.88721736181333</v>
      </c>
      <c r="BI13" s="62">
        <f ca="1">AVERAGE(OFFSET($BH$3,0,0,'Données projet'!$E$11+1,1))-AVERAGE(OFFSET($H$3,0,0,'Données projet'!$E$11+1,1))</f>
        <v>62.870522503922729</v>
      </c>
      <c r="BJ13" s="62">
        <f t="shared" si="38"/>
        <v>322.87462304389692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7.7692307692307692</v>
      </c>
      <c r="BY13" s="13">
        <f>IF('Données projet'!$A$114&gt;35,BY12+BX13-CG12,IF(A13&lt;'Données projet'!$A$114,$BV$205^A13,IF(A13='Données projet'!$A$114,'Données projet'!$B$114,BY12+BX13-CG12)))</f>
        <v>34.816545014940573</v>
      </c>
      <c r="BZ13" s="14">
        <f>BY13*VLOOKUP('Données projet'!$B$12,Paramètres!$A$1:$I$89,3,0)*VLOOKUP('Données projet'!$B$12,Paramètres!$A$1:$I$89,5,0)</f>
        <v>20.820293918934464</v>
      </c>
      <c r="CA13" s="14">
        <f t="shared" si="39"/>
        <v>6.7385592439734481</v>
      </c>
      <c r="CB13" s="22">
        <f t="shared" si="10"/>
        <v>47.998335925397946</v>
      </c>
      <c r="CC13" s="62">
        <f t="shared" si="11"/>
        <v>239.93699791044284</v>
      </c>
      <c r="CD13" s="62">
        <f ca="1">AVERAGE(OFFSET($CC$3,0,0,'Données projet'!$E$12+1,1))-AVERAGE(OFFSET($H$3,0,0,'Données projet'!$E$12+1,1))</f>
        <v>199.99576079505897</v>
      </c>
      <c r="CE13" s="62">
        <f t="shared" si="40"/>
        <v>407.41464279973172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99</v>
      </c>
      <c r="CR13" s="13">
        <f>VLOOKUP(A13,'Données projet'!$A$139:$I$159,9,0)</f>
        <v>14.2</v>
      </c>
      <c r="CS13" s="13">
        <f t="array" ref="CS13">INDEX(CR:CR,MIN(IF(ISNUMBER(CR13:CR209),ROW(CR13:CR209),"")))</f>
        <v>14.2</v>
      </c>
      <c r="CT13" s="13">
        <f>IF('Données projet'!$A$140&gt;35,CT12+CS13-DB12,IF(A13&lt;'Données projet'!$A$140,$CQ$205^A13,IF(A13='Données projet'!$A$140,'Données projet'!$B$140,CT12+CS13-DB12)))</f>
        <v>99.000000000000014</v>
      </c>
      <c r="CU13" s="18">
        <f>CT13*VLOOKUP('Données projet'!$B$13,Paramètres!$A$1:$I$89,3,0)*VLOOKUP('Données projet'!$B$13,Paramètres!$A$1:$I$89,5,0)</f>
        <v>89.575200000000009</v>
      </c>
      <c r="CV13" s="14">
        <f t="shared" si="41"/>
        <v>24.462745269668691</v>
      </c>
      <c r="CW13" s="22">
        <f t="shared" si="13"/>
        <v>198.61608801133966</v>
      </c>
      <c r="CX13" s="62">
        <f t="shared" si="14"/>
        <v>390.55474999638454</v>
      </c>
      <c r="CY13" s="62">
        <f ca="1">AVERAGE(OFFSET($CX$3,0,0,'Données projet'!$E$13+1,1))-AVERAGE(OFFSET($H$3,0,0,'Données projet'!$E$13+1,1))</f>
        <v>376.68007030857598</v>
      </c>
      <c r="CZ13" s="62">
        <f t="shared" si="42"/>
        <v>532.90758914457626</v>
      </c>
      <c r="DA13" s="16">
        <f>IF(ISNA(VLOOKUP(A13,'Données projet'!$A$139:$I$159,3,0)),0,VLOOKUP(A13,'Données projet'!$A$139:$I$159,3,0))</f>
        <v>2</v>
      </c>
      <c r="DB13" s="16">
        <f>IF(ISNA(VLOOKUP(A13,'Données projet'!$A$139:$I$159,4,0)),0,VLOOKUP(A13,'Données projet'!$A$139:$I$159,4,0))</f>
        <v>28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6.6</v>
      </c>
      <c r="N14" s="14">
        <f>IF('Données projet'!$A$36&gt;35,N13+M14-V13,IF(A14&lt;'Données projet'!$A$36,$K$205^A14,IF(A14='Données projet'!$A$36,'Données projet'!$B$36,N13+M14-V13)))</f>
        <v>14.666134454850974</v>
      </c>
      <c r="O14" s="14">
        <f>N14*VLOOKUP('Données projet'!$B$9,Paramètres!$A$1:$I$89,3,0)*VLOOKUP('Données projet'!$B$9,Paramètres!$A$1:$I$89,5,0)</f>
        <v>12.812335059757812</v>
      </c>
      <c r="P14" s="14">
        <f t="shared" si="33"/>
        <v>4.3878565375042955</v>
      </c>
      <c r="Q14" s="22">
        <f t="shared" si="2"/>
        <v>29.957000365231504</v>
      </c>
      <c r="R14" s="62">
        <f t="shared" si="0"/>
        <v>224.45279897434563</v>
      </c>
      <c r="S14" s="62">
        <f ca="1">AVERAGE(OFFSET($R$3,0,0,'Données projet'!$E$9+1,1))-AVERAGE(OFFSET($H$3,0,0,'Données projet'!$E$9+1,1))</f>
        <v>354.90450119887635</v>
      </c>
      <c r="T14" s="62">
        <f t="shared" si="34"/>
        <v>367.95449187183942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5.9034551120401524</v>
      </c>
      <c r="AK14" s="14">
        <f t="shared" si="35"/>
        <v>2.2125931368425316</v>
      </c>
      <c r="AL14" s="22">
        <f t="shared" si="4"/>
        <v>14.135450700137341</v>
      </c>
      <c r="AM14" s="62">
        <f t="shared" si="5"/>
        <v>208.63124930925147</v>
      </c>
      <c r="AN14" s="62">
        <f ca="1">AVERAGE(OFFSET($AM$3,0,0,'Données projet'!$E$10+1,1))-AVERAGE(OFFSET($H$3,0,0,'Données projet'!$E$10+1,1))</f>
        <v>406.87679146534634</v>
      </c>
      <c r="AO14" s="62">
        <f t="shared" si="36"/>
        <v>252.43382636914751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19.266666666666666</v>
      </c>
      <c r="BD14" s="13">
        <f>IF('Données projet'!$A$88&gt;35,BD13+BC14-BL13,IF(A14&lt;'Données projet'!$A$88,$BA$205^A14,IF(A14='Données projet'!$A$88,'Données projet'!$B$88,BD13+BC14-BL13)))</f>
        <v>63.776167555847941</v>
      </c>
      <c r="BE14" s="14">
        <f>BD14*VLOOKUP('Données projet'!$B$11,Paramètres!$A$1:$I$89,3,0)*VLOOKUP('Données projet'!$B$11,Paramètres!$A$1:$I$89,5,0)</f>
        <v>30.344700523072451</v>
      </c>
      <c r="BF14" s="14">
        <f t="shared" si="37"/>
        <v>9.3998403224049429</v>
      </c>
      <c r="BG14" s="22">
        <f t="shared" si="7"/>
        <v>69.221741972539789</v>
      </c>
      <c r="BH14" s="62">
        <f t="shared" si="8"/>
        <v>263.71754058165391</v>
      </c>
      <c r="BI14" s="62">
        <f ca="1">AVERAGE(OFFSET($BH$3,0,0,'Données projet'!$E$11+1,1))-AVERAGE(OFFSET($H$3,0,0,'Données projet'!$E$11+1,1))</f>
        <v>62.870522503922729</v>
      </c>
      <c r="BJ14" s="62">
        <f t="shared" si="38"/>
        <v>322.87462304389692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7.7692307692307692</v>
      </c>
      <c r="BY14" s="13">
        <f>IF('Données projet'!$A$114&gt;35,BY13+BX14-CG13,IF(A14&lt;'Données projet'!$A$114,$BV$205^A14,IF(A14='Données projet'!$A$114,'Données projet'!$B$114,BY13+BX14-CG13)))</f>
        <v>49.65514327640404</v>
      </c>
      <c r="BZ14" s="14">
        <f>BY14*VLOOKUP('Données projet'!$B$12,Paramètres!$A$1:$I$89,3,0)*VLOOKUP('Données projet'!$B$12,Paramètres!$A$1:$I$89,5,0)</f>
        <v>29.693775679289619</v>
      </c>
      <c r="CA14" s="14">
        <f t="shared" si="39"/>
        <v>9.2214503640117265</v>
      </c>
      <c r="CB14" s="22">
        <f t="shared" si="10"/>
        <v>67.777352025416505</v>
      </c>
      <c r="CC14" s="62">
        <f t="shared" si="11"/>
        <v>262.27315063453062</v>
      </c>
      <c r="CD14" s="62">
        <f ca="1">AVERAGE(OFFSET($CC$3,0,0,'Données projet'!$E$12+1,1))-AVERAGE(OFFSET($H$3,0,0,'Données projet'!$E$12+1,1))</f>
        <v>199.99576079505897</v>
      </c>
      <c r="CE14" s="62">
        <f t="shared" si="40"/>
        <v>407.41464279973172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13.8</v>
      </c>
      <c r="CT14" s="13">
        <f>IF('Données projet'!$A$140&gt;35,CT13+CS14-DB13,IF(A14&lt;'Données projet'!$A$140,$CQ$205^A14,IF(A14='Données projet'!$A$140,'Données projet'!$B$140,CT13+CS14-DB13)))</f>
        <v>84.800000000000011</v>
      </c>
      <c r="CU14" s="18">
        <f>CT14*VLOOKUP('Données projet'!$B$13,Paramètres!$A$1:$I$89,3,0)*VLOOKUP('Données projet'!$B$13,Paramètres!$A$1:$I$89,5,0)</f>
        <v>76.727040000000017</v>
      </c>
      <c r="CV14" s="14">
        <f t="shared" si="41"/>
        <v>21.334993267156719</v>
      </c>
      <c r="CW14" s="22">
        <f t="shared" si="13"/>
        <v>170.79137460696464</v>
      </c>
      <c r="CX14" s="62">
        <f t="shared" si="14"/>
        <v>365.28717321607877</v>
      </c>
      <c r="CY14" s="62">
        <f ca="1">AVERAGE(OFFSET($CX$3,0,0,'Données projet'!$E$13+1,1))-AVERAGE(OFFSET($H$3,0,0,'Données projet'!$E$13+1,1))</f>
        <v>376.68007030857598</v>
      </c>
      <c r="CZ14" s="62">
        <f t="shared" si="42"/>
        <v>532.90758914457626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6.6</v>
      </c>
      <c r="N15" s="14">
        <f>IF('Données projet'!$A$36&gt;35,N14+M15-V14,IF(A15&lt;'Données projet'!$A$36,$K$205^A15,IF(A15='Données projet'!$A$36,'Données projet'!$B$36,N14+M15-V14)))</f>
        <v>18.721660210059202</v>
      </c>
      <c r="O15" s="14">
        <f>N15*VLOOKUP('Données projet'!$B$9,Paramètres!$A$1:$I$89,3,0)*VLOOKUP('Données projet'!$B$9,Paramètres!$A$1:$I$89,5,0)</f>
        <v>16.35524235950772</v>
      </c>
      <c r="P15" s="14">
        <f t="shared" si="33"/>
        <v>5.4442664998513175</v>
      </c>
      <c r="Q15" s="22">
        <f t="shared" si="2"/>
        <v>37.967477930050322</v>
      </c>
      <c r="R15" s="62">
        <f t="shared" si="0"/>
        <v>234.99725538278318</v>
      </c>
      <c r="S15" s="62">
        <f ca="1">AVERAGE(OFFSET($R$3,0,0,'Données projet'!$E$9+1,1))-AVERAGE(OFFSET($H$3,0,0,'Données projet'!$E$9+1,1))</f>
        <v>354.90450119887635</v>
      </c>
      <c r="T15" s="62">
        <f t="shared" si="34"/>
        <v>367.95449187183942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7.0009439278471666</v>
      </c>
      <c r="AK15" s="14">
        <f t="shared" si="35"/>
        <v>2.5723640768329017</v>
      </c>
      <c r="AL15" s="22">
        <f t="shared" si="4"/>
        <v>16.673511441484454</v>
      </c>
      <c r="AM15" s="62">
        <f t="shared" si="5"/>
        <v>213.70328889421734</v>
      </c>
      <c r="AN15" s="62">
        <f ca="1">AVERAGE(OFFSET($AM$3,0,0,'Données projet'!$E$10+1,1))-AVERAGE(OFFSET($H$3,0,0,'Données projet'!$E$10+1,1))</f>
        <v>406.87679146534634</v>
      </c>
      <c r="AO15" s="62">
        <f t="shared" si="36"/>
        <v>252.43382636914751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19.266666666666666</v>
      </c>
      <c r="BD15" s="13">
        <f>IF('Données projet'!$A$88&gt;35,BD14+BC15-BL14,IF(A15&lt;'Données projet'!$A$88,$BA$205^A15,IF(A15='Données projet'!$A$88,'Données projet'!$B$88,BD14+BC15-BL14)))</f>
        <v>93.05040638761443</v>
      </c>
      <c r="BE15" s="14">
        <f>BD15*VLOOKUP('Données projet'!$B$11,Paramètres!$A$1:$I$89,3,0)*VLOOKUP('Données projet'!$B$11,Paramètres!$A$1:$I$89,5,0)</f>
        <v>44.273383359226941</v>
      </c>
      <c r="BF15" s="14">
        <f t="shared" si="37"/>
        <v>13.124530156818732</v>
      </c>
      <c r="BG15" s="22">
        <f t="shared" si="7"/>
        <v>99.968032707112897</v>
      </c>
      <c r="BH15" s="62">
        <f t="shared" si="8"/>
        <v>296.99781015984576</v>
      </c>
      <c r="BI15" s="62">
        <f ca="1">AVERAGE(OFFSET($BH$3,0,0,'Données projet'!$E$11+1,1))-AVERAGE(OFFSET($H$3,0,0,'Données projet'!$E$11+1,1))</f>
        <v>62.870522503922729</v>
      </c>
      <c r="BJ15" s="62">
        <f t="shared" si="38"/>
        <v>322.87462304389692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7.7692307692307692</v>
      </c>
      <c r="BY15" s="13">
        <f>IF('Données projet'!$A$114&gt;35,BY14+BX15-CG14,IF(A15&lt;'Données projet'!$A$114,$BV$205^A15,IF(A15='Données projet'!$A$114,'Données projet'!$B$114,BY14+BX15-CG14)))</f>
        <v>70.81786124218111</v>
      </c>
      <c r="BZ15" s="14">
        <f>BY15*VLOOKUP('Données projet'!$B$12,Paramètres!$A$1:$I$89,3,0)*VLOOKUP('Données projet'!$B$12,Paramètres!$A$1:$I$89,5,0)</f>
        <v>42.349081022824308</v>
      </c>
      <c r="CA15" s="14">
        <f t="shared" si="39"/>
        <v>12.61918812867636</v>
      </c>
      <c r="CB15" s="22">
        <f t="shared" si="10"/>
        <v>95.736402105530317</v>
      </c>
      <c r="CC15" s="62">
        <f t="shared" si="11"/>
        <v>292.76617955826316</v>
      </c>
      <c r="CD15" s="62">
        <f ca="1">AVERAGE(OFFSET($CC$3,0,0,'Données projet'!$E$12+1,1))-AVERAGE(OFFSET($H$3,0,0,'Données projet'!$E$12+1,1))</f>
        <v>199.99576079505897</v>
      </c>
      <c r="CE15" s="62">
        <f t="shared" si="40"/>
        <v>407.41464279973172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13.8</v>
      </c>
      <c r="CT15" s="13">
        <f>IF('Données projet'!$A$140&gt;35,CT14+CS15-DB14,IF(A15&lt;'Données projet'!$A$140,$CQ$205^A15,IF(A15='Données projet'!$A$140,'Données projet'!$B$140,CT14+CS15-DB14)))</f>
        <v>98.600000000000009</v>
      </c>
      <c r="CU15" s="18">
        <f>CT15*VLOOKUP('Données projet'!$B$13,Paramètres!$A$1:$I$89,3,0)*VLOOKUP('Données projet'!$B$13,Paramètres!$A$1:$I$89,5,0)</f>
        <v>89.213280000000012</v>
      </c>
      <c r="CV15" s="14">
        <f t="shared" si="41"/>
        <v>24.375390230293569</v>
      </c>
      <c r="CW15" s="22">
        <f t="shared" si="13"/>
        <v>197.83360065109466</v>
      </c>
      <c r="CX15" s="62">
        <f t="shared" si="14"/>
        <v>394.86337810382753</v>
      </c>
      <c r="CY15" s="62">
        <f ca="1">AVERAGE(OFFSET($CX$3,0,0,'Données projet'!$E$13+1,1))-AVERAGE(OFFSET($H$3,0,0,'Données projet'!$E$13+1,1))</f>
        <v>376.68007030857598</v>
      </c>
      <c r="CZ15" s="62">
        <f t="shared" si="42"/>
        <v>532.90758914457626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6.6</v>
      </c>
      <c r="N16" s="14">
        <f>IF('Données projet'!$A$36&gt;35,N15+M16-V15,IF(A16&lt;'Données projet'!$A$36,$K$205^A16,IF(A16='Données projet'!$A$36,'Données projet'!$B$36,N15+M16-V15)))</f>
        <v>23.89863273788427</v>
      </c>
      <c r="O16" s="14">
        <f>N16*VLOOKUP('Données projet'!$B$9,Paramètres!$A$1:$I$89,3,0)*VLOOKUP('Données projet'!$B$9,Paramètres!$A$1:$I$89,5,0)</f>
        <v>20.8778455598157</v>
      </c>
      <c r="P16" s="14">
        <f t="shared" si="33"/>
        <v>6.7550152262411558</v>
      </c>
      <c r="Q16" s="22">
        <f t="shared" si="2"/>
        <v>48.127232535715684</v>
      </c>
      <c r="R16" s="62">
        <f t="shared" si="0"/>
        <v>247.66823278733449</v>
      </c>
      <c r="S16" s="62">
        <f ca="1">AVERAGE(OFFSET($R$3,0,0,'Données projet'!$E$9+1,1))-AVERAGE(OFFSET($H$3,0,0,'Données projet'!$E$9+1,1))</f>
        <v>354.90450119887635</v>
      </c>
      <c r="T16" s="62">
        <f t="shared" si="34"/>
        <v>367.95449187183942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8.3024627020365074</v>
      </c>
      <c r="AK16" s="14">
        <f t="shared" si="35"/>
        <v>2.9906343075904238</v>
      </c>
      <c r="AL16" s="22">
        <f t="shared" si="4"/>
        <v>19.668810625100239</v>
      </c>
      <c r="AM16" s="62">
        <f t="shared" si="5"/>
        <v>219.20981087671905</v>
      </c>
      <c r="AN16" s="62">
        <f ca="1">AVERAGE(OFFSET($AM$3,0,0,'Données projet'!$E$10+1,1))-AVERAGE(OFFSET($H$3,0,0,'Données projet'!$E$10+1,1))</f>
        <v>406.87679146534634</v>
      </c>
      <c r="AO16" s="62">
        <f t="shared" si="36"/>
        <v>252.43382636914751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19.266666666666666</v>
      </c>
      <c r="BD16" s="13">
        <f>IF('Données projet'!$A$88&gt;35,BD15+BC16-BL15,IF(A16&lt;'Données projet'!$A$88,$BA$205^A16,IF(A16='Données projet'!$A$88,'Données projet'!$B$88,BD15+BC16-BL15)))</f>
        <v>135.76196972510411</v>
      </c>
      <c r="BE16" s="14">
        <f>BD16*VLOOKUP('Données projet'!$B$11,Paramètres!$A$1:$I$89,3,0)*VLOOKUP('Données projet'!$B$11,Paramètres!$A$1:$I$89,5,0)</f>
        <v>64.595545195204537</v>
      </c>
      <c r="BF16" s="14">
        <f t="shared" si="37"/>
        <v>18.325129569134365</v>
      </c>
      <c r="BG16" s="22">
        <f t="shared" si="7"/>
        <v>144.42017521455691</v>
      </c>
      <c r="BH16" s="62">
        <f t="shared" si="8"/>
        <v>343.96117546617575</v>
      </c>
      <c r="BI16" s="62">
        <f ca="1">AVERAGE(OFFSET($BH$3,0,0,'Données projet'!$E$11+1,1))-AVERAGE(OFFSET($H$3,0,0,'Données projet'!$E$11+1,1))</f>
        <v>62.870522503922729</v>
      </c>
      <c r="BJ16" s="62">
        <f t="shared" si="38"/>
        <v>322.87462304389692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>
        <f>VLOOKUP(A16,'Données projet'!$A$113:$I$133,2,0)</f>
        <v>101</v>
      </c>
      <c r="BW16" s="13">
        <f>VLOOKUP(A16,'Données projet'!$A$113:$I$133,9,0)</f>
        <v>7.7692307692307692</v>
      </c>
      <c r="BX16" s="13">
        <f t="array" ref="BX16">INDEX(BW:BW,MIN(IF(ISNUMBER(BW16:BW212),ROW(BW16:BW212),"")))</f>
        <v>7.7692307692307692</v>
      </c>
      <c r="BY16" s="13">
        <f>IF('Données projet'!$A$114&gt;35,BY15+BX16-CG15,IF(A16&lt;'Données projet'!$A$114,$BV$205^A16,IF(A16='Données projet'!$A$114,'Données projet'!$B$114,BY15+BX16-CG15)))</f>
        <v>101</v>
      </c>
      <c r="BZ16" s="14">
        <f>BY16*VLOOKUP('Données projet'!$B$12,Paramètres!$A$1:$I$89,3,0)*VLOOKUP('Données projet'!$B$12,Paramètres!$A$1:$I$89,5,0)</f>
        <v>60.398000000000003</v>
      </c>
      <c r="CA16" s="14">
        <f t="shared" si="39"/>
        <v>17.26885714728807</v>
      </c>
      <c r="CB16" s="22">
        <f t="shared" si="10"/>
        <v>135.26977619819337</v>
      </c>
      <c r="CC16" s="62">
        <f t="shared" si="11"/>
        <v>334.81077644981218</v>
      </c>
      <c r="CD16" s="62">
        <f ca="1">AVERAGE(OFFSET($CC$3,0,0,'Données projet'!$E$12+1,1))-AVERAGE(OFFSET($H$3,0,0,'Données projet'!$E$12+1,1))</f>
        <v>199.99576079505897</v>
      </c>
      <c r="CE16" s="62">
        <f t="shared" si="40"/>
        <v>407.41464279973172</v>
      </c>
      <c r="CF16" s="16">
        <f>IF(ISNA(VLOOKUP(A16,'Données projet'!$A$113:$I$133,3,0)),0,VLOOKUP(A16,'Données projet'!$A$113:$I$133,3,0))</f>
        <v>1</v>
      </c>
      <c r="CG16" s="16">
        <f>IF(ISNA(VLOOKUP(A16,'Données projet'!$A$113:$I$133,4,0)),0,VLOOKUP(A16,'Données projet'!$A$113:$I$133,4,0))</f>
        <v>28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1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18.958097589783147</v>
      </c>
      <c r="CN16" s="24">
        <f t="shared" si="12"/>
        <v>18.958097589783147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13.8</v>
      </c>
      <c r="CT16" s="13">
        <f>IF('Données projet'!$A$140&gt;35,CT15+CS16-DB15,IF(A16&lt;'Données projet'!$A$140,$CQ$205^A16,IF(A16='Données projet'!$A$140,'Données projet'!$B$140,CT15+CS16-DB15)))</f>
        <v>112.4</v>
      </c>
      <c r="CU16" s="18">
        <f>CT16*VLOOKUP('Données projet'!$B$13,Paramètres!$A$1:$I$89,3,0)*VLOOKUP('Données projet'!$B$13,Paramètres!$A$1:$I$89,5,0)</f>
        <v>101.69951999999999</v>
      </c>
      <c r="CV16" s="14">
        <f t="shared" si="41"/>
        <v>27.366486780557949</v>
      </c>
      <c r="CW16" s="22">
        <f t="shared" si="13"/>
        <v>224.78996180947172</v>
      </c>
      <c r="CX16" s="62">
        <f t="shared" si="14"/>
        <v>424.33096206109053</v>
      </c>
      <c r="CY16" s="62">
        <f ca="1">AVERAGE(OFFSET($CX$3,0,0,'Données projet'!$E$13+1,1))-AVERAGE(OFFSET($H$3,0,0,'Données projet'!$E$13+1,1))</f>
        <v>376.68007030857598</v>
      </c>
      <c r="CZ16" s="62">
        <f t="shared" si="42"/>
        <v>532.90758914457626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6.6</v>
      </c>
      <c r="N17" s="14">
        <f>IF('Données projet'!$A$36&gt;35,N16+M17-V16,IF(A17&lt;'Données projet'!$A$36,$K$205^A17,IF(A17='Données projet'!$A$36,'Données projet'!$B$36,N16+M17-V16)))</f>
        <v>30.50715803683886</v>
      </c>
      <c r="O17" s="14">
        <f>N17*VLOOKUP('Données projet'!$B$9,Paramètres!$A$1:$I$89,3,0)*VLOOKUP('Données projet'!$B$9,Paramètres!$A$1:$I$89,5,0)</f>
        <v>26.651053260982433</v>
      </c>
      <c r="P17" s="14">
        <f t="shared" si="33"/>
        <v>8.3813367159737684</v>
      </c>
      <c r="Q17" s="22">
        <f t="shared" si="2"/>
        <v>61.014745876532061</v>
      </c>
      <c r="R17" s="62">
        <f t="shared" si="0"/>
        <v>263.04460764880525</v>
      </c>
      <c r="S17" s="62">
        <f ca="1">AVERAGE(OFFSET($R$3,0,0,'Données projet'!$E$9+1,1))-AVERAGE(OFFSET($H$3,0,0,'Données projet'!$E$9+1,1))</f>
        <v>354.90450119887635</v>
      </c>
      <c r="T17" s="62">
        <f t="shared" si="34"/>
        <v>367.95449187183942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9.8459418657141011</v>
      </c>
      <c r="AK17" s="14">
        <f t="shared" si="35"/>
        <v>3.4769159009359916</v>
      </c>
      <c r="AL17" s="22">
        <f t="shared" si="4"/>
        <v>23.203977276915577</v>
      </c>
      <c r="AM17" s="62">
        <f t="shared" si="5"/>
        <v>225.23383904918876</v>
      </c>
      <c r="AN17" s="62">
        <f ca="1">AVERAGE(OFFSET($AM$3,0,0,'Données projet'!$E$10+1,1))-AVERAGE(OFFSET($H$3,0,0,'Données projet'!$E$10+1,1))</f>
        <v>406.87679146534634</v>
      </c>
      <c r="AO17" s="62">
        <f t="shared" si="36"/>
        <v>252.43382636914751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19.266666666666666</v>
      </c>
      <c r="BD17" s="13">
        <f>IF('Données projet'!$A$88&gt;35,BD16+BC17-BL16,IF(A17&lt;'Données projet'!$A$88,$BA$205^A17,IF(A17='Données projet'!$A$88,'Données projet'!$B$88,BD16+BC17-BL16)))</f>
        <v>198.07879556013853</v>
      </c>
      <c r="BE17" s="14">
        <f>BD17*VLOOKUP('Données projet'!$B$11,Paramètres!$A$1:$I$89,3,0)*VLOOKUP('Données projet'!$B$11,Paramètres!$A$1:$I$89,5,0)</f>
        <v>94.245890927513912</v>
      </c>
      <c r="BF17" s="14">
        <f t="shared" si="37"/>
        <v>25.586468217385711</v>
      </c>
      <c r="BG17" s="22">
        <f t="shared" si="7"/>
        <v>208.70802551070017</v>
      </c>
      <c r="BH17" s="62">
        <f t="shared" si="8"/>
        <v>410.73788728297336</v>
      </c>
      <c r="BI17" s="62">
        <f ca="1">AVERAGE(OFFSET($BH$3,0,0,'Données projet'!$E$11+1,1))-AVERAGE(OFFSET($H$3,0,0,'Données projet'!$E$11+1,1))</f>
        <v>62.870522503922729</v>
      </c>
      <c r="BJ17" s="62">
        <f t="shared" si="38"/>
        <v>322.87462304389692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18.600000000000001</v>
      </c>
      <c r="BY17" s="13">
        <f>IF('Données projet'!$A$114&gt;35,BY16+BX17-CG16,IF(A17&lt;'Données projet'!$A$114,$BV$205^A17,IF(A17='Données projet'!$A$114,'Données projet'!$B$114,BY16+BX17-CG16)))</f>
        <v>91.6</v>
      </c>
      <c r="BZ17" s="14">
        <f>BY17*VLOOKUP('Données projet'!$B$12,Paramètres!$A$1:$I$89,3,0)*VLOOKUP('Données projet'!$B$12,Paramètres!$A$1:$I$89,5,0)</f>
        <v>54.776799999999994</v>
      </c>
      <c r="CA17" s="14">
        <f t="shared" si="39"/>
        <v>15.840762095818524</v>
      </c>
      <c r="CB17" s="22">
        <f t="shared" si="10"/>
        <v>122.99225398355058</v>
      </c>
      <c r="CC17" s="62">
        <f t="shared" si="11"/>
        <v>325.02211575582379</v>
      </c>
      <c r="CD17" s="62">
        <f ca="1">AVERAGE(OFFSET($CC$3,0,0,'Données projet'!$E$12+1,1))-AVERAGE(OFFSET($H$3,0,0,'Données projet'!$E$12+1,1))</f>
        <v>199.99576079505897</v>
      </c>
      <c r="CE17" s="62">
        <f t="shared" si="40"/>
        <v>407.41464279973172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13.405399364132007</v>
      </c>
      <c r="CN17" s="24">
        <f t="shared" si="12"/>
        <v>13.405399364132007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13.8</v>
      </c>
      <c r="CT17" s="13">
        <f>IF('Données projet'!$A$140&gt;35,CT16+CS17-DB16,IF(A17&lt;'Données projet'!$A$140,$CQ$205^A17,IF(A17='Données projet'!$A$140,'Données projet'!$B$140,CT16+CS17-DB16)))</f>
        <v>126.2</v>
      </c>
      <c r="CU17" s="18">
        <f>CT17*VLOOKUP('Données projet'!$B$13,Paramètres!$A$1:$I$89,3,0)*VLOOKUP('Données projet'!$B$13,Paramètres!$A$1:$I$89,5,0)</f>
        <v>114.18576</v>
      </c>
      <c r="CV17" s="14">
        <f t="shared" si="41"/>
        <v>30.315028515433259</v>
      </c>
      <c r="CW17" s="22">
        <f t="shared" si="13"/>
        <v>251.67220666437959</v>
      </c>
      <c r="CX17" s="62">
        <f t="shared" si="14"/>
        <v>453.70206843665278</v>
      </c>
      <c r="CY17" s="62">
        <f ca="1">AVERAGE(OFFSET($CX$3,0,0,'Données projet'!$E$13+1,1))-AVERAGE(OFFSET($H$3,0,0,'Données projet'!$E$13+1,1))</f>
        <v>376.68007030857598</v>
      </c>
      <c r="CZ17" s="62">
        <f t="shared" si="42"/>
        <v>532.90758914457626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6.6</v>
      </c>
      <c r="N18" s="14">
        <f>IF('Données projet'!$A$36&gt;35,N17+M18-V17,IF(A18&lt;'Données projet'!$A$36,$K$205^A18,IF(A18='Données projet'!$A$36,'Données projet'!$B$36,N17+M18-V17)))</f>
        <v>38.943093594192561</v>
      </c>
      <c r="O18" s="14">
        <f>N18*VLOOKUP('Données projet'!$B$9,Paramètres!$A$1:$I$89,3,0)*VLOOKUP('Données projet'!$B$9,Paramètres!$A$1:$I$89,5,0)</f>
        <v>34.02068656388662</v>
      </c>
      <c r="P18" s="14">
        <f t="shared" si="33"/>
        <v>10.399207521197393</v>
      </c>
      <c r="Q18" s="22">
        <f t="shared" si="2"/>
        <v>77.364648864854644</v>
      </c>
      <c r="R18" s="62">
        <f t="shared" si="0"/>
        <v>281.86139879773566</v>
      </c>
      <c r="S18" s="62">
        <f ca="1">AVERAGE(OFFSET($R$3,0,0,'Données projet'!$E$9+1,1))-AVERAGE(OFFSET($H$3,0,0,'Données projet'!$E$9+1,1))</f>
        <v>354.90450119887635</v>
      </c>
      <c r="T18" s="62">
        <f t="shared" si="34"/>
        <v>367.95449187183942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11.676363351712819</v>
      </c>
      <c r="AK18" s="14">
        <f t="shared" si="35"/>
        <v>4.0422676057380276</v>
      </c>
      <c r="AL18" s="22">
        <f t="shared" si="4"/>
        <v>27.376615584226887</v>
      </c>
      <c r="AM18" s="62">
        <f t="shared" si="5"/>
        <v>231.87336551710794</v>
      </c>
      <c r="AN18" s="62">
        <f ca="1">AVERAGE(OFFSET($AM$3,0,0,'Données projet'!$E$10+1,1))-AVERAGE(OFFSET($H$3,0,0,'Données projet'!$E$10+1,1))</f>
        <v>406.87679146534634</v>
      </c>
      <c r="AO18" s="62">
        <f t="shared" si="36"/>
        <v>252.43382636914751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289</v>
      </c>
      <c r="BB18" s="13">
        <f>VLOOKUP(A18,'Données projet'!$A$87:$I$107,9,0)</f>
        <v>19.266666666666666</v>
      </c>
      <c r="BC18" s="13">
        <f t="array" ref="BC18">INDEX(BB:BB,MIN(IF(ISNUMBER(BB18:BB214),ROW(BB18:BB214),"")))</f>
        <v>19.266666666666666</v>
      </c>
      <c r="BD18" s="13">
        <f>IF('Données projet'!$A$88&gt;35,BD17+BC18-BL17,IF(A18&lt;'Données projet'!$A$88,$BA$205^A18,IF(A18='Données projet'!$A$88,'Données projet'!$B$88,BD17+BC18-BL17)))</f>
        <v>289</v>
      </c>
      <c r="BE18" s="14">
        <f>BD18*VLOOKUP('Données projet'!$B$11,Paramètres!$A$1:$I$89,3,0)*VLOOKUP('Données projet'!$B$11,Paramètres!$A$1:$I$89,5,0)</f>
        <v>137.50620000000001</v>
      </c>
      <c r="BF18" s="14">
        <f t="shared" si="37"/>
        <v>35.725114704889521</v>
      </c>
      <c r="BG18" s="22">
        <f t="shared" si="7"/>
        <v>301.71120644434927</v>
      </c>
      <c r="BH18" s="62">
        <f t="shared" si="8"/>
        <v>506.20795637723029</v>
      </c>
      <c r="BI18" s="62">
        <f ca="1">AVERAGE(OFFSET($BH$3,0,0,'Données projet'!$E$11+1,1))-AVERAGE(OFFSET($H$3,0,0,'Données projet'!$E$11+1,1))</f>
        <v>62.870522503922729</v>
      </c>
      <c r="BJ18" s="62">
        <f t="shared" si="38"/>
        <v>322.87462304389692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289</v>
      </c>
      <c r="BM18" s="17">
        <f>IF(ISNA(VLOOKUP(A18,'Données projet'!$A$87:$I$107,5,0)),0%,VLOOKUP(A18,'Données projet'!$A$87:$I$107,5,0)*VLOOKUP('Données projet'!$B$11,Paramètres!$A$1:$I$89,7,0))</f>
        <v>0.46199999999999997</v>
      </c>
      <c r="BN18" s="17">
        <f>IF(ISNA(VLOOKUP(A18,'Données projet'!$A$87:$I$107,6,0)),0%,VLOOKUP(A18,'Données projet'!$A$87:$I$107,6,0)*VLOOKUP('Données projet'!$B$11,Paramètres!$A$1:$I$89,7,0))</f>
        <v>0.126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70.228172369185785</v>
      </c>
      <c r="BQ18" s="23">
        <f>EXP(-LN(2)/25)*BQ17+(1-EXP(-LN(2)/25))/(LN(2)/25)*Calculateur!BL18*Calculateur!BN18*VLOOKUP('Données projet'!$B$11,Paramètres!$A$1:$I$89,3,0)*0.475*44/12</f>
        <v>19.077724716964571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89.305897086150352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18.600000000000001</v>
      </c>
      <c r="BY18" s="13">
        <f>IF('Données projet'!$A$114&gt;35,BY17+BX18-CG17,IF(A18&lt;'Données projet'!$A$114,$BV$205^A18,IF(A18='Données projet'!$A$114,'Données projet'!$B$114,BY17+BX18-CG17)))</f>
        <v>110.19999999999999</v>
      </c>
      <c r="BZ18" s="14">
        <f>BY18*VLOOKUP('Données projet'!$B$12,Paramètres!$A$1:$I$89,3,0)*VLOOKUP('Données projet'!$B$12,Paramètres!$A$1:$I$89,5,0)</f>
        <v>65.899600000000007</v>
      </c>
      <c r="CA18" s="14">
        <f t="shared" si="39"/>
        <v>18.651634138580526</v>
      </c>
      <c r="CB18" s="22">
        <f t="shared" si="10"/>
        <v>147.26006612469442</v>
      </c>
      <c r="CC18" s="62">
        <f t="shared" si="11"/>
        <v>351.75681605757546</v>
      </c>
      <c r="CD18" s="62">
        <f ca="1">AVERAGE(OFFSET($CC$3,0,0,'Données projet'!$E$12+1,1))-AVERAGE(OFFSET($H$3,0,0,'Données projet'!$E$12+1,1))</f>
        <v>199.99576079505897</v>
      </c>
      <c r="CE18" s="62">
        <f t="shared" si="40"/>
        <v>407.41464279973172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9.4790487948915754</v>
      </c>
      <c r="CN18" s="24">
        <f t="shared" si="12"/>
        <v>9.4790487948915754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140</v>
      </c>
      <c r="CR18" s="13">
        <f>VLOOKUP(A18,'Données projet'!$A$139:$I$159,9,0)</f>
        <v>13.8</v>
      </c>
      <c r="CS18" s="13">
        <f t="array" ref="CS18">INDEX(CR:CR,MIN(IF(ISNUMBER(CR18:CR214),ROW(CR18:CR214),"")))</f>
        <v>13.8</v>
      </c>
      <c r="CT18" s="13">
        <f>IF('Données projet'!$A$140&gt;35,CT17+CS18-DB17,IF(A18&lt;'Données projet'!$A$140,$CQ$205^A18,IF(A18='Données projet'!$A$140,'Données projet'!$B$140,CT17+CS18-DB17)))</f>
        <v>140</v>
      </c>
      <c r="CU18" s="18">
        <f>CT18*VLOOKUP('Données projet'!$B$13,Paramètres!$A$1:$I$89,3,0)*VLOOKUP('Données projet'!$B$13,Paramètres!$A$1:$I$89,5,0)</f>
        <v>126.67199999999998</v>
      </c>
      <c r="CV18" s="14">
        <f t="shared" si="41"/>
        <v>33.226199426361347</v>
      </c>
      <c r="CW18" s="22">
        <f t="shared" si="13"/>
        <v>278.48936400091264</v>
      </c>
      <c r="CX18" s="62">
        <f t="shared" si="14"/>
        <v>482.98611393379372</v>
      </c>
      <c r="CY18" s="62">
        <f ca="1">AVERAGE(OFFSET($CX$3,0,0,'Données projet'!$E$13+1,1))-AVERAGE(OFFSET($H$3,0,0,'Données projet'!$E$13+1,1))</f>
        <v>376.68007030857598</v>
      </c>
      <c r="CZ18" s="62">
        <f t="shared" si="42"/>
        <v>532.90758914457626</v>
      </c>
      <c r="DA18" s="16">
        <f>IF(ISNA(VLOOKUP(A18,'Données projet'!$A$139:$I$159,3,0)),0,VLOOKUP(A18,'Données projet'!$A$139:$I$159,3,0))</f>
        <v>3</v>
      </c>
      <c r="DB18" s="16">
        <f>IF(ISNA(VLOOKUP(A18,'Données projet'!$A$139:$I$159,4,0)),0,VLOOKUP(A18,'Données projet'!$A$139:$I$159,4,0))</f>
        <v>23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6.6</v>
      </c>
      <c r="N19" s="14">
        <f>IF('Données projet'!$A$36&gt;35,N18+M19-V18,IF(A19&lt;'Données projet'!$A$36,$K$205^A19,IF(A19='Données projet'!$A$36,'Données projet'!$B$36,N18+M19-V18)))</f>
        <v>49.711760658095955</v>
      </c>
      <c r="O19" s="14">
        <f>N19*VLOOKUP('Données projet'!$B$9,Paramètres!$A$1:$I$89,3,0)*VLOOKUP('Données projet'!$B$9,Paramètres!$A$1:$I$89,5,0)</f>
        <v>43.428194110912635</v>
      </c>
      <c r="P19" s="14">
        <f t="shared" si="33"/>
        <v>12.902896129065022</v>
      </c>
      <c r="Q19" s="22">
        <f t="shared" si="2"/>
        <v>98.109982167961064</v>
      </c>
      <c r="R19" s="62">
        <f t="shared" si="0"/>
        <v>305.05202809007511</v>
      </c>
      <c r="S19" s="62">
        <f ca="1">AVERAGE(OFFSET($R$3,0,0,'Données projet'!$E$9+1,1))-AVERAGE(OFFSET($H$3,0,0,'Données projet'!$E$9+1,1))</f>
        <v>354.90450119887635</v>
      </c>
      <c r="T19" s="62">
        <f t="shared" si="34"/>
        <v>367.95449187183942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13.847071512374203</v>
      </c>
      <c r="AK19" s="14">
        <f t="shared" si="35"/>
        <v>4.6995463399043667</v>
      </c>
      <c r="AL19" s="22">
        <f t="shared" si="4"/>
        <v>32.302026092718499</v>
      </c>
      <c r="AM19" s="62">
        <f t="shared" si="5"/>
        <v>239.24407201483257</v>
      </c>
      <c r="AN19" s="62">
        <f ca="1">AVERAGE(OFFSET($AM$3,0,0,'Données projet'!$E$10+1,1))-AVERAGE(OFFSET($H$3,0,0,'Données projet'!$E$10+1,1))</f>
        <v>406.87679146534634</v>
      </c>
      <c r="AO19" s="62">
        <f t="shared" si="36"/>
        <v>252.43382636914751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>
        <f>BD19*VLOOKUP('Données projet'!$B$11,Paramètres!$A$1:$I$89,3,0)*VLOOKUP('Données projet'!$B$11,Paramètres!$A$1:$I$89,5,0)</f>
        <v>0</v>
      </c>
      <c r="BF19" s="14" t="e">
        <f t="shared" si="37"/>
        <v>#NUM!</v>
      </c>
      <c r="BG19" s="22" t="e">
        <f t="shared" si="7"/>
        <v>#NUM!</v>
      </c>
      <c r="BH19" s="62" t="e">
        <f t="shared" si="8"/>
        <v>#NUM!</v>
      </c>
      <c r="BI19" s="62">
        <f ca="1">AVERAGE(OFFSET($BH$3,0,0,'Données projet'!$E$11+1,1))-AVERAGE(OFFSET($H$3,0,0,'Données projet'!$E$11+1,1))</f>
        <v>62.870522503922729</v>
      </c>
      <c r="BJ19" s="62">
        <f t="shared" si="38"/>
        <v>322.87462304389692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68.851040743981599</v>
      </c>
      <c r="BQ19" s="23">
        <f>EXP(-LN(2)/25)*BQ18+(1-EXP(-LN(2)/25))/(LN(2)/25)*Calculateur!BL19*Calculateur!BN19*VLOOKUP('Données projet'!$B$11,Paramètres!$A$1:$I$89,3,0)*0.475*44/12</f>
        <v>18.556043331325235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87.407084075306841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18.600000000000001</v>
      </c>
      <c r="BY19" s="13">
        <f>IF('Données projet'!$A$114&gt;35,BY18+BX19-CG18,IF(A19&lt;'Données projet'!$A$114,$BV$205^A19,IF(A19='Données projet'!$A$114,'Données projet'!$B$114,BY18+BX19-CG18)))</f>
        <v>128.79999999999998</v>
      </c>
      <c r="BZ19" s="14">
        <f>BY19*VLOOKUP('Données projet'!$B$12,Paramètres!$A$1:$I$89,3,0)*VLOOKUP('Données projet'!$B$12,Paramètres!$A$1:$I$89,5,0)</f>
        <v>77.022400000000005</v>
      </c>
      <c r="CA19" s="14">
        <f t="shared" si="39"/>
        <v>21.407546084466961</v>
      </c>
      <c r="CB19" s="22">
        <f t="shared" si="10"/>
        <v>171.43215609711328</v>
      </c>
      <c r="CC19" s="62">
        <f t="shared" si="11"/>
        <v>378.37420201922737</v>
      </c>
      <c r="CD19" s="62">
        <f ca="1">AVERAGE(OFFSET($CC$3,0,0,'Données projet'!$E$12+1,1))-AVERAGE(OFFSET($H$3,0,0,'Données projet'!$E$12+1,1))</f>
        <v>199.99576079505897</v>
      </c>
      <c r="CE19" s="62">
        <f t="shared" si="40"/>
        <v>407.41464279973172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6.7026996820660045</v>
      </c>
      <c r="CN19" s="24">
        <f t="shared" si="12"/>
        <v>6.7026996820660045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12.6</v>
      </c>
      <c r="CT19" s="13">
        <f>IF('Données projet'!$A$140&gt;35,CT18+CS19-DB18,IF(A19&lt;'Données projet'!$A$140,$CQ$205^A19,IF(A19='Données projet'!$A$140,'Données projet'!$B$140,CT18+CS19-DB18)))</f>
        <v>129.6</v>
      </c>
      <c r="CU19" s="18">
        <f>CT19*VLOOKUP('Données projet'!$B$13,Paramètres!$A$1:$I$89,3,0)*VLOOKUP('Données projet'!$B$13,Paramètres!$A$1:$I$89,5,0)</f>
        <v>117.26208</v>
      </c>
      <c r="CV19" s="14">
        <f t="shared" si="41"/>
        <v>31.035569170075775</v>
      </c>
      <c r="CW19" s="22">
        <f t="shared" si="13"/>
        <v>258.28507230454863</v>
      </c>
      <c r="CX19" s="62">
        <f t="shared" si="14"/>
        <v>465.2271182266627</v>
      </c>
      <c r="CY19" s="62">
        <f ca="1">AVERAGE(OFFSET($CX$3,0,0,'Données projet'!$E$13+1,1))-AVERAGE(OFFSET($H$3,0,0,'Données projet'!$E$13+1,1))</f>
        <v>376.68007030857598</v>
      </c>
      <c r="CZ19" s="62">
        <f t="shared" si="42"/>
        <v>532.90758914457626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6.6</v>
      </c>
      <c r="N20" s="14">
        <f>IF('Données projet'!$A$36&gt;35,N19+M20-V19,IF(A20&lt;'Données projet'!$A$36,$K$205^A20,IF(A20='Données projet'!$A$36,'Données projet'!$B$36,N19+M20-V19)))</f>
        <v>63.458213501978861</v>
      </c>
      <c r="O20" s="14">
        <f>N20*VLOOKUP('Données projet'!$B$9,Paramètres!$A$1:$I$89,3,0)*VLOOKUP('Données projet'!$B$9,Paramètres!$A$1:$I$89,5,0)</f>
        <v>55.437095315328747</v>
      </c>
      <c r="P20" s="14">
        <f t="shared" si="33"/>
        <v>16.009366884744278</v>
      </c>
      <c r="Q20" s="22">
        <f t="shared" si="2"/>
        <v>124.4359216651272</v>
      </c>
      <c r="R20" s="62">
        <f t="shared" si="0"/>
        <v>333.80204598099994</v>
      </c>
      <c r="S20" s="62">
        <f ca="1">AVERAGE(OFFSET($R$3,0,0,'Données projet'!$E$9+1,1))-AVERAGE(OFFSET($H$3,0,0,'Données projet'!$E$9+1,1))</f>
        <v>354.90450119887635</v>
      </c>
      <c r="T20" s="62">
        <f t="shared" si="34"/>
        <v>367.95449187183942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16.421327745053297</v>
      </c>
      <c r="AK20" s="14">
        <f t="shared" si="35"/>
        <v>5.4636995753466904</v>
      </c>
      <c r="AL20" s="22">
        <f t="shared" si="4"/>
        <v>38.11642258302998</v>
      </c>
      <c r="AM20" s="62">
        <f t="shared" si="5"/>
        <v>247.48254689890271</v>
      </c>
      <c r="AN20" s="62">
        <f ca="1">AVERAGE(OFFSET($AM$3,0,0,'Données projet'!$E$10+1,1))-AVERAGE(OFFSET($H$3,0,0,'Données projet'!$E$10+1,1))</f>
        <v>406.87679146534634</v>
      </c>
      <c r="AO20" s="62">
        <f t="shared" si="36"/>
        <v>252.43382636914751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>
        <f>BD20*VLOOKUP('Données projet'!$B$11,Paramètres!$A$1:$I$89,3,0)*VLOOKUP('Données projet'!$B$11,Paramètres!$A$1:$I$89,5,0)</f>
        <v>0</v>
      </c>
      <c r="BF20" s="14" t="e">
        <f t="shared" si="37"/>
        <v>#NUM!</v>
      </c>
      <c r="BG20" s="22" t="e">
        <f t="shared" si="7"/>
        <v>#NUM!</v>
      </c>
      <c r="BH20" s="62" t="e">
        <f t="shared" si="8"/>
        <v>#NUM!</v>
      </c>
      <c r="BI20" s="62">
        <f ca="1">AVERAGE(OFFSET($BH$3,0,0,'Données projet'!$E$11+1,1))-AVERAGE(OFFSET($H$3,0,0,'Données projet'!$E$11+1,1))</f>
        <v>62.870522503922729</v>
      </c>
      <c r="BJ20" s="62">
        <f t="shared" si="38"/>
        <v>322.87462304389692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67.50091382998032</v>
      </c>
      <c r="BQ20" s="23">
        <f>EXP(-LN(2)/25)*BQ19+(1-EXP(-LN(2)/25))/(LN(2)/25)*Calculateur!BL20*Calculateur!BN20*VLOOKUP('Données projet'!$B$11,Paramètres!$A$1:$I$89,3,0)*0.475*44/12</f>
        <v>18.048627350610239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85.549541180590552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18.600000000000001</v>
      </c>
      <c r="BY20" s="13">
        <f>IF('Données projet'!$A$114&gt;35,BY19+BX20-CG19,IF(A20&lt;'Données projet'!$A$114,$BV$205^A20,IF(A20='Données projet'!$A$114,'Données projet'!$B$114,BY19+BX20-CG19)))</f>
        <v>147.39999999999998</v>
      </c>
      <c r="BZ20" s="14">
        <f>BY20*VLOOKUP('Données projet'!$B$12,Paramètres!$A$1:$I$89,3,0)*VLOOKUP('Données projet'!$B$12,Paramètres!$A$1:$I$89,5,0)</f>
        <v>88.145199999999988</v>
      </c>
      <c r="CA20" s="14">
        <f t="shared" si="39"/>
        <v>24.117351189004136</v>
      </c>
      <c r="CB20" s="22">
        <f t="shared" si="10"/>
        <v>195.52394332084884</v>
      </c>
      <c r="CC20" s="62">
        <f t="shared" si="11"/>
        <v>404.8900676367216</v>
      </c>
      <c r="CD20" s="62">
        <f ca="1">AVERAGE(OFFSET($CC$3,0,0,'Données projet'!$E$12+1,1))-AVERAGE(OFFSET($H$3,0,0,'Données projet'!$E$12+1,1))</f>
        <v>199.99576079505897</v>
      </c>
      <c r="CE20" s="62">
        <f t="shared" si="40"/>
        <v>407.41464279973172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4.7395243974457886</v>
      </c>
      <c r="CN20" s="24">
        <f t="shared" si="12"/>
        <v>4.7395243974457886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12.6</v>
      </c>
      <c r="CT20" s="13">
        <f>IF('Données projet'!$A$140&gt;35,CT19+CS20-DB19,IF(A20&lt;'Données projet'!$A$140,$CQ$205^A20,IF(A20='Données projet'!$A$140,'Données projet'!$B$140,CT19+CS20-DB19)))</f>
        <v>142.19999999999999</v>
      </c>
      <c r="CU20" s="18">
        <f>CT20*VLOOKUP('Données projet'!$B$13,Paramètres!$A$1:$I$89,3,0)*VLOOKUP('Données projet'!$B$13,Paramètres!$A$1:$I$89,5,0)</f>
        <v>128.66255999999998</v>
      </c>
      <c r="CV20" s="14">
        <f t="shared" si="41"/>
        <v>33.687130461083775</v>
      </c>
      <c r="CW20" s="22">
        <f t="shared" si="13"/>
        <v>282.75904421972086</v>
      </c>
      <c r="CX20" s="62">
        <f t="shared" si="14"/>
        <v>492.12516853559362</v>
      </c>
      <c r="CY20" s="62">
        <f ca="1">AVERAGE(OFFSET($CX$3,0,0,'Données projet'!$E$13+1,1))-AVERAGE(OFFSET($H$3,0,0,'Données projet'!$E$13+1,1))</f>
        <v>376.68007030857598</v>
      </c>
      <c r="CZ20" s="62">
        <f t="shared" si="42"/>
        <v>532.90758914457626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6.6</v>
      </c>
      <c r="N21" s="14">
        <f>IF('Données projet'!$A$36&gt;35,N20+M21-V20,IF(A21&lt;'Données projet'!$A$36,$K$205^A21,IF(A21='Données projet'!$A$36,'Données projet'!$B$36,N20+M21-V20)))</f>
        <v>81.005878841406769</v>
      </c>
      <c r="O21" s="14">
        <f>N21*VLOOKUP('Données projet'!$B$9,Paramètres!$A$1:$I$89,3,0)*VLOOKUP('Données projet'!$B$9,Paramètres!$A$1:$I$89,5,0)</f>
        <v>70.766735755852963</v>
      </c>
      <c r="P21" s="14">
        <f t="shared" si="33"/>
        <v>19.863744192515547</v>
      </c>
      <c r="Q21" s="22">
        <f t="shared" si="2"/>
        <v>157.84808591007513</v>
      </c>
      <c r="R21" s="62">
        <f t="shared" si="0"/>
        <v>369.61743910207827</v>
      </c>
      <c r="S21" s="62">
        <f ca="1">AVERAGE(OFFSET($R$3,0,0,'Données projet'!$E$9+1,1))-AVERAGE(OFFSET($H$3,0,0,'Données projet'!$E$9+1,1))</f>
        <v>354.90450119887635</v>
      </c>
      <c r="T21" s="62">
        <f t="shared" si="34"/>
        <v>367.95449187183942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19.474154132119562</v>
      </c>
      <c r="AK21" s="14">
        <f t="shared" si="35"/>
        <v>6.3521052651756742</v>
      </c>
      <c r="AL21" s="22">
        <f t="shared" si="4"/>
        <v>44.980735116955863</v>
      </c>
      <c r="AM21" s="62">
        <f t="shared" si="5"/>
        <v>256.75008830895899</v>
      </c>
      <c r="AN21" s="62">
        <f ca="1">AVERAGE(OFFSET($AM$3,0,0,'Données projet'!$E$10+1,1))-AVERAGE(OFFSET($H$3,0,0,'Données projet'!$E$10+1,1))</f>
        <v>406.87679146534634</v>
      </c>
      <c r="AO21" s="62">
        <f t="shared" si="36"/>
        <v>252.43382636914751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>
        <f>BD21*VLOOKUP('Données projet'!$B$11,Paramètres!$A$1:$I$89,3,0)*VLOOKUP('Données projet'!$B$11,Paramètres!$A$1:$I$89,5,0)</f>
        <v>0</v>
      </c>
      <c r="BF21" s="14" t="e">
        <f t="shared" si="37"/>
        <v>#NUM!</v>
      </c>
      <c r="BG21" s="22" t="e">
        <f t="shared" si="7"/>
        <v>#NUM!</v>
      </c>
      <c r="BH21" s="62" t="e">
        <f t="shared" si="8"/>
        <v>#NUM!</v>
      </c>
      <c r="BI21" s="62">
        <f ca="1">AVERAGE(OFFSET($BH$3,0,0,'Données projet'!$E$11+1,1))-AVERAGE(OFFSET($H$3,0,0,'Données projet'!$E$11+1,1))</f>
        <v>62.870522503922729</v>
      </c>
      <c r="BJ21" s="62">
        <f t="shared" si="38"/>
        <v>322.87462304389692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66.177262081266491</v>
      </c>
      <c r="BQ21" s="23">
        <f>EXP(-LN(2)/25)*BQ20+(1-EXP(-LN(2)/25))/(LN(2)/25)*Calculateur!BL21*Calculateur!BN21*VLOOKUP('Données projet'!$B$11,Paramètres!$A$1:$I$89,3,0)*0.475*44/12</f>
        <v>17.555086686571741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83.732348767838232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166</v>
      </c>
      <c r="BW21" s="13">
        <f>VLOOKUP(A21,'Données projet'!$A$113:$I$133,9,0)</f>
        <v>18.600000000000001</v>
      </c>
      <c r="BX21" s="13">
        <f t="array" ref="BX21">INDEX(BW:BW,MIN(IF(ISNUMBER(BW21:BW217),ROW(BW21:BW217),"")))</f>
        <v>18.600000000000001</v>
      </c>
      <c r="BY21" s="13">
        <f>IF('Données projet'!$A$114&gt;35,BY20+BX21-CG20,IF(A21&lt;'Données projet'!$A$114,$BV$205^A21,IF(A21='Données projet'!$A$114,'Données projet'!$B$114,BY20+BX21-CG20)))</f>
        <v>165.99999999999997</v>
      </c>
      <c r="BZ21" s="14">
        <f>BY21*VLOOKUP('Données projet'!$B$12,Paramètres!$A$1:$I$89,3,0)*VLOOKUP('Données projet'!$B$12,Paramètres!$A$1:$I$89,5,0)</f>
        <v>99.267999999999986</v>
      </c>
      <c r="CA21" s="14">
        <f t="shared" si="39"/>
        <v>26.78753414535981</v>
      </c>
      <c r="CB21" s="22">
        <f t="shared" si="10"/>
        <v>219.54672196983498</v>
      </c>
      <c r="CC21" s="62">
        <f t="shared" si="11"/>
        <v>431.31607516183806</v>
      </c>
      <c r="CD21" s="62">
        <f ca="1">AVERAGE(OFFSET($CC$3,0,0,'Données projet'!$E$12+1,1))-AVERAGE(OFFSET($H$3,0,0,'Données projet'!$E$12+1,1))</f>
        <v>199.99576079505897</v>
      </c>
      <c r="CE21" s="62">
        <f t="shared" si="40"/>
        <v>407.41464279973172</v>
      </c>
      <c r="CF21" s="16">
        <f>IF(ISNA(VLOOKUP(A21,'Données projet'!$A$113:$I$133,3,0)),0,VLOOKUP(A21,'Données projet'!$A$113:$I$133,3,0))</f>
        <v>2</v>
      </c>
      <c r="CG21" s="16">
        <f>IF(ISNA(VLOOKUP(A21,'Données projet'!$A$113:$I$133,4,0)),0,VLOOKUP(A21,'Données projet'!$A$113:$I$133,4,0))</f>
        <v>40</v>
      </c>
      <c r="CH21" s="17">
        <f>IF(ISNA(VLOOKUP(A21,'Données projet'!$A$113:$I$133,5,0)),0%,VLOOKUP(A21,'Données projet'!$A$113:$I$133,5,0)*VLOOKUP('Données projet'!$B$12,Paramètres!$A$1:$I$89,7,0))</f>
        <v>0.1125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0.75</v>
      </c>
      <c r="CK21" s="23">
        <f>EXP(-LN(2)/35)*CK20+(1-EXP(-LN(2)/35))/(LN(2)/35)*CG21*CH21*VLOOKUP('Données projet'!$B$12,Paramètres!$A$1:$I$89,3,0)*0.475*44/12</f>
        <v>3.5697849495878025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23.663597258657802</v>
      </c>
      <c r="CN21" s="24">
        <f t="shared" si="12"/>
        <v>27.233382208245605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12.6</v>
      </c>
      <c r="CT21" s="13">
        <f>IF('Données projet'!$A$140&gt;35,CT20+CS21-DB20,IF(A21&lt;'Données projet'!$A$140,$CQ$205^A21,IF(A21='Données projet'!$A$140,'Données projet'!$B$140,CT20+CS21-DB20)))</f>
        <v>154.79999999999998</v>
      </c>
      <c r="CU21" s="18">
        <f>CT21*VLOOKUP('Données projet'!$B$13,Paramètres!$A$1:$I$89,3,0)*VLOOKUP('Données projet'!$B$13,Paramètres!$A$1:$I$89,5,0)</f>
        <v>140.06303999999997</v>
      </c>
      <c r="CV21" s="14">
        <f t="shared" si="41"/>
        <v>36.31144669536954</v>
      </c>
      <c r="CW21" s="22">
        <f t="shared" si="13"/>
        <v>307.18556432776853</v>
      </c>
      <c r="CX21" s="62">
        <f t="shared" si="14"/>
        <v>518.9549175197717</v>
      </c>
      <c r="CY21" s="62">
        <f ca="1">AVERAGE(OFFSET($CX$3,0,0,'Données projet'!$E$13+1,1))-AVERAGE(OFFSET($H$3,0,0,'Données projet'!$E$13+1,1))</f>
        <v>376.68007030857598</v>
      </c>
      <c r="CZ21" s="62">
        <f t="shared" si="42"/>
        <v>532.90758914457626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6.6</v>
      </c>
      <c r="N22" s="14">
        <f>IF('Données projet'!$A$36&gt;35,N21+M22-V21,IF(A22&lt;'Données projet'!$A$36,$K$205^A22,IF(A22='Données projet'!$A$36,'Données projet'!$B$36,N21+M22-V21)))</f>
        <v>103.40587994435182</v>
      </c>
      <c r="O22" s="14">
        <f>N22*VLOOKUP('Données projet'!$B$9,Paramètres!$A$1:$I$89,3,0)*VLOOKUP('Données projet'!$B$9,Paramètres!$A$1:$I$89,5,0)</f>
        <v>90.335376719385764</v>
      </c>
      <c r="P22" s="14">
        <f t="shared" si="33"/>
        <v>24.646092265003244</v>
      </c>
      <c r="Q22" s="22">
        <f t="shared" si="2"/>
        <v>200.25939181447754</v>
      </c>
      <c r="R22" s="62">
        <f t="shared" si="0"/>
        <v>414.41148605750107</v>
      </c>
      <c r="S22" s="62">
        <f ca="1">AVERAGE(OFFSET($R$3,0,0,'Données projet'!$E$9+1,1))-AVERAGE(OFFSET($H$3,0,0,'Données projet'!$E$9+1,1))</f>
        <v>354.90450119887635</v>
      </c>
      <c r="T22" s="62">
        <f t="shared" si="34"/>
        <v>367.95449187183942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23.094519825036141</v>
      </c>
      <c r="AK22" s="14">
        <f t="shared" si="35"/>
        <v>7.3849670435644734</v>
      </c>
      <c r="AL22" s="22">
        <f t="shared" si="4"/>
        <v>53.085106296146058</v>
      </c>
      <c r="AM22" s="62">
        <f t="shared" si="5"/>
        <v>267.23720053916958</v>
      </c>
      <c r="AN22" s="62">
        <f ca="1">AVERAGE(OFFSET($AM$3,0,0,'Données projet'!$E$10+1,1))-AVERAGE(OFFSET($H$3,0,0,'Données projet'!$E$10+1,1))</f>
        <v>406.87679146534634</v>
      </c>
      <c r="AO22" s="62">
        <f t="shared" si="36"/>
        <v>252.43382636914751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62.870522503922729</v>
      </c>
      <c r="BJ22" s="62">
        <f t="shared" si="38"/>
        <v>322.87462304389692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64.879566335997097</v>
      </c>
      <c r="BQ22" s="23">
        <f>EXP(-LN(2)/25)*BQ21+(1-EXP(-LN(2)/25))/(LN(2)/25)*Calculateur!BL22*Calculateur!BN22*VLOOKUP('Données projet'!$B$11,Paramètres!$A$1:$I$89,3,0)*0.475*44/12</f>
        <v>17.075041917945551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81.954608253942652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17.8</v>
      </c>
      <c r="BY22" s="13">
        <f>IF('Données projet'!$A$114&gt;35,BY21+BX22-CG21,IF(A22&lt;'Données projet'!$A$114,$BV$205^A22,IF(A22='Données projet'!$A$114,'Données projet'!$B$114,BY21+BX22-CG21)))</f>
        <v>143.79999999999998</v>
      </c>
      <c r="BZ22" s="14">
        <f>BY22*VLOOKUP('Données projet'!$B$12,Paramètres!$A$1:$I$89,3,0)*VLOOKUP('Données projet'!$B$12,Paramètres!$A$1:$I$89,5,0)</f>
        <v>85.992400000000004</v>
      </c>
      <c r="CA22" s="14">
        <f t="shared" si="39"/>
        <v>23.596141005324462</v>
      </c>
      <c r="CB22" s="22">
        <f t="shared" si="10"/>
        <v>190.86670891760676</v>
      </c>
      <c r="CC22" s="62">
        <f t="shared" si="11"/>
        <v>405.01880316063028</v>
      </c>
      <c r="CD22" s="62">
        <f ca="1">AVERAGE(OFFSET($CC$3,0,0,'Données projet'!$E$12+1,1))-AVERAGE(OFFSET($H$3,0,0,'Données projet'!$E$12+1,1))</f>
        <v>199.99576079505897</v>
      </c>
      <c r="CE22" s="62">
        <f t="shared" si="40"/>
        <v>407.41464279973172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3.499783644080209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16.732690088864331</v>
      </c>
      <c r="CN22" s="24">
        <f t="shared" si="12"/>
        <v>20.232473732944541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12.6</v>
      </c>
      <c r="CT22" s="13">
        <f>IF('Données projet'!$A$140&gt;35,CT21+CS22-DB21,IF(A22&lt;'Données projet'!$A$140,$CQ$205^A22,IF(A22='Données projet'!$A$140,'Données projet'!$B$140,CT21+CS22-DB21)))</f>
        <v>167.39999999999998</v>
      </c>
      <c r="CU22" s="18">
        <f>CT22*VLOOKUP('Données projet'!$B$13,Paramètres!$A$1:$I$89,3,0)*VLOOKUP('Données projet'!$B$13,Paramètres!$A$1:$I$89,5,0)</f>
        <v>151.46351999999999</v>
      </c>
      <c r="CV22" s="14">
        <f t="shared" si="41"/>
        <v>38.910987614777085</v>
      </c>
      <c r="CW22" s="22">
        <f t="shared" si="13"/>
        <v>331.56893409573678</v>
      </c>
      <c r="CX22" s="62">
        <f t="shared" si="14"/>
        <v>545.72102833876033</v>
      </c>
      <c r="CY22" s="62">
        <f ca="1">AVERAGE(OFFSET($CX$3,0,0,'Données projet'!$E$13+1,1))-AVERAGE(OFFSET($H$3,0,0,'Données projet'!$E$13+1,1))</f>
        <v>376.68007030857598</v>
      </c>
      <c r="CZ22" s="62">
        <f t="shared" si="42"/>
        <v>532.90758914457626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132</v>
      </c>
      <c r="L23" s="13">
        <f>VLOOKUP(A23,'Données projet'!$A$35:$I$55,9,0)</f>
        <v>6.6</v>
      </c>
      <c r="M23" s="13">
        <f t="array" ref="M23">INDEX(L:L,MIN(IF(ISNUMBER(L23:L219),ROW(L23:L219),"")))</f>
        <v>6.6</v>
      </c>
      <c r="N23" s="14">
        <f>IF('Données projet'!$A$36&gt;35,N22+M23-V22,IF(A23&lt;'Données projet'!$A$36,$K$205^A23,IF(A23='Données projet'!$A$36,'Données projet'!$B$36,N22+M23-V22)))</f>
        <v>132</v>
      </c>
      <c r="O23" s="14">
        <f>N23*VLOOKUP('Données projet'!$B$9,Paramètres!$A$1:$I$89,3,0)*VLOOKUP('Données projet'!$B$9,Paramètres!$A$1:$I$89,5,0)</f>
        <v>115.3152</v>
      </c>
      <c r="P23" s="14">
        <f t="shared" si="33"/>
        <v>30.579827148797317</v>
      </c>
      <c r="Q23" s="22">
        <f t="shared" si="2"/>
        <v>254.10050561748861</v>
      </c>
      <c r="R23" s="62">
        <f t="shared" si="0"/>
        <v>470.61520850438433</v>
      </c>
      <c r="S23" s="62">
        <f ca="1">AVERAGE(OFFSET($R$3,0,0,'Données projet'!$E$9+1,1))-AVERAGE(OFFSET($H$3,0,0,'Données projet'!$E$9+1,1))</f>
        <v>354.90450119887635</v>
      </c>
      <c r="T23" s="62">
        <f t="shared" si="34"/>
        <v>367.95449187183942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50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27.387933890761346</v>
      </c>
      <c r="AK23" s="14">
        <f t="shared" si="35"/>
        <v>8.5857736856986921</v>
      </c>
      <c r="AL23" s="22">
        <f t="shared" si="4"/>
        <v>62.654207362334567</v>
      </c>
      <c r="AM23" s="62">
        <f t="shared" si="5"/>
        <v>279.16891024923029</v>
      </c>
      <c r="AN23" s="62">
        <f ca="1">AVERAGE(OFFSET($AM$3,0,0,'Données projet'!$E$10+1,1))-AVERAGE(OFFSET($H$3,0,0,'Données projet'!$E$10+1,1))</f>
        <v>406.87679146534634</v>
      </c>
      <c r="AO23" s="62">
        <f t="shared" si="36"/>
        <v>252.43382636914751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62.870522503922729</v>
      </c>
      <c r="BJ23" s="62">
        <f t="shared" si="38"/>
        <v>322.87462304389692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63.607317612776185</v>
      </c>
      <c r="BQ23" s="23">
        <f>EXP(-LN(2)/25)*BQ22+(1-EXP(-LN(2)/25))/(LN(2)/25)*Calculateur!BL23*Calculateur!BN23*VLOOKUP('Données projet'!$B$11,Paramètres!$A$1:$I$89,3,0)*0.475*44/12</f>
        <v>16.608123998761901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80.215441611538083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17.8</v>
      </c>
      <c r="BY23" s="13">
        <f>IF('Données projet'!$A$114&gt;35,BY22+BX23-CG22,IF(A23&lt;'Données projet'!$A$114,$BV$205^A23,IF(A23='Données projet'!$A$114,'Données projet'!$B$114,BY22+BX23-CG22)))</f>
        <v>161.6</v>
      </c>
      <c r="BZ23" s="14">
        <f>BY23*VLOOKUP('Données projet'!$B$12,Paramètres!$A$1:$I$89,3,0)*VLOOKUP('Données projet'!$B$12,Paramètres!$A$1:$I$89,5,0)</f>
        <v>96.636800000000008</v>
      </c>
      <c r="CA23" s="14">
        <f t="shared" si="39"/>
        <v>26.159173215164081</v>
      </c>
      <c r="CB23" s="22">
        <f t="shared" si="10"/>
        <v>213.86965334974411</v>
      </c>
      <c r="CC23" s="62">
        <f t="shared" si="11"/>
        <v>430.38435623663986</v>
      </c>
      <c r="CD23" s="62">
        <f ca="1">AVERAGE(OFFSET($CC$3,0,0,'Données projet'!$E$12+1,1))-AVERAGE(OFFSET($H$3,0,0,'Données projet'!$E$12+1,1))</f>
        <v>199.99576079505897</v>
      </c>
      <c r="CE23" s="62">
        <f t="shared" si="40"/>
        <v>407.41464279973172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3.4311550214770392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11.831798629328903</v>
      </c>
      <c r="CN23" s="24">
        <f t="shared" si="12"/>
        <v>15.262953650805942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180</v>
      </c>
      <c r="CR23" s="13">
        <f>VLOOKUP(A23,'Données projet'!$A$139:$I$159,9,0)</f>
        <v>12.6</v>
      </c>
      <c r="CS23" s="13">
        <f t="array" ref="CS23">INDEX(CR:CR,MIN(IF(ISNUMBER(CR23:CR219),ROW(CR23:CR219),"")))</f>
        <v>12.6</v>
      </c>
      <c r="CT23" s="13">
        <f>IF('Données projet'!$A$140&gt;35,CT22+CS23-DB22,IF(A23&lt;'Données projet'!$A$140,$CQ$205^A23,IF(A23='Données projet'!$A$140,'Données projet'!$B$140,CT22+CS23-DB22)))</f>
        <v>179.99999999999997</v>
      </c>
      <c r="CU23" s="18">
        <f>CT23*VLOOKUP('Données projet'!$B$13,Paramètres!$A$1:$I$89,3,0)*VLOOKUP('Données projet'!$B$13,Paramètres!$A$1:$I$89,5,0)</f>
        <v>162.86399999999998</v>
      </c>
      <c r="CV23" s="14">
        <f t="shared" si="41"/>
        <v>41.487830069509123</v>
      </c>
      <c r="CW23" s="22">
        <f t="shared" si="13"/>
        <v>355.91277070439497</v>
      </c>
      <c r="CX23" s="62">
        <f t="shared" si="14"/>
        <v>572.42747359129066</v>
      </c>
      <c r="CY23" s="62">
        <f ca="1">AVERAGE(OFFSET($CX$3,0,0,'Données projet'!$E$13+1,1))-AVERAGE(OFFSET($H$3,0,0,'Données projet'!$E$13+1,1))</f>
        <v>376.68007030857598</v>
      </c>
      <c r="CZ23" s="62">
        <f t="shared" si="42"/>
        <v>532.90758914457626</v>
      </c>
      <c r="DA23" s="16">
        <f>IF(ISNA(VLOOKUP(A23,'Données projet'!$A$139:$I$159,3,0)),0,VLOOKUP(A23,'Données projet'!$A$139:$I$159,3,0))</f>
        <v>4</v>
      </c>
      <c r="DB23" s="16">
        <f>IF(ISNA(VLOOKUP(A23,'Données projet'!$A$139:$I$159,4,0)),0,VLOOKUP(A23,'Données projet'!$A$139:$I$159,4,0))</f>
        <v>18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12.2</v>
      </c>
      <c r="N24" s="14">
        <f>IF('Données projet'!$A$36&gt;35,N23+M24-V23,IF(A24&lt;'Données projet'!$A$36,$K$205^A24,IF(A24='Données projet'!$A$36,'Données projet'!$B$36,N23+M24-V23)))</f>
        <v>94.199999999999989</v>
      </c>
      <c r="O24" s="14">
        <f>N24*VLOOKUP('Données projet'!$B$9,Paramètres!$A$1:$I$89,3,0)*VLOOKUP('Données projet'!$B$9,Paramètres!$A$1:$I$89,5,0)</f>
        <v>82.293120000000002</v>
      </c>
      <c r="P24" s="14">
        <f t="shared" si="33"/>
        <v>22.696938367376966</v>
      </c>
      <c r="Q24" s="22">
        <f t="shared" si="2"/>
        <v>182.85768498984825</v>
      </c>
      <c r="R24" s="62">
        <f t="shared" si="0"/>
        <v>401.71521336572266</v>
      </c>
      <c r="S24" s="62">
        <f ca="1">AVERAGE(OFFSET($R$3,0,0,'Données projet'!$E$9+1,1))-AVERAGE(OFFSET($H$3,0,0,'Données projet'!$E$9+1,1))</f>
        <v>354.90450119887635</v>
      </c>
      <c r="T24" s="62">
        <f t="shared" si="34"/>
        <v>367.95449187183942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32.479520184331868</v>
      </c>
      <c r="AK24" s="14">
        <f t="shared" si="35"/>
        <v>9.9818332765986337</v>
      </c>
      <c r="AL24" s="22">
        <f t="shared" si="4"/>
        <v>73.953523944453949</v>
      </c>
      <c r="AM24" s="62">
        <f t="shared" si="5"/>
        <v>292.81105232032832</v>
      </c>
      <c r="AN24" s="62">
        <f ca="1">AVERAGE(OFFSET($AM$3,0,0,'Données projet'!$E$10+1,1))-AVERAGE(OFFSET($H$3,0,0,'Données projet'!$E$10+1,1))</f>
        <v>406.87679146534634</v>
      </c>
      <c r="AO24" s="62">
        <f t="shared" si="36"/>
        <v>252.43382636914751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62.870522503922729</v>
      </c>
      <c r="BJ24" s="62">
        <f t="shared" si="38"/>
        <v>322.87462304389692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62.360016911022541</v>
      </c>
      <c r="BQ24" s="23">
        <f>EXP(-LN(2)/25)*BQ23+(1-EXP(-LN(2)/25))/(LN(2)/25)*Calculateur!BL24*Calculateur!BN24*VLOOKUP('Données projet'!$B$11,Paramètres!$A$1:$I$89,3,0)*0.475*44/12</f>
        <v>16.153973974632475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78.513990885655019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17.8</v>
      </c>
      <c r="BY24" s="13">
        <f>IF('Données projet'!$A$114&gt;35,BY23+BX24-CG23,IF(A24&lt;'Données projet'!$A$114,$BV$205^A24,IF(A24='Données projet'!$A$114,'Données projet'!$B$114,BY23+BX24-CG23)))</f>
        <v>179.4</v>
      </c>
      <c r="BZ24" s="14">
        <f>BY24*VLOOKUP('Données projet'!$B$12,Paramètres!$A$1:$I$89,3,0)*VLOOKUP('Données projet'!$B$12,Paramètres!$A$1:$I$89,5,0)</f>
        <v>107.2812</v>
      </c>
      <c r="CA24" s="14">
        <f t="shared" si="39"/>
        <v>28.68948404302737</v>
      </c>
      <c r="CB24" s="22">
        <f t="shared" si="10"/>
        <v>236.81560804160597</v>
      </c>
      <c r="CC24" s="62">
        <f t="shared" si="11"/>
        <v>455.67313641748035</v>
      </c>
      <c r="CD24" s="62">
        <f ca="1">AVERAGE(OFFSET($CC$3,0,0,'Données projet'!$E$12+1,1))-AVERAGE(OFFSET($H$3,0,0,'Données projet'!$E$12+1,1))</f>
        <v>199.99576079505897</v>
      </c>
      <c r="CE24" s="62">
        <f t="shared" si="40"/>
        <v>407.41464279973172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3.3638721643037908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8.3663450444321654</v>
      </c>
      <c r="CN24" s="24">
        <f t="shared" si="12"/>
        <v>11.730217208735956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10.4</v>
      </c>
      <c r="CT24" s="13">
        <f>IF('Données projet'!$A$140&gt;35,CT23+CS24-DB23,IF(A24&lt;'Données projet'!$A$140,$CQ$205^A24,IF(A24='Données projet'!$A$140,'Données projet'!$B$140,CT23+CS24-DB23)))</f>
        <v>172.39999999999998</v>
      </c>
      <c r="CU24" s="18">
        <f>CT24*VLOOKUP('Données projet'!$B$13,Paramètres!$A$1:$I$89,3,0)*VLOOKUP('Données projet'!$B$13,Paramètres!$A$1:$I$89,5,0)</f>
        <v>155.98751999999996</v>
      </c>
      <c r="CV24" s="14">
        <f t="shared" si="41"/>
        <v>39.936155927663087</v>
      </c>
      <c r="CW24" s="22">
        <f t="shared" si="13"/>
        <v>341.23373557401311</v>
      </c>
      <c r="CX24" s="62">
        <f t="shared" si="14"/>
        <v>560.09126394988743</v>
      </c>
      <c r="CY24" s="62">
        <f ca="1">AVERAGE(OFFSET($CX$3,0,0,'Données projet'!$E$13+1,1))-AVERAGE(OFFSET($H$3,0,0,'Données projet'!$E$13+1,1))</f>
        <v>376.68007030857598</v>
      </c>
      <c r="CZ24" s="62">
        <f t="shared" si="42"/>
        <v>532.90758914457626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12.2</v>
      </c>
      <c r="N25" s="14">
        <f>IF('Données projet'!$A$36&gt;35,N24+M25-V24,IF(A25&lt;'Données projet'!$A$36,$K$205^A25,IF(A25='Données projet'!$A$36,'Données projet'!$B$36,N24+M25-V24)))</f>
        <v>106.39999999999999</v>
      </c>
      <c r="O25" s="14">
        <f>N25*VLOOKUP('Données projet'!$B$9,Paramètres!$A$1:$I$89,3,0)*VLOOKUP('Données projet'!$B$9,Paramètres!$A$1:$I$89,5,0)</f>
        <v>92.951040000000006</v>
      </c>
      <c r="P25" s="14">
        <f t="shared" si="33"/>
        <v>25.275602869272223</v>
      </c>
      <c r="Q25" s="22">
        <f t="shared" si="2"/>
        <v>205.9114029973158</v>
      </c>
      <c r="R25" s="62">
        <f t="shared" si="0"/>
        <v>427.09231690078423</v>
      </c>
      <c r="S25" s="62">
        <f ca="1">AVERAGE(OFFSET($R$3,0,0,'Données projet'!$E$9+1,1))-AVERAGE(OFFSET($H$3,0,0,'Données projet'!$E$9+1,1))</f>
        <v>354.90450119887635</v>
      </c>
      <c r="T25" s="62">
        <f t="shared" si="34"/>
        <v>367.95449187183942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38.517663859276098</v>
      </c>
      <c r="AK25" s="14">
        <f t="shared" si="35"/>
        <v>11.604894236587789</v>
      </c>
      <c r="AL25" s="22">
        <f t="shared" si="4"/>
        <v>87.2967886836296</v>
      </c>
      <c r="AM25" s="62">
        <f t="shared" si="5"/>
        <v>308.47770258709801</v>
      </c>
      <c r="AN25" s="62">
        <f ca="1">AVERAGE(OFFSET($AM$3,0,0,'Données projet'!$E$10+1,1))-AVERAGE(OFFSET($H$3,0,0,'Données projet'!$E$10+1,1))</f>
        <v>406.87679146534634</v>
      </c>
      <c r="AO25" s="62">
        <f t="shared" si="36"/>
        <v>252.43382636914751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62.870522503922729</v>
      </c>
      <c r="BJ25" s="62">
        <f t="shared" si="38"/>
        <v>322.87462304389692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61.137175015251977</v>
      </c>
      <c r="BQ25" s="23">
        <f>EXP(-LN(2)/25)*BQ24+(1-EXP(-LN(2)/25))/(LN(2)/25)*Calculateur!BL25*Calculateur!BN25*VLOOKUP('Données projet'!$B$11,Paramètres!$A$1:$I$89,3,0)*0.475*44/12</f>
        <v>15.712242706795578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76.849417722047548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17.8</v>
      </c>
      <c r="BY25" s="13">
        <f>IF('Données projet'!$A$114&gt;35,BY24+BX25-CG24,IF(A25&lt;'Données projet'!$A$114,$BV$205^A25,IF(A25='Données projet'!$A$114,'Données projet'!$B$114,BY24+BX25-CG24)))</f>
        <v>197.20000000000002</v>
      </c>
      <c r="BZ25" s="14">
        <f>BY25*VLOOKUP('Données projet'!$B$12,Paramètres!$A$1:$I$89,3,0)*VLOOKUP('Données projet'!$B$12,Paramètres!$A$1:$I$89,5,0)</f>
        <v>117.92560000000003</v>
      </c>
      <c r="CA25" s="14">
        <f t="shared" si="39"/>
        <v>31.190689636070587</v>
      </c>
      <c r="CB25" s="22">
        <f t="shared" si="10"/>
        <v>259.71087111615634</v>
      </c>
      <c r="CC25" s="62">
        <f t="shared" si="11"/>
        <v>480.89178501962476</v>
      </c>
      <c r="CD25" s="62">
        <f ca="1">AVERAGE(OFFSET($CC$3,0,0,'Données projet'!$E$12+1,1))-AVERAGE(OFFSET($H$3,0,0,'Données projet'!$E$12+1,1))</f>
        <v>199.99576079505897</v>
      </c>
      <c r="CE25" s="62">
        <f t="shared" si="40"/>
        <v>407.41464279973172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3.2979086829212192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5.9158993146644514</v>
      </c>
      <c r="CN25" s="24">
        <f t="shared" si="12"/>
        <v>9.2138079975856702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10.4</v>
      </c>
      <c r="CT25" s="13">
        <f>IF('Données projet'!$A$140&gt;35,CT24+CS25-DB24,IF(A25&lt;'Données projet'!$A$140,$CQ$205^A25,IF(A25='Données projet'!$A$140,'Données projet'!$B$140,CT24+CS25-DB24)))</f>
        <v>182.79999999999998</v>
      </c>
      <c r="CU25" s="18">
        <f>CT25*VLOOKUP('Données projet'!$B$13,Paramètres!$A$1:$I$89,3,0)*VLOOKUP('Données projet'!$B$13,Paramètres!$A$1:$I$89,5,0)</f>
        <v>165.39743999999999</v>
      </c>
      <c r="CV25" s="14">
        <f t="shared" si="41"/>
        <v>42.057562385840804</v>
      </c>
      <c r="CW25" s="22">
        <f t="shared" si="13"/>
        <v>361.31746248867267</v>
      </c>
      <c r="CX25" s="62">
        <f t="shared" si="14"/>
        <v>582.49837639214104</v>
      </c>
      <c r="CY25" s="62">
        <f ca="1">AVERAGE(OFFSET($CX$3,0,0,'Données projet'!$E$13+1,1))-AVERAGE(OFFSET($H$3,0,0,'Données projet'!$E$13+1,1))</f>
        <v>376.68007030857598</v>
      </c>
      <c r="CZ25" s="62">
        <f t="shared" si="42"/>
        <v>532.90758914457626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12.2</v>
      </c>
      <c r="N26" s="14">
        <f>IF('Données projet'!$A$36&gt;35,N25+M26-V25,IF(A26&lt;'Données projet'!$A$36,$K$205^A26,IF(A26='Données projet'!$A$36,'Données projet'!$B$36,N25+M26-V25)))</f>
        <v>118.6</v>
      </c>
      <c r="O26" s="14">
        <f>N26*VLOOKUP('Données projet'!$B$9,Paramètres!$A$1:$I$89,3,0)*VLOOKUP('Données projet'!$B$9,Paramètres!$A$1:$I$89,5,0)</f>
        <v>103.60896</v>
      </c>
      <c r="P26" s="14">
        <f t="shared" si="33"/>
        <v>27.820000397643376</v>
      </c>
      <c r="Q26" s="22">
        <f t="shared" si="2"/>
        <v>228.90543935922889</v>
      </c>
      <c r="R26" s="62">
        <f t="shared" si="0"/>
        <v>452.39063606877539</v>
      </c>
      <c r="S26" s="62">
        <f ca="1">AVERAGE(OFFSET($R$3,0,0,'Données projet'!$E$9+1,1))-AVERAGE(OFFSET($H$3,0,0,'Données projet'!$E$9+1,1))</f>
        <v>354.90450119887635</v>
      </c>
      <c r="T26" s="62">
        <f t="shared" si="34"/>
        <v>367.95449187183942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45.678335786865411</v>
      </c>
      <c r="AK26" s="14">
        <f t="shared" si="35"/>
        <v>13.491867326427556</v>
      </c>
      <c r="AL26" s="22">
        <f t="shared" si="4"/>
        <v>103.0547704223186</v>
      </c>
      <c r="AM26" s="62">
        <f t="shared" si="5"/>
        <v>326.53996713186507</v>
      </c>
      <c r="AN26" s="62">
        <f ca="1">AVERAGE(OFFSET($AM$3,0,0,'Données projet'!$E$10+1,1))-AVERAGE(OFFSET($H$3,0,0,'Données projet'!$E$10+1,1))</f>
        <v>406.87679146534634</v>
      </c>
      <c r="AO26" s="62">
        <f t="shared" si="36"/>
        <v>252.43382636914751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62.870522503922729</v>
      </c>
      <c r="BJ26" s="62">
        <f t="shared" si="38"/>
        <v>322.87462304389692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59.938312303197563</v>
      </c>
      <c r="BQ26" s="23">
        <f>EXP(-LN(2)/25)*BQ25+(1-EXP(-LN(2)/25))/(LN(2)/25)*Calculateur!BL26*Calculateur!BN26*VLOOKUP('Données projet'!$B$11,Paramètres!$A$1:$I$89,3,0)*0.475*44/12</f>
        <v>15.28259060370732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75.220902906904882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>
        <f>VLOOKUP(A26,'Données projet'!$A$113:$I$133,2,0)</f>
        <v>215</v>
      </c>
      <c r="BW26" s="13">
        <f>VLOOKUP(A26,'Données projet'!$A$113:$I$133,9,0)</f>
        <v>17.8</v>
      </c>
      <c r="BX26" s="13">
        <f t="array" ref="BX26">INDEX(BW:BW,MIN(IF(ISNUMBER(BW26:BW222),ROW(BW26:BW222),"")))</f>
        <v>17.8</v>
      </c>
      <c r="BY26" s="13">
        <f>IF('Données projet'!$A$114&gt;35,BY25+BX26-CG25,IF(A26&lt;'Données projet'!$A$114,$BV$205^A26,IF(A26='Données projet'!$A$114,'Données projet'!$B$114,BY25+BX26-CG25)))</f>
        <v>215.00000000000003</v>
      </c>
      <c r="BZ26" s="14">
        <f>BY26*VLOOKUP('Données projet'!$B$12,Paramètres!$A$1:$I$89,3,0)*VLOOKUP('Données projet'!$B$12,Paramètres!$A$1:$I$89,5,0)</f>
        <v>128.57000000000002</v>
      </c>
      <c r="CA26" s="14">
        <f t="shared" si="39"/>
        <v>33.665715905233277</v>
      </c>
      <c r="CB26" s="22">
        <f t="shared" si="10"/>
        <v>282.56053853494797</v>
      </c>
      <c r="CC26" s="62">
        <f t="shared" si="11"/>
        <v>506.04573524449449</v>
      </c>
      <c r="CD26" s="62">
        <f ca="1">AVERAGE(OFFSET($CC$3,0,0,'Données projet'!$E$12+1,1))-AVERAGE(OFFSET($H$3,0,0,'Données projet'!$E$12+1,1))</f>
        <v>199.99576079505897</v>
      </c>
      <c r="CE26" s="62">
        <f t="shared" si="40"/>
        <v>407.41464279973172</v>
      </c>
      <c r="CF26" s="16">
        <f>IF(ISNA(VLOOKUP(A26,'Données projet'!$A$113:$I$133,3,0)),0,VLOOKUP(A26,'Données projet'!$A$113:$I$133,3,0))</f>
        <v>3</v>
      </c>
      <c r="CG26" s="16">
        <f>IF(ISNA(VLOOKUP(A26,'Données projet'!$A$113:$I$133,4,0)),0,VLOOKUP(A26,'Données projet'!$A$113:$I$133,4,0))</f>
        <v>52</v>
      </c>
      <c r="CH26" s="17">
        <f>IF(ISNA(VLOOKUP(A26,'Données projet'!$A$113:$I$133,5,0)),0%,VLOOKUP(A26,'Données projet'!$A$113:$I$133,5,0)*VLOOKUP('Données projet'!$B$12,Paramètres!$A$1:$I$89,7,0))</f>
        <v>0.22500000000000001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0.5</v>
      </c>
      <c r="CK26" s="23">
        <f>EXP(-LN(2)/35)*CK25+(1-EXP(-LN(2)/35))/(LN(2)/35)*CG26*CH26*VLOOKUP('Données projet'!$B$12,Paramètres!$A$1:$I$89,3,0)*0.475*44/12</f>
        <v>12.514679574103097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21.787120284157577</v>
      </c>
      <c r="CN26" s="24">
        <f t="shared" si="12"/>
        <v>34.301799858260672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10.4</v>
      </c>
      <c r="CT26" s="13">
        <f>IF('Données projet'!$A$140&gt;35,CT25+CS26-DB25,IF(A26&lt;'Données projet'!$A$140,$CQ$205^A26,IF(A26='Données projet'!$A$140,'Données projet'!$B$140,CT25+CS26-DB25)))</f>
        <v>193.2</v>
      </c>
      <c r="CU26" s="18">
        <f>CT26*VLOOKUP('Données projet'!$B$13,Paramètres!$A$1:$I$89,3,0)*VLOOKUP('Données projet'!$B$13,Paramètres!$A$1:$I$89,5,0)</f>
        <v>174.80735999999999</v>
      </c>
      <c r="CV26" s="14">
        <f t="shared" si="41"/>
        <v>44.164958649772579</v>
      </c>
      <c r="CW26" s="22">
        <f t="shared" si="13"/>
        <v>381.37678831502052</v>
      </c>
      <c r="CX26" s="62">
        <f t="shared" si="14"/>
        <v>604.86198502456705</v>
      </c>
      <c r="CY26" s="62">
        <f ca="1">AVERAGE(OFFSET($CX$3,0,0,'Données projet'!$E$13+1,1))-AVERAGE(OFFSET($H$3,0,0,'Données projet'!$E$13+1,1))</f>
        <v>376.68007030857598</v>
      </c>
      <c r="CZ26" s="62">
        <f t="shared" si="42"/>
        <v>532.90758914457626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12.2</v>
      </c>
      <c r="N27" s="14">
        <f>IF('Données projet'!$A$36&gt;35,N26+M27-V26,IF(A27&lt;'Données projet'!$A$36,$K$205^A27,IF(A27='Données projet'!$A$36,'Données projet'!$B$36,N26+M27-V26)))</f>
        <v>130.79999999999998</v>
      </c>
      <c r="O27" s="14">
        <f>N27*VLOOKUP('Données projet'!$B$9,Paramètres!$A$1:$I$89,3,0)*VLOOKUP('Données projet'!$B$9,Paramètres!$A$1:$I$89,5,0)</f>
        <v>114.26687999999999</v>
      </c>
      <c r="P27" s="14">
        <f t="shared" si="33"/>
        <v>30.334057329879929</v>
      </c>
      <c r="Q27" s="22">
        <f t="shared" si="2"/>
        <v>251.84663251620748</v>
      </c>
      <c r="R27" s="62">
        <f t="shared" si="0"/>
        <v>477.61734069982731</v>
      </c>
      <c r="S27" s="62">
        <f ca="1">AVERAGE(OFFSET($R$3,0,0,'Données projet'!$E$9+1,1))-AVERAGE(OFFSET($H$3,0,0,'Données projet'!$E$9+1,1))</f>
        <v>354.90450119887635</v>
      </c>
      <c r="T27" s="62">
        <f t="shared" si="34"/>
        <v>367.95449187183942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54.17022091164911</v>
      </c>
      <c r="AK27" s="14">
        <f t="shared" si="35"/>
        <v>15.685665051562438</v>
      </c>
      <c r="AL27" s="22">
        <f t="shared" si="4"/>
        <v>121.66566805259345</v>
      </c>
      <c r="AM27" s="62">
        <f t="shared" si="5"/>
        <v>347.43637623621328</v>
      </c>
      <c r="AN27" s="62">
        <f ca="1">AVERAGE(OFFSET($AM$3,0,0,'Données projet'!$E$10+1,1))-AVERAGE(OFFSET($H$3,0,0,'Données projet'!$E$10+1,1))</f>
        <v>406.87679146534634</v>
      </c>
      <c r="AO27" s="62">
        <f t="shared" si="36"/>
        <v>252.43382636914751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62.870522503922729</v>
      </c>
      <c r="BJ27" s="62">
        <f t="shared" si="38"/>
        <v>322.87462304389692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58.762958557692485</v>
      </c>
      <c r="BQ27" s="23">
        <f>EXP(-LN(2)/25)*BQ26+(1-EXP(-LN(2)/25))/(LN(2)/25)*Calculateur!BL27*Calculateur!BN27*VLOOKUP('Données projet'!$B$11,Paramètres!$A$1:$I$89,3,0)*0.475*44/12</f>
        <v>14.864687359972432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73.627645917664921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15.142857142857142</v>
      </c>
      <c r="BY27" s="13">
        <f>IF('Données projet'!$A$114&gt;35,BY26+BX27-CG26,IF(A27&lt;'Données projet'!$A$114,$BV$205^A27,IF(A27='Données projet'!$A$114,'Données projet'!$B$114,BY26+BX27-CG26)))</f>
        <v>178.14285714285717</v>
      </c>
      <c r="BZ27" s="14">
        <f>BY27*VLOOKUP('Données projet'!$B$12,Paramètres!$A$1:$I$89,3,0)*VLOOKUP('Données projet'!$B$12,Paramètres!$A$1:$I$89,5,0)</f>
        <v>106.5294285714286</v>
      </c>
      <c r="CA27" s="14">
        <f t="shared" si="39"/>
        <v>28.511771457031461</v>
      </c>
      <c r="CB27" s="22">
        <f t="shared" si="10"/>
        <v>235.19675671623455</v>
      </c>
      <c r="CC27" s="62">
        <f t="shared" si="11"/>
        <v>460.96746489985435</v>
      </c>
      <c r="CD27" s="62">
        <f ca="1">AVERAGE(OFFSET($CC$3,0,0,'Données projet'!$E$12+1,1))-AVERAGE(OFFSET($H$3,0,0,'Données projet'!$E$12+1,1))</f>
        <v>199.99576079505897</v>
      </c>
      <c r="CE27" s="62">
        <f t="shared" si="40"/>
        <v>407.41464279973172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12.269274340855759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15.405820495454805</v>
      </c>
      <c r="CN27" s="24">
        <f t="shared" si="12"/>
        <v>27.675094836310564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10.4</v>
      </c>
      <c r="CT27" s="13">
        <f>IF('Données projet'!$A$140&gt;35,CT26+CS27-DB26,IF(A27&lt;'Données projet'!$A$140,$CQ$205^A27,IF(A27='Données projet'!$A$140,'Données projet'!$B$140,CT26+CS27-DB26)))</f>
        <v>203.6</v>
      </c>
      <c r="CU27" s="18">
        <f>CT27*VLOOKUP('Données projet'!$B$13,Paramètres!$A$1:$I$89,3,0)*VLOOKUP('Données projet'!$B$13,Paramètres!$A$1:$I$89,5,0)</f>
        <v>184.21727999999999</v>
      </c>
      <c r="CV27" s="14">
        <f t="shared" si="41"/>
        <v>46.25918487744358</v>
      </c>
      <c r="CW27" s="22">
        <f t="shared" si="13"/>
        <v>401.41317632821421</v>
      </c>
      <c r="CX27" s="62">
        <f t="shared" si="14"/>
        <v>627.18388451183398</v>
      </c>
      <c r="CY27" s="62">
        <f ca="1">AVERAGE(OFFSET($CX$3,0,0,'Données projet'!$E$13+1,1))-AVERAGE(OFFSET($H$3,0,0,'Données projet'!$E$13+1,1))</f>
        <v>376.68007030857598</v>
      </c>
      <c r="CZ27" s="62">
        <f t="shared" si="42"/>
        <v>532.90758914457626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143</v>
      </c>
      <c r="L28" s="13">
        <f>VLOOKUP(A28,'Données projet'!$A$35:$I$55,9,0)</f>
        <v>12.2</v>
      </c>
      <c r="M28" s="13">
        <f t="array" ref="M28">INDEX(L:L,MIN(IF(ISNUMBER(L28:L224),ROW(L28:L224),"")))</f>
        <v>12.2</v>
      </c>
      <c r="N28" s="14">
        <f>IF('Données projet'!$A$36&gt;35,N27+M28-V27,IF(A28&lt;'Données projet'!$A$36,$K$205^A28,IF(A28='Données projet'!$A$36,'Données projet'!$B$36,N27+M28-V27)))</f>
        <v>142.99999999999997</v>
      </c>
      <c r="O28" s="14">
        <f>N28*VLOOKUP('Données projet'!$B$9,Paramètres!$A$1:$I$89,3,0)*VLOOKUP('Données projet'!$B$9,Paramètres!$A$1:$I$89,5,0)</f>
        <v>124.9248</v>
      </c>
      <c r="P28" s="14">
        <f t="shared" si="33"/>
        <v>32.820925500842712</v>
      </c>
      <c r="Q28" s="22">
        <f t="shared" si="2"/>
        <v>274.74047191396772</v>
      </c>
      <c r="R28" s="62">
        <f t="shared" si="0"/>
        <v>502.77824588029983</v>
      </c>
      <c r="S28" s="62">
        <f ca="1">AVERAGE(OFFSET($R$3,0,0,'Données projet'!$E$9+1,1))-AVERAGE(OFFSET($H$3,0,0,'Données projet'!$E$9+1,1))</f>
        <v>354.90450119887635</v>
      </c>
      <c r="T28" s="62">
        <f t="shared" si="34"/>
        <v>367.95449187183942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37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64.240800000000007</v>
      </c>
      <c r="AK28" s="14">
        <f t="shared" si="35"/>
        <v>18.236177554745847</v>
      </c>
      <c r="AL28" s="22">
        <f t="shared" si="4"/>
        <v>143.6474025745157</v>
      </c>
      <c r="AM28" s="62">
        <f t="shared" si="5"/>
        <v>371.68517654084781</v>
      </c>
      <c r="AN28" s="62">
        <f ca="1">AVERAGE(OFFSET($AM$3,0,0,'Données projet'!$E$10+1,1))-AVERAGE(OFFSET($H$3,0,0,'Données projet'!$E$10+1,1))</f>
        <v>406.87679146534634</v>
      </c>
      <c r="AO28" s="62">
        <f t="shared" si="36"/>
        <v>252.43382636914751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62.870522503922729</v>
      </c>
      <c r="BJ28" s="62">
        <f t="shared" si="38"/>
        <v>322.87462304389692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57.610652782241765</v>
      </c>
      <c r="BQ28" s="23">
        <f>EXP(-LN(2)/25)*BQ27+(1-EXP(-LN(2)/25))/(LN(2)/25)*Calculateur!BL28*Calculateur!BN28*VLOOKUP('Données projet'!$B$11,Paramètres!$A$1:$I$89,3,0)*0.475*44/12</f>
        <v>14.458211702414051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72.068864484655819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15.142857142857142</v>
      </c>
      <c r="BY28" s="13">
        <f>IF('Données projet'!$A$114&gt;35,BY27+BX28-CG27,IF(A28&lt;'Données projet'!$A$114,$BV$205^A28,IF(A28='Données projet'!$A$114,'Données projet'!$B$114,BY27+BX28-CG27)))</f>
        <v>193.28571428571431</v>
      </c>
      <c r="BZ28" s="14">
        <f>BY28*VLOOKUP('Données projet'!$B$12,Paramètres!$A$1:$I$89,3,0)*VLOOKUP('Données projet'!$B$12,Paramètres!$A$1:$I$89,5,0)</f>
        <v>115.58485714285716</v>
      </c>
      <c r="CA28" s="14">
        <f t="shared" si="39"/>
        <v>30.643003864758004</v>
      </c>
      <c r="CB28" s="22">
        <f t="shared" si="10"/>
        <v>254.68019125492972</v>
      </c>
      <c r="CC28" s="62">
        <f t="shared" si="11"/>
        <v>482.71796522126181</v>
      </c>
      <c r="CD28" s="62">
        <f ca="1">AVERAGE(OFFSET($CC$3,0,0,'Données projet'!$E$12+1,1))-AVERAGE(OFFSET($H$3,0,0,'Données projet'!$E$12+1,1))</f>
        <v>199.99576079505897</v>
      </c>
      <c r="CE28" s="62">
        <f t="shared" si="40"/>
        <v>407.41464279973172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12.02868135454999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10.89356014207879</v>
      </c>
      <c r="CN28" s="24">
        <f t="shared" si="12"/>
        <v>22.922241496628779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214</v>
      </c>
      <c r="CR28" s="13">
        <f>VLOOKUP(A28,'Données projet'!$A$139:$I$159,9,0)</f>
        <v>10.4</v>
      </c>
      <c r="CS28" s="13">
        <f t="array" ref="CS28">INDEX(CR:CR,MIN(IF(ISNUMBER(CR28:CR224),ROW(CR28:CR224),"")))</f>
        <v>10.4</v>
      </c>
      <c r="CT28" s="13">
        <f>IF('Données projet'!$A$140&gt;35,CT27+CS28-DB27,IF(A28&lt;'Données projet'!$A$140,$CQ$205^A28,IF(A28='Données projet'!$A$140,'Données projet'!$B$140,CT27+CS28-DB27)))</f>
        <v>214</v>
      </c>
      <c r="CU28" s="18">
        <f>CT28*VLOOKUP('Données projet'!$B$13,Paramètres!$A$1:$I$89,3,0)*VLOOKUP('Données projet'!$B$13,Paramètres!$A$1:$I$89,5,0)</f>
        <v>193.62719999999999</v>
      </c>
      <c r="CV28" s="14">
        <f t="shared" si="41"/>
        <v>48.340990547231193</v>
      </c>
      <c r="CW28" s="22">
        <f t="shared" si="13"/>
        <v>421.42793186976093</v>
      </c>
      <c r="CX28" s="62">
        <f t="shared" si="14"/>
        <v>649.46570583609309</v>
      </c>
      <c r="CY28" s="62">
        <f ca="1">AVERAGE(OFFSET($CX$3,0,0,'Données projet'!$E$13+1,1))-AVERAGE(OFFSET($H$3,0,0,'Données projet'!$E$13+1,1))</f>
        <v>376.68007030857598</v>
      </c>
      <c r="CZ28" s="62">
        <f t="shared" si="42"/>
        <v>532.90758914457626</v>
      </c>
      <c r="DA28" s="16">
        <f>IF(ISNA(VLOOKUP(A28,'Données projet'!$A$139:$I$159,3,0)),0,VLOOKUP(A28,'Données projet'!$A$139:$I$159,3,0))</f>
        <v>5</v>
      </c>
      <c r="DB28" s="16">
        <f>IF(ISNA(VLOOKUP(A28,'Données projet'!$A$139:$I$159,4,0)),0,VLOOKUP(A28,'Données projet'!$A$139:$I$159,4,0))</f>
        <v>14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11.4</v>
      </c>
      <c r="N29" s="14">
        <f>IF('Données projet'!$A$36&gt;35,N28+M29-V28,IF(A29&lt;'Données projet'!$A$36,$K$205^A29,IF(A29='Données projet'!$A$36,'Données projet'!$B$36,N28+M29-V28)))</f>
        <v>117.39999999999998</v>
      </c>
      <c r="O29" s="14">
        <f>N29*VLOOKUP('Données projet'!$B$9,Paramètres!$A$1:$I$89,3,0)*VLOOKUP('Données projet'!$B$9,Paramètres!$A$1:$I$89,5,0)</f>
        <v>102.56064000000001</v>
      </c>
      <c r="P29" s="14">
        <f t="shared" si="33"/>
        <v>27.571134131783779</v>
      </c>
      <c r="Q29" s="22">
        <f t="shared" si="2"/>
        <v>226.64617327952342</v>
      </c>
      <c r="R29" s="62">
        <f t="shared" si="0"/>
        <v>456.9328873287136</v>
      </c>
      <c r="S29" s="62">
        <f ca="1">AVERAGE(OFFSET($R$3,0,0,'Données projet'!$E$9+1,1))-AVERAGE(OFFSET($H$3,0,0,'Données projet'!$E$9+1,1))</f>
        <v>354.90450119887635</v>
      </c>
      <c r="T29" s="62">
        <f t="shared" si="34"/>
        <v>367.95449187183942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63.335999999999991</v>
      </c>
      <c r="AK29" s="14">
        <f t="shared" si="35"/>
        <v>18.009040022946227</v>
      </c>
      <c r="AL29" s="22">
        <f t="shared" si="4"/>
        <v>141.67594470663133</v>
      </c>
      <c r="AM29" s="62">
        <f t="shared" si="5"/>
        <v>371.96265875582151</v>
      </c>
      <c r="AN29" s="62">
        <f ca="1">AVERAGE(OFFSET($AM$3,0,0,'Données projet'!$E$10+1,1))-AVERAGE(OFFSET($H$3,0,0,'Données projet'!$E$10+1,1))</f>
        <v>406.87679146534634</v>
      </c>
      <c r="AO29" s="62">
        <f t="shared" si="36"/>
        <v>252.43382636914751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62.870522503922729</v>
      </c>
      <c r="BJ29" s="62">
        <f t="shared" si="38"/>
        <v>322.87462304389692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56.48094302021051</v>
      </c>
      <c r="BQ29" s="23">
        <f>EXP(-LN(2)/25)*BQ28+(1-EXP(-LN(2)/25))/(LN(2)/25)*Calculateur!BL29*Calculateur!BN29*VLOOKUP('Données projet'!$B$11,Paramètres!$A$1:$I$89,3,0)*0.475*44/12</f>
        <v>14.062851143087229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70.543794163297747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15.142857142857142</v>
      </c>
      <c r="BY29" s="13">
        <f>IF('Données projet'!$A$114&gt;35,BY28+BX29-CG28,IF(A29&lt;'Données projet'!$A$114,$BV$205^A29,IF(A29='Données projet'!$A$114,'Données projet'!$B$114,BY28+BX29-CG28)))</f>
        <v>208.42857142857144</v>
      </c>
      <c r="BZ29" s="14">
        <f>BY29*VLOOKUP('Données projet'!$B$12,Paramètres!$A$1:$I$89,3,0)*VLOOKUP('Données projet'!$B$12,Paramètres!$A$1:$I$89,5,0)</f>
        <v>124.64028571428574</v>
      </c>
      <c r="CA29" s="14">
        <f t="shared" si="39"/>
        <v>32.754868392894572</v>
      </c>
      <c r="CB29" s="22">
        <f t="shared" si="10"/>
        <v>274.129893403339</v>
      </c>
      <c r="CC29" s="62">
        <f t="shared" si="11"/>
        <v>504.41660745252921</v>
      </c>
      <c r="CD29" s="62">
        <f ca="1">AVERAGE(OFFSET($CC$3,0,0,'Données projet'!$E$12+1,1))-AVERAGE(OFFSET($H$3,0,0,'Données projet'!$E$12+1,1))</f>
        <v>199.99576079505897</v>
      </c>
      <c r="CE29" s="62">
        <f t="shared" si="40"/>
        <v>407.41464279973172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11.792806249958446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7.7029102477274032</v>
      </c>
      <c r="CN29" s="24">
        <f t="shared" si="12"/>
        <v>19.495716497685848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8.6</v>
      </c>
      <c r="CT29" s="13">
        <f>IF('Données projet'!$A$140&gt;35,CT28+CS29-DB28,IF(A29&lt;'Données projet'!$A$140,$CQ$205^A29,IF(A29='Données projet'!$A$140,'Données projet'!$B$140,CT28+CS29-DB28)))</f>
        <v>208.6</v>
      </c>
      <c r="CU29" s="18">
        <f>CT29*VLOOKUP('Données projet'!$B$13,Paramètres!$A$1:$I$89,3,0)*VLOOKUP('Données projet'!$B$13,Paramètres!$A$1:$I$89,5,0)</f>
        <v>188.74127999999999</v>
      </c>
      <c r="CV29" s="14">
        <f t="shared" si="41"/>
        <v>47.261560168122358</v>
      </c>
      <c r="CW29" s="22">
        <f t="shared" si="13"/>
        <v>411.03827995947972</v>
      </c>
      <c r="CX29" s="62">
        <f t="shared" si="14"/>
        <v>641.32499400866993</v>
      </c>
      <c r="CY29" s="62">
        <f ca="1">AVERAGE(OFFSET($CX$3,0,0,'Données projet'!$E$13+1,1))-AVERAGE(OFFSET($H$3,0,0,'Données projet'!$E$13+1,1))</f>
        <v>376.68007030857598</v>
      </c>
      <c r="CZ29" s="62">
        <f t="shared" si="42"/>
        <v>532.90758914457626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11.4</v>
      </c>
      <c r="N30" s="14">
        <f>IF('Données projet'!$A$36&gt;35,N29+M30-V29,IF(A30&lt;'Données projet'!$A$36,$K$205^A30,IF(A30='Données projet'!$A$36,'Données projet'!$B$36,N29+M30-V29)))</f>
        <v>128.79999999999998</v>
      </c>
      <c r="O30" s="14">
        <f>N30*VLOOKUP('Données projet'!$B$9,Paramètres!$A$1:$I$89,3,0)*VLOOKUP('Données projet'!$B$9,Paramètres!$A$1:$I$89,5,0)</f>
        <v>112.51968000000001</v>
      </c>
      <c r="P30" s="14">
        <f t="shared" si="33"/>
        <v>29.923856072189899</v>
      </c>
      <c r="Q30" s="22">
        <f t="shared" si="2"/>
        <v>248.08915865906408</v>
      </c>
      <c r="R30" s="62">
        <f t="shared" si="0"/>
        <v>480.60700153162759</v>
      </c>
      <c r="S30" s="62">
        <f ca="1">AVERAGE(OFFSET($R$3,0,0,'Données projet'!$E$9+1,1))-AVERAGE(OFFSET($H$3,0,0,'Données projet'!$E$9+1,1))</f>
        <v>354.90450119887635</v>
      </c>
      <c r="T30" s="62">
        <f t="shared" si="34"/>
        <v>367.95449187183942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69.669600000000003</v>
      </c>
      <c r="AK30" s="14">
        <f t="shared" si="35"/>
        <v>19.591385027476957</v>
      </c>
      <c r="AL30" s="22">
        <f t="shared" si="4"/>
        <v>155.46288225618903</v>
      </c>
      <c r="AM30" s="62">
        <f t="shared" si="5"/>
        <v>387.98072512875251</v>
      </c>
      <c r="AN30" s="62">
        <f ca="1">AVERAGE(OFFSET($AM$3,0,0,'Données projet'!$E$10+1,1))-AVERAGE(OFFSET($H$3,0,0,'Données projet'!$E$10+1,1))</f>
        <v>406.87679146534634</v>
      </c>
      <c r="AO30" s="62">
        <f t="shared" si="36"/>
        <v>252.43382636914751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62.870522503922729</v>
      </c>
      <c r="BJ30" s="62">
        <f t="shared" si="38"/>
        <v>322.87462304389692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55.373386177557769</v>
      </c>
      <c r="BQ30" s="23">
        <f>EXP(-LN(2)/25)*BQ29+(1-EXP(-LN(2)/25))/(LN(2)/25)*Calculateur!BL30*Calculateur!BN30*VLOOKUP('Données projet'!$B$11,Paramètres!$A$1:$I$89,3,0)*0.475*44/12</f>
        <v>13.678301739046308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69.051687916604081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15.142857142857142</v>
      </c>
      <c r="BY30" s="13">
        <f>IF('Données projet'!$A$114&gt;35,BY29+BX30-CG29,IF(A30&lt;'Données projet'!$A$114,$BV$205^A30,IF(A30='Données projet'!$A$114,'Données projet'!$B$114,BY29+BX30-CG29)))</f>
        <v>223.57142857142858</v>
      </c>
      <c r="BZ30" s="14">
        <f>BY30*VLOOKUP('Données projet'!$B$12,Paramètres!$A$1:$I$89,3,0)*VLOOKUP('Données projet'!$B$12,Paramètres!$A$1:$I$89,5,0)</f>
        <v>133.6957142857143</v>
      </c>
      <c r="CA30" s="14">
        <f t="shared" si="39"/>
        <v>34.848932189999701</v>
      </c>
      <c r="CB30" s="22">
        <f t="shared" si="10"/>
        <v>293.54859261186851</v>
      </c>
      <c r="CC30" s="62">
        <f t="shared" si="11"/>
        <v>526.06643548443208</v>
      </c>
      <c r="CD30" s="62">
        <f ca="1">AVERAGE(OFFSET($CC$3,0,0,'Données projet'!$E$12+1,1))-AVERAGE(OFFSET($H$3,0,0,'Données projet'!$E$12+1,1))</f>
        <v>199.99576079505897</v>
      </c>
      <c r="CE30" s="62">
        <f t="shared" si="40"/>
        <v>407.41464279973172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11.561556512298333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5.4467800710393961</v>
      </c>
      <c r="CN30" s="24">
        <f t="shared" si="12"/>
        <v>17.00833658333773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8.6</v>
      </c>
      <c r="CT30" s="13">
        <f>IF('Données projet'!$A$140&gt;35,CT29+CS30-DB29,IF(A30&lt;'Données projet'!$A$140,$CQ$205^A30,IF(A30='Données projet'!$A$140,'Données projet'!$B$140,CT29+CS30-DB29)))</f>
        <v>217.2</v>
      </c>
      <c r="CU30" s="18">
        <f>CT30*VLOOKUP('Données projet'!$B$13,Paramètres!$A$1:$I$89,3,0)*VLOOKUP('Données projet'!$B$13,Paramètres!$A$1:$I$89,5,0)</f>
        <v>196.52255999999997</v>
      </c>
      <c r="CV30" s="14">
        <f t="shared" si="41"/>
        <v>48.979153257338155</v>
      </c>
      <c r="CW30" s="22">
        <f t="shared" si="13"/>
        <v>427.58215058986383</v>
      </c>
      <c r="CX30" s="62">
        <f t="shared" si="14"/>
        <v>660.09999346242739</v>
      </c>
      <c r="CY30" s="62">
        <f ca="1">AVERAGE(OFFSET($CX$3,0,0,'Données projet'!$E$13+1,1))-AVERAGE(OFFSET($H$3,0,0,'Données projet'!$E$13+1,1))</f>
        <v>376.68007030857598</v>
      </c>
      <c r="CZ30" s="62">
        <f t="shared" si="42"/>
        <v>532.90758914457626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11.4</v>
      </c>
      <c r="N31" s="14">
        <f>IF('Données projet'!$A$36&gt;35,N30+M31-V30,IF(A31&lt;'Données projet'!$A$36,$K$205^A31,IF(A31='Données projet'!$A$36,'Données projet'!$B$36,N30+M31-V30)))</f>
        <v>140.19999999999999</v>
      </c>
      <c r="O31" s="14">
        <f>N31*VLOOKUP('Données projet'!$B$9,Paramètres!$A$1:$I$89,3,0)*VLOOKUP('Données projet'!$B$9,Paramètres!$A$1:$I$89,5,0)</f>
        <v>122.47872000000001</v>
      </c>
      <c r="P31" s="14">
        <f t="shared" si="33"/>
        <v>32.252430308904003</v>
      </c>
      <c r="Q31" s="22">
        <f t="shared" si="2"/>
        <v>269.49008678800777</v>
      </c>
      <c r="R31" s="62">
        <f t="shared" si="0"/>
        <v>504.22155620999183</v>
      </c>
      <c r="S31" s="62">
        <f ca="1">AVERAGE(OFFSET($R$3,0,0,'Données projet'!$E$9+1,1))-AVERAGE(OFFSET($H$3,0,0,'Données projet'!$E$9+1,1))</f>
        <v>354.90450119887635</v>
      </c>
      <c r="T31" s="62">
        <f t="shared" si="34"/>
        <v>367.95449187183942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76.003200000000007</v>
      </c>
      <c r="AK31" s="14">
        <f t="shared" si="35"/>
        <v>21.157049992000456</v>
      </c>
      <c r="AL31" s="22">
        <f t="shared" si="4"/>
        <v>169.22076873606747</v>
      </c>
      <c r="AM31" s="62">
        <f t="shared" si="5"/>
        <v>403.95223815805156</v>
      </c>
      <c r="AN31" s="62">
        <f ca="1">AVERAGE(OFFSET($AM$3,0,0,'Données projet'!$E$10+1,1))-AVERAGE(OFFSET($H$3,0,0,'Données projet'!$E$10+1,1))</f>
        <v>406.87679146534634</v>
      </c>
      <c r="AO31" s="62">
        <f t="shared" si="36"/>
        <v>252.43382636914751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62.870522503922729</v>
      </c>
      <c r="BJ31" s="62">
        <f t="shared" si="38"/>
        <v>322.87462304389692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54.287547849046483</v>
      </c>
      <c r="BQ31" s="23">
        <f>EXP(-LN(2)/25)*BQ30+(1-EXP(-LN(2)/25))/(LN(2)/25)*Calculateur!BL31*Calculateur!BN31*VLOOKUP('Données projet'!$B$11,Paramètres!$A$1:$I$89,3,0)*0.475*44/12</f>
        <v>13.30426785868146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67.591815707727946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15.142857142857142</v>
      </c>
      <c r="BY31" s="13">
        <f>IF('Données projet'!$A$114&gt;35,BY30+BX31-CG30,IF(A31&lt;'Données projet'!$A$114,$BV$205^A31,IF(A31='Données projet'!$A$114,'Données projet'!$B$114,BY30+BX31-CG30)))</f>
        <v>238.71428571428572</v>
      </c>
      <c r="BZ31" s="14">
        <f>BY31*VLOOKUP('Données projet'!$B$12,Paramètres!$A$1:$I$89,3,0)*VLOOKUP('Données projet'!$B$12,Paramètres!$A$1:$I$89,5,0)</f>
        <v>142.75114285714287</v>
      </c>
      <c r="CA31" s="14">
        <f t="shared" si="39"/>
        <v>36.926538099571019</v>
      </c>
      <c r="CB31" s="22">
        <f t="shared" si="10"/>
        <v>312.93862766627666</v>
      </c>
      <c r="CC31" s="62">
        <f t="shared" si="11"/>
        <v>547.67009708826072</v>
      </c>
      <c r="CD31" s="62">
        <f ca="1">AVERAGE(OFFSET($CC$3,0,0,'Données projet'!$E$12+1,1))-AVERAGE(OFFSET($H$3,0,0,'Données projet'!$E$12+1,1))</f>
        <v>199.99576079505897</v>
      </c>
      <c r="CE31" s="62">
        <f t="shared" si="40"/>
        <v>407.41464279973172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11.334841440945322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3.8514551238637025</v>
      </c>
      <c r="CN31" s="24">
        <f t="shared" si="12"/>
        <v>15.186296564809025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8.6</v>
      </c>
      <c r="CT31" s="13">
        <f>IF('Données projet'!$A$140&gt;35,CT30+CS31-DB30,IF(A31&lt;'Données projet'!$A$140,$CQ$205^A31,IF(A31='Données projet'!$A$140,'Données projet'!$B$140,CT30+CS31-DB30)))</f>
        <v>225.79999999999998</v>
      </c>
      <c r="CU31" s="18">
        <f>CT31*VLOOKUP('Données projet'!$B$13,Paramètres!$A$1:$I$89,3,0)*VLOOKUP('Données projet'!$B$13,Paramètres!$A$1:$I$89,5,0)</f>
        <v>204.30383999999995</v>
      </c>
      <c r="CV31" s="14">
        <f t="shared" si="41"/>
        <v>50.688846269088558</v>
      </c>
      <c r="CW31" s="22">
        <f t="shared" si="13"/>
        <v>444.11226191866245</v>
      </c>
      <c r="CX31" s="62">
        <f t="shared" si="14"/>
        <v>678.84373134064651</v>
      </c>
      <c r="CY31" s="62">
        <f ca="1">AVERAGE(OFFSET($CX$3,0,0,'Données projet'!$E$13+1,1))-AVERAGE(OFFSET($H$3,0,0,'Données projet'!$E$13+1,1))</f>
        <v>376.68007030857598</v>
      </c>
      <c r="CZ31" s="62">
        <f t="shared" si="42"/>
        <v>532.90758914457626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11.4</v>
      </c>
      <c r="N32" s="14">
        <f>IF('Données projet'!$A$36&gt;35,N31+M32-V31,IF(A32&lt;'Données projet'!$A$36,$K$205^A32,IF(A32='Données projet'!$A$36,'Données projet'!$B$36,N31+M32-V31)))</f>
        <v>151.6</v>
      </c>
      <c r="O32" s="14">
        <f>N32*VLOOKUP('Données projet'!$B$9,Paramètres!$A$1:$I$89,3,0)*VLOOKUP('Données projet'!$B$9,Paramètres!$A$1:$I$89,5,0)</f>
        <v>132.43776</v>
      </c>
      <c r="P32" s="14">
        <f t="shared" si="33"/>
        <v>34.559043580858436</v>
      </c>
      <c r="Q32" s="22">
        <f t="shared" si="2"/>
        <v>290.85276623666175</v>
      </c>
      <c r="R32" s="62">
        <f t="shared" si="0"/>
        <v>527.78066355943758</v>
      </c>
      <c r="S32" s="62">
        <f ca="1">AVERAGE(OFFSET($R$3,0,0,'Données projet'!$E$9+1,1))-AVERAGE(OFFSET($H$3,0,0,'Données projet'!$E$9+1,1))</f>
        <v>354.90450119887635</v>
      </c>
      <c r="T32" s="62">
        <f t="shared" si="34"/>
        <v>367.95449187183942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82.336799999999997</v>
      </c>
      <c r="AK32" s="14">
        <f t="shared" si="35"/>
        <v>22.707582950885364</v>
      </c>
      <c r="AL32" s="22">
        <f t="shared" si="4"/>
        <v>182.95230030612535</v>
      </c>
      <c r="AM32" s="62">
        <f t="shared" si="5"/>
        <v>419.88019762890121</v>
      </c>
      <c r="AN32" s="62">
        <f ca="1">AVERAGE(OFFSET($AM$3,0,0,'Données projet'!$E$10+1,1))-AVERAGE(OFFSET($H$3,0,0,'Données projet'!$E$10+1,1))</f>
        <v>406.87679146534634</v>
      </c>
      <c r="AO32" s="62">
        <f t="shared" si="36"/>
        <v>252.43382636914751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62.870522503922729</v>
      </c>
      <c r="BJ32" s="62">
        <f t="shared" si="38"/>
        <v>322.87462304389692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53.223002147861315</v>
      </c>
      <c r="BQ32" s="23">
        <f>EXP(-LN(2)/25)*BQ31+(1-EXP(-LN(2)/25))/(LN(2)/25)*Calculateur!BL32*Calculateur!BN32*VLOOKUP('Données projet'!$B$11,Paramètres!$A$1:$I$89,3,0)*0.475*44/12</f>
        <v>12.940461954444777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66.163464102306094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15.142857142857142</v>
      </c>
      <c r="BY32" s="13">
        <f>IF('Données projet'!$A$114&gt;35,BY31+BX32-CG31,IF(A32&lt;'Données projet'!$A$114,$BV$205^A32,IF(A32='Données projet'!$A$114,'Données projet'!$B$114,BY31+BX32-CG31)))</f>
        <v>253.85714285714286</v>
      </c>
      <c r="BZ32" s="14">
        <f>BY32*VLOOKUP('Données projet'!$B$12,Paramètres!$A$1:$I$89,3,0)*VLOOKUP('Données projet'!$B$12,Paramètres!$A$1:$I$89,5,0)</f>
        <v>151.80657142857146</v>
      </c>
      <c r="CA32" s="14">
        <f t="shared" si="39"/>
        <v>38.988848967460292</v>
      </c>
      <c r="CB32" s="22">
        <f t="shared" si="10"/>
        <v>332.30202385642195</v>
      </c>
      <c r="CC32" s="62">
        <f t="shared" si="11"/>
        <v>569.22992117919785</v>
      </c>
      <c r="CD32" s="62">
        <f ca="1">AVERAGE(OFFSET($CC$3,0,0,'Données projet'!$E$12+1,1))-AVERAGE(OFFSET($H$3,0,0,'Données projet'!$E$12+1,1))</f>
        <v>199.99576079505897</v>
      </c>
      <c r="CE32" s="62">
        <f t="shared" si="40"/>
        <v>407.41464279973172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11.112572113859004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2.7233900355196985</v>
      </c>
      <c r="CN32" s="24">
        <f t="shared" si="12"/>
        <v>13.835962149378702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8.6</v>
      </c>
      <c r="CT32" s="13">
        <f>IF('Données projet'!$A$140&gt;35,CT31+CS32-DB31,IF(A32&lt;'Données projet'!$A$140,$CQ$205^A32,IF(A32='Données projet'!$A$140,'Données projet'!$B$140,CT31+CS32-DB31)))</f>
        <v>234.39999999999998</v>
      </c>
      <c r="CU32" s="18">
        <f>CT32*VLOOKUP('Données projet'!$B$13,Paramètres!$A$1:$I$89,3,0)*VLOOKUP('Données projet'!$B$13,Paramètres!$A$1:$I$89,5,0)</f>
        <v>212.08511999999996</v>
      </c>
      <c r="CV32" s="14">
        <f t="shared" si="41"/>
        <v>52.390974537063087</v>
      </c>
      <c r="CW32" s="22">
        <f t="shared" si="13"/>
        <v>460.62919798538474</v>
      </c>
      <c r="CX32" s="62">
        <f t="shared" si="14"/>
        <v>697.55709530816057</v>
      </c>
      <c r="CY32" s="62">
        <f ca="1">AVERAGE(OFFSET($CX$3,0,0,'Données projet'!$E$13+1,1))-AVERAGE(OFFSET($H$3,0,0,'Données projet'!$E$13+1,1))</f>
        <v>376.68007030857598</v>
      </c>
      <c r="CZ32" s="62">
        <f t="shared" si="42"/>
        <v>532.90758914457626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163</v>
      </c>
      <c r="L33" s="13">
        <f>VLOOKUP(A33,'Données projet'!$A$35:$I$55,9,0)</f>
        <v>11.4</v>
      </c>
      <c r="M33" s="13">
        <f t="array" ref="M33">INDEX(L:L,MIN(IF(ISNUMBER(L33:L229),ROW(L33:L229),"")))</f>
        <v>11.4</v>
      </c>
      <c r="N33" s="14">
        <f>IF('Données projet'!$A$36&gt;35,N32+M33-V32,IF(A33&lt;'Données projet'!$A$36,$K$205^A33,IF(A33='Données projet'!$A$36,'Données projet'!$B$36,N32+M33-V32)))</f>
        <v>163</v>
      </c>
      <c r="O33" s="14">
        <f>N33*VLOOKUP('Données projet'!$B$9,Paramètres!$A$1:$I$89,3,0)*VLOOKUP('Données projet'!$B$9,Paramètres!$A$1:$I$89,5,0)</f>
        <v>142.39680000000004</v>
      </c>
      <c r="P33" s="14">
        <f t="shared" si="33"/>
        <v>36.845535084476985</v>
      </c>
      <c r="Q33" s="22">
        <f t="shared" si="2"/>
        <v>312.18040027213078</v>
      </c>
      <c r="R33" s="62">
        <f t="shared" si="0"/>
        <v>551.28782520517279</v>
      </c>
      <c r="S33" s="62">
        <f ca="1">AVERAGE(OFFSET($R$3,0,0,'Données projet'!$E$9+1,1))-AVERAGE(OFFSET($H$3,0,0,'Données projet'!$E$9+1,1))</f>
        <v>354.90450119887635</v>
      </c>
      <c r="T33" s="62">
        <f t="shared" si="34"/>
        <v>367.95449187183942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37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88.670400000000001</v>
      </c>
      <c r="AK33" s="14">
        <f t="shared" si="35"/>
        <v>24.244280250395512</v>
      </c>
      <c r="AL33" s="22">
        <f t="shared" si="4"/>
        <v>196.65973476943884</v>
      </c>
      <c r="AM33" s="62">
        <f t="shared" si="5"/>
        <v>435.76715970248085</v>
      </c>
      <c r="AN33" s="62">
        <f ca="1">AVERAGE(OFFSET($AM$3,0,0,'Données projet'!$E$10+1,1))-AVERAGE(OFFSET($H$3,0,0,'Données projet'!$E$10+1,1))</f>
        <v>406.87679146534634</v>
      </c>
      <c r="AO33" s="62">
        <f t="shared" si="36"/>
        <v>252.43382636914751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62.870522503922729</v>
      </c>
      <c r="BJ33" s="62">
        <f t="shared" si="38"/>
        <v>322.87462304389692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52.179331538567631</v>
      </c>
      <c r="BQ33" s="23">
        <f>EXP(-LN(2)/25)*BQ32+(1-EXP(-LN(2)/25))/(LN(2)/25)*Calculateur!BL33*Calculateur!BN33*VLOOKUP('Données projet'!$B$11,Paramètres!$A$1:$I$89,3,0)*0.475*44/12</f>
        <v>12.586604341791165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64.765935880358796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269</v>
      </c>
      <c r="BW33" s="13">
        <f>VLOOKUP(A33,'Données projet'!$A$113:$I$133,9,0)</f>
        <v>15.142857142857142</v>
      </c>
      <c r="BX33" s="13">
        <f t="array" ref="BX33">INDEX(BW:BW,MIN(IF(ISNUMBER(BW33:BW229),ROW(BW33:BW229),"")))</f>
        <v>15.142857142857142</v>
      </c>
      <c r="BY33" s="13">
        <f>IF('Données projet'!$A$114&gt;35,BY32+BX33-CG32,IF(A33&lt;'Données projet'!$A$114,$BV$205^A33,IF(A33='Données projet'!$A$114,'Données projet'!$B$114,BY32+BX33-CG32)))</f>
        <v>269</v>
      </c>
      <c r="BZ33" s="14">
        <f>BY33*VLOOKUP('Données projet'!$B$12,Paramètres!$A$1:$I$89,3,0)*VLOOKUP('Données projet'!$B$12,Paramètres!$A$1:$I$89,5,0)</f>
        <v>160.86200000000002</v>
      </c>
      <c r="CA33" s="14">
        <f t="shared" si="39"/>
        <v>41.03688107178359</v>
      </c>
      <c r="CB33" s="22">
        <f t="shared" si="10"/>
        <v>351.64055120002314</v>
      </c>
      <c r="CC33" s="62">
        <f t="shared" si="11"/>
        <v>590.74797613306509</v>
      </c>
      <c r="CD33" s="62">
        <f ca="1">AVERAGE(OFFSET($CC$3,0,0,'Données projet'!$E$12+1,1))-AVERAGE(OFFSET($H$3,0,0,'Données projet'!$E$12+1,1))</f>
        <v>199.99576079505897</v>
      </c>
      <c r="CE33" s="62">
        <f t="shared" si="40"/>
        <v>407.41464279973172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0.27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0.4</v>
      </c>
      <c r="CK33" s="23">
        <f>EXP(-LN(2)/35)*CK32+(1-EXP(-LN(2)/35))/(LN(2)/35)*CG33*CH33*VLOOKUP('Données projet'!$B$12,Paramètres!$A$1:$I$89,3,0)*0.475*44/12</f>
        <v>10.894661352705947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1.9257275619318515</v>
      </c>
      <c r="CN33" s="24">
        <f t="shared" si="12"/>
        <v>12.8203889146378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243</v>
      </c>
      <c r="CR33" s="13">
        <f>VLOOKUP(A33,'Données projet'!$A$139:$I$159,9,0)</f>
        <v>8.6</v>
      </c>
      <c r="CS33" s="13">
        <f t="array" ref="CS33">INDEX(CR:CR,MIN(IF(ISNUMBER(CR33:CR229),ROW(CR33:CR229),"")))</f>
        <v>8.6</v>
      </c>
      <c r="CT33" s="13">
        <f>IF('Données projet'!$A$140&gt;35,CT32+CS33-DB32,IF(A33&lt;'Données projet'!$A$140,$CQ$205^A33,IF(A33='Données projet'!$A$140,'Données projet'!$B$140,CT32+CS33-DB32)))</f>
        <v>242.99999999999997</v>
      </c>
      <c r="CU33" s="18">
        <f>CT33*VLOOKUP('Données projet'!$B$13,Paramètres!$A$1:$I$89,3,0)*VLOOKUP('Données projet'!$B$13,Paramètres!$A$1:$I$89,5,0)</f>
        <v>219.86639999999997</v>
      </c>
      <c r="CV33" s="14">
        <f t="shared" si="41"/>
        <v>54.085847394182416</v>
      </c>
      <c r="CW33" s="22">
        <f t="shared" si="13"/>
        <v>477.13349754486762</v>
      </c>
      <c r="CX33" s="62">
        <f t="shared" si="14"/>
        <v>716.24092247790963</v>
      </c>
      <c r="CY33" s="62">
        <f ca="1">AVERAGE(OFFSET($CX$3,0,0,'Données projet'!$E$13+1,1))-AVERAGE(OFFSET($H$3,0,0,'Données projet'!$E$13+1,1))</f>
        <v>376.68007030857598</v>
      </c>
      <c r="CZ33" s="62">
        <f t="shared" si="42"/>
        <v>532.90758914457626</v>
      </c>
      <c r="DA33" s="16">
        <f>IF(ISNA(VLOOKUP(A33,'Données projet'!$A$139:$I$159,3,0)),0,VLOOKUP(A33,'Données projet'!$A$139:$I$159,3,0))</f>
        <v>6</v>
      </c>
      <c r="DB33" s="16">
        <f>IF(ISNA(VLOOKUP(A33,'Données projet'!$A$139:$I$159,4,0)),0,VLOOKUP(A33,'Données projet'!$A$139:$I$159,4,0))</f>
        <v>11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10.6</v>
      </c>
      <c r="N34" s="14">
        <f>IF('Données projet'!$A$36&gt;35,N33+M34-V33,IF(A34&lt;'Données projet'!$A$36,$K$205^A34,IF(A34='Données projet'!$A$36,'Données projet'!$B$36,N33+M34-V33)))</f>
        <v>136.6</v>
      </c>
      <c r="O34" s="14">
        <f>N34*VLOOKUP('Données projet'!$B$9,Paramètres!$A$1:$I$89,3,0)*VLOOKUP('Données projet'!$B$9,Paramètres!$A$1:$I$89,5,0)</f>
        <v>119.33376000000001</v>
      </c>
      <c r="P34" s="14">
        <f t="shared" si="33"/>
        <v>31.519559440518702</v>
      </c>
      <c r="Q34" s="22">
        <f t="shared" si="2"/>
        <v>262.7361980255701</v>
      </c>
      <c r="R34" s="62">
        <f t="shared" si="0"/>
        <v>502.78432123838763</v>
      </c>
      <c r="S34" s="62">
        <f ca="1">AVERAGE(OFFSET($R$3,0,0,'Données projet'!$E$9+1,1))-AVERAGE(OFFSET($H$3,0,0,'Données projet'!$E$9+1,1))</f>
        <v>354.90450119887635</v>
      </c>
      <c r="T34" s="62">
        <f t="shared" si="34"/>
        <v>367.95449187183942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76.727040000000002</v>
      </c>
      <c r="AK34" s="14">
        <f t="shared" si="35"/>
        <v>21.334993267156708</v>
      </c>
      <c r="AL34" s="22">
        <f t="shared" si="4"/>
        <v>170.79137460696458</v>
      </c>
      <c r="AM34" s="62">
        <f t="shared" si="5"/>
        <v>410.83949781978214</v>
      </c>
      <c r="AN34" s="62">
        <f ca="1">AVERAGE(OFFSET($AM$3,0,0,'Données projet'!$E$10+1,1))-AVERAGE(OFFSET($H$3,0,0,'Données projet'!$E$10+1,1))</f>
        <v>406.87679146534634</v>
      </c>
      <c r="AO34" s="62">
        <f t="shared" si="36"/>
        <v>252.43382636914751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62.870522503922729</v>
      </c>
      <c r="BJ34" s="62">
        <f t="shared" si="38"/>
        <v>322.87462304389692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51.15612667334598</v>
      </c>
      <c r="BQ34" s="23">
        <f>EXP(-LN(2)/25)*BQ33+(1-EXP(-LN(2)/25))/(LN(2)/25)*Calculateur!BL34*Calculateur!BN34*VLOOKUP('Données projet'!$B$11,Paramètres!$A$1:$I$89,3,0)*0.475*44/12</f>
        <v>12.242422984164131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63.39854965751011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</v>
      </c>
      <c r="BY34" s="13">
        <f>IF('Données projet'!$A$114&gt;35,BY33+BX34-CG33,IF(A34&lt;'Données projet'!$A$114,$BV$205^A34,IF(A34='Données projet'!$A$114,'Données projet'!$B$114,BY33+BX34-CG33)))</f>
        <v>283</v>
      </c>
      <c r="BZ34" s="14">
        <f>BY34*VLOOKUP('Données projet'!$B$12,Paramètres!$A$1:$I$89,3,0)*VLOOKUP('Données projet'!$B$12,Paramètres!$A$1:$I$89,5,0)</f>
        <v>169.23400000000001</v>
      </c>
      <c r="CA34" s="14">
        <f t="shared" si="39"/>
        <v>42.918420001269354</v>
      </c>
      <c r="CB34" s="22">
        <f t="shared" si="10"/>
        <v>369.4987981688775</v>
      </c>
      <c r="CC34" s="62">
        <f t="shared" si="11"/>
        <v>609.54692138169503</v>
      </c>
      <c r="CD34" s="62">
        <f ca="1">AVERAGE(OFFSET($CC$3,0,0,'Données projet'!$E$12+1,1))-AVERAGE(OFFSET($H$3,0,0,'Données projet'!$E$12+1,1))</f>
        <v>199.99576079505897</v>
      </c>
      <c r="CE34" s="62">
        <f t="shared" si="40"/>
        <v>407.41464279973172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10.681023688666661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1.3616950177598495</v>
      </c>
      <c r="CN34" s="24">
        <f t="shared" si="12"/>
        <v>12.042718706426511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</v>
      </c>
      <c r="CT34" s="13">
        <f>IF('Données projet'!$A$140&gt;35,CT33+CS34-DB33,IF(A34&lt;'Données projet'!$A$140,$CQ$205^A34,IF(A34='Données projet'!$A$140,'Données projet'!$B$140,CT33+CS34-DB33)))</f>
        <v>238.99999999999997</v>
      </c>
      <c r="CU34" s="18">
        <f>CT34*VLOOKUP('Données projet'!$B$13,Paramètres!$A$1:$I$89,3,0)*VLOOKUP('Données projet'!$B$13,Paramètres!$A$1:$I$89,5,0)</f>
        <v>216.24719999999996</v>
      </c>
      <c r="CV34" s="14">
        <f t="shared" si="41"/>
        <v>53.298418226645332</v>
      </c>
      <c r="CW34" s="22">
        <f t="shared" si="13"/>
        <v>469.45861841140714</v>
      </c>
      <c r="CX34" s="62">
        <f t="shared" si="14"/>
        <v>709.50674162422467</v>
      </c>
      <c r="CY34" s="62">
        <f ca="1">AVERAGE(OFFSET($CX$3,0,0,'Données projet'!$E$13+1,1))-AVERAGE(OFFSET($H$3,0,0,'Données projet'!$E$13+1,1))</f>
        <v>376.68007030857598</v>
      </c>
      <c r="CZ34" s="62">
        <f t="shared" si="42"/>
        <v>532.90758914457626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10.6</v>
      </c>
      <c r="N35" s="14">
        <f>IF('Données projet'!$A$36&gt;35,N34+M35-V34,IF(A35&lt;'Données projet'!$A$36,$K$205^A35,IF(A35='Données projet'!$A$36,'Données projet'!$B$36,N34+M35-V34)))</f>
        <v>147.19999999999999</v>
      </c>
      <c r="O35" s="14">
        <f>N35*VLOOKUP('Données projet'!$B$9,Paramètres!$A$1:$I$89,3,0)*VLOOKUP('Données projet'!$B$9,Paramètres!$A$1:$I$89,5,0)</f>
        <v>128.59392</v>
      </c>
      <c r="P35" s="14">
        <f t="shared" si="33"/>
        <v>33.671250175837564</v>
      </c>
      <c r="Q35" s="22">
        <f t="shared" ref="Q35:Q66" si="53">(O35+P35)*0.475*44/12</f>
        <v>282.61183805625041</v>
      </c>
      <c r="R35" s="62">
        <f t="shared" si="0"/>
        <v>523.5843405367757</v>
      </c>
      <c r="S35" s="62">
        <f ca="1">AVERAGE(OFFSET($R$3,0,0,'Données projet'!$E$9+1,1))-AVERAGE(OFFSET($H$3,0,0,'Données projet'!$E$9+1,1))</f>
        <v>354.90450119887635</v>
      </c>
      <c r="T35" s="62">
        <f t="shared" si="34"/>
        <v>367.95449187183942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83.784479999999988</v>
      </c>
      <c r="AK35" s="14">
        <f t="shared" si="35"/>
        <v>23.06000530770384</v>
      </c>
      <c r="AL35" s="22">
        <f t="shared" si="4"/>
        <v>186.08747857758416</v>
      </c>
      <c r="AM35" s="62">
        <f t="shared" si="5"/>
        <v>427.05998105810949</v>
      </c>
      <c r="AN35" s="62">
        <f ca="1">AVERAGE(OFFSET($AM$3,0,0,'Données projet'!$E$10+1,1))-AVERAGE(OFFSET($H$3,0,0,'Données projet'!$E$10+1,1))</f>
        <v>406.87679146534634</v>
      </c>
      <c r="AO35" s="62">
        <f t="shared" si="36"/>
        <v>252.43382636914751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62.870522503922729</v>
      </c>
      <c r="BJ35" s="62">
        <f t="shared" si="38"/>
        <v>322.87462304389692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50.152986231437978</v>
      </c>
      <c r="BQ35" s="23">
        <f>EXP(-LN(2)/25)*BQ34+(1-EXP(-LN(2)/25))/(LN(2)/25)*Calculateur!BL35*Calculateur!BN35*VLOOKUP('Données projet'!$B$11,Paramètres!$A$1:$I$89,3,0)*0.475*44/12</f>
        <v>11.907653283861119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62.060639515299101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</v>
      </c>
      <c r="BY35" s="13">
        <f>IF('Données projet'!$A$114&gt;35,BY34+BX35-CG34,IF(A35&lt;'Données projet'!$A$114,$BV$205^A35,IF(A35='Données projet'!$A$114,'Données projet'!$B$114,BY34+BX35-CG34)))</f>
        <v>297</v>
      </c>
      <c r="BZ35" s="14">
        <f>BY35*VLOOKUP('Données projet'!$B$12,Paramètres!$A$1:$I$89,3,0)*VLOOKUP('Données projet'!$B$12,Paramètres!$A$1:$I$89,5,0)</f>
        <v>177.60600000000002</v>
      </c>
      <c r="CA35" s="14">
        <f t="shared" si="39"/>
        <v>44.789150937858665</v>
      </c>
      <c r="CB35" s="22">
        <f t="shared" si="10"/>
        <v>387.33822121677053</v>
      </c>
      <c r="CC35" s="62">
        <f t="shared" si="11"/>
        <v>628.31072369729588</v>
      </c>
      <c r="CD35" s="62">
        <f ca="1">AVERAGE(OFFSET($CC$3,0,0,'Données projet'!$E$12+1,1))-AVERAGE(OFFSET($H$3,0,0,'Données projet'!$E$12+1,1))</f>
        <v>199.99576079505897</v>
      </c>
      <c r="CE35" s="62">
        <f t="shared" si="40"/>
        <v>407.41464279973172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10.471575328913076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0.96286378096592584</v>
      </c>
      <c r="CN35" s="24">
        <f t="shared" si="12"/>
        <v>11.434439109879001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</v>
      </c>
      <c r="CT35" s="13">
        <f>IF('Données projet'!$A$140&gt;35,CT34+CS35-DB34,IF(A35&lt;'Données projet'!$A$140,$CQ$205^A35,IF(A35='Données projet'!$A$140,'Données projet'!$B$140,CT34+CS35-DB34)))</f>
        <v>245.99999999999997</v>
      </c>
      <c r="CU35" s="18">
        <f>CT35*VLOOKUP('Données projet'!$B$13,Paramètres!$A$1:$I$89,3,0)*VLOOKUP('Données projet'!$B$13,Paramètres!$A$1:$I$89,5,0)</f>
        <v>222.58079999999998</v>
      </c>
      <c r="CV35" s="14">
        <f t="shared" si="41"/>
        <v>54.675428546153199</v>
      </c>
      <c r="CW35" s="22">
        <f t="shared" si="13"/>
        <v>482.88793138455003</v>
      </c>
      <c r="CX35" s="62">
        <f t="shared" si="14"/>
        <v>723.86043386507538</v>
      </c>
      <c r="CY35" s="62">
        <f ca="1">AVERAGE(OFFSET($CX$3,0,0,'Données projet'!$E$13+1,1))-AVERAGE(OFFSET($H$3,0,0,'Données projet'!$E$13+1,1))</f>
        <v>376.68007030857598</v>
      </c>
      <c r="CZ35" s="62">
        <f t="shared" si="42"/>
        <v>532.90758914457626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10.6</v>
      </c>
      <c r="N36" s="14">
        <f>IF('Données projet'!$A$36&gt;35,N35+M36-V35,IF(A36&lt;'Données projet'!$A$36,$K$205^A36,IF(A36='Données projet'!$A$36,'Données projet'!$B$36,N35+M36-V35)))</f>
        <v>157.79999999999998</v>
      </c>
      <c r="O36" s="14">
        <f>N36*VLOOKUP('Données projet'!$B$9,Paramètres!$A$1:$I$89,3,0)*VLOOKUP('Données projet'!$B$9,Paramètres!$A$1:$I$89,5,0)</f>
        <v>137.85408000000001</v>
      </c>
      <c r="P36" s="14">
        <f t="shared" si="33"/>
        <v>35.804964283629964</v>
      </c>
      <c r="Q36" s="22">
        <f t="shared" si="53"/>
        <v>302.45616879398887</v>
      </c>
      <c r="R36" s="62">
        <f t="shared" si="0"/>
        <v>544.33701462852957</v>
      </c>
      <c r="S36" s="62">
        <f ca="1">AVERAGE(OFFSET($R$3,0,0,'Données projet'!$E$9+1,1))-AVERAGE(OFFSET($H$3,0,0,'Données projet'!$E$9+1,1))</f>
        <v>354.90450119887635</v>
      </c>
      <c r="T36" s="62">
        <f t="shared" si="34"/>
        <v>367.95449187183942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90.841919999999988</v>
      </c>
      <c r="AK36" s="14">
        <f t="shared" si="35"/>
        <v>24.768165658148625</v>
      </c>
      <c r="AL36" s="22">
        <f t="shared" si="4"/>
        <v>201.35423252127552</v>
      </c>
      <c r="AM36" s="62">
        <f t="shared" si="5"/>
        <v>443.23507835581626</v>
      </c>
      <c r="AN36" s="62">
        <f ca="1">AVERAGE(OFFSET($AM$3,0,0,'Données projet'!$E$10+1,1))-AVERAGE(OFFSET($H$3,0,0,'Données projet'!$E$10+1,1))</f>
        <v>406.87679146534634</v>
      </c>
      <c r="AO36" s="62">
        <f t="shared" si="36"/>
        <v>252.43382636914751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62.870522503922729</v>
      </c>
      <c r="BJ36" s="62">
        <f t="shared" si="38"/>
        <v>322.87462304389692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49.169516761740539</v>
      </c>
      <c r="BQ36" s="23">
        <f>EXP(-LN(2)/25)*BQ35+(1-EXP(-LN(2)/25))/(LN(2)/25)*Calculateur!BL36*Calculateur!BN36*VLOOKUP('Données projet'!$B$11,Paramètres!$A$1:$I$89,3,0)*0.475*44/12</f>
        <v>11.582037878617665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60.751554640358208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</v>
      </c>
      <c r="BY36" s="13">
        <f>IF('Données projet'!$A$114&gt;35,BY35+BX36-CG35,IF(A36&lt;'Données projet'!$A$114,$BV$205^A36,IF(A36='Données projet'!$A$114,'Données projet'!$B$114,BY35+BX36-CG35)))</f>
        <v>311</v>
      </c>
      <c r="BZ36" s="14">
        <f>BY36*VLOOKUP('Données projet'!$B$12,Paramètres!$A$1:$I$89,3,0)*VLOOKUP('Données projet'!$B$12,Paramètres!$A$1:$I$89,5,0)</f>
        <v>185.97800000000001</v>
      </c>
      <c r="CA36" s="14">
        <f t="shared" si="39"/>
        <v>46.649641523668571</v>
      </c>
      <c r="CB36" s="22">
        <f t="shared" si="10"/>
        <v>405.15980898705612</v>
      </c>
      <c r="CC36" s="62">
        <f t="shared" si="11"/>
        <v>647.04065482159683</v>
      </c>
      <c r="CD36" s="62">
        <f ca="1">AVERAGE(OFFSET($CC$3,0,0,'Données projet'!$E$12+1,1))-AVERAGE(OFFSET($H$3,0,0,'Données projet'!$E$12+1,1))</f>
        <v>199.99576079505897</v>
      </c>
      <c r="CE36" s="62">
        <f t="shared" si="40"/>
        <v>407.41464279973172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10.266234123743374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0.68084750887992485</v>
      </c>
      <c r="CN36" s="24">
        <f t="shared" si="12"/>
        <v>10.947081632623298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</v>
      </c>
      <c r="CT36" s="13">
        <f>IF('Données projet'!$A$140&gt;35,CT35+CS36-DB35,IF(A36&lt;'Données projet'!$A$140,$CQ$205^A36,IF(A36='Données projet'!$A$140,'Données projet'!$B$140,CT35+CS36-DB35)))</f>
        <v>252.99999999999997</v>
      </c>
      <c r="CU36" s="18">
        <f>CT36*VLOOKUP('Données projet'!$B$13,Paramètres!$A$1:$I$89,3,0)*VLOOKUP('Données projet'!$B$13,Paramètres!$A$1:$I$89,5,0)</f>
        <v>228.91439999999997</v>
      </c>
      <c r="CV36" s="14">
        <f t="shared" si="41"/>
        <v>56.047884834417424</v>
      </c>
      <c r="CW36" s="22">
        <f t="shared" si="13"/>
        <v>496.30931275327697</v>
      </c>
      <c r="CX36" s="62">
        <f t="shared" si="14"/>
        <v>738.19015858781768</v>
      </c>
      <c r="CY36" s="62">
        <f ca="1">AVERAGE(OFFSET($CX$3,0,0,'Données projet'!$E$13+1,1))-AVERAGE(OFFSET($H$3,0,0,'Données projet'!$E$13+1,1))</f>
        <v>376.68007030857598</v>
      </c>
      <c r="CZ36" s="62">
        <f t="shared" si="42"/>
        <v>532.90758914457626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10.6</v>
      </c>
      <c r="N37" s="14">
        <f>IF('Données projet'!$A$36&gt;35,N36+M37-V36,IF(A37&lt;'Données projet'!$A$36,$K$205^A37,IF(A37='Données projet'!$A$36,'Données projet'!$B$36,N36+M37-V36)))</f>
        <v>168.39999999999998</v>
      </c>
      <c r="O37" s="14">
        <f>N37*VLOOKUP('Données projet'!$B$9,Paramètres!$A$1:$I$89,3,0)*VLOOKUP('Données projet'!$B$9,Paramètres!$A$1:$I$89,5,0)</f>
        <v>147.11424</v>
      </c>
      <c r="P37" s="14">
        <f t="shared" si="33"/>
        <v>37.922046712608186</v>
      </c>
      <c r="Q37" s="22">
        <f t="shared" si="53"/>
        <v>322.27153269112591</v>
      </c>
      <c r="R37" s="62">
        <f t="shared" si="0"/>
        <v>565.04496415324149</v>
      </c>
      <c r="S37" s="62">
        <f ca="1">AVERAGE(OFFSET($R$3,0,0,'Données projet'!$E$9+1,1))-AVERAGE(OFFSET($H$3,0,0,'Données projet'!$E$9+1,1))</f>
        <v>354.90450119887635</v>
      </c>
      <c r="T37" s="62">
        <f t="shared" si="34"/>
        <v>367.95449187183942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97.899359999999987</v>
      </c>
      <c r="AK37" s="14">
        <f t="shared" si="35"/>
        <v>26.460932364201845</v>
      </c>
      <c r="AL37" s="22">
        <f t="shared" si="4"/>
        <v>216.59417586765153</v>
      </c>
      <c r="AM37" s="62">
        <f t="shared" si="5"/>
        <v>459.36760732976711</v>
      </c>
      <c r="AN37" s="62">
        <f ca="1">AVERAGE(OFFSET($AM$3,0,0,'Données projet'!$E$10+1,1))-AVERAGE(OFFSET($H$3,0,0,'Données projet'!$E$10+1,1))</f>
        <v>406.87679146534634</v>
      </c>
      <c r="AO37" s="62">
        <f t="shared" si="36"/>
        <v>252.43382636914751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62.870522503922729</v>
      </c>
      <c r="BJ37" s="62">
        <f t="shared" si="38"/>
        <v>322.87462304389692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48.205332528486721</v>
      </c>
      <c r="BQ37" s="23">
        <f>EXP(-LN(2)/25)*BQ36+(1-EXP(-LN(2)/25))/(LN(2)/25)*Calculateur!BL37*Calculateur!BN37*VLOOKUP('Données projet'!$B$11,Paramètres!$A$1:$I$89,3,0)*0.475*44/12</f>
        <v>11.265326443753965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59.470658972240685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325</v>
      </c>
      <c r="BW37" s="13">
        <f>VLOOKUP(A37,'Données projet'!$A$113:$I$133,9,0)</f>
        <v>14</v>
      </c>
      <c r="BX37" s="13">
        <f t="array" ref="BX37">INDEX(BW:BW,MIN(IF(ISNUMBER(BW37:BW233),ROW(BW37:BW233),"")))</f>
        <v>14</v>
      </c>
      <c r="BY37" s="13">
        <f>IF('Données projet'!$A$114&gt;35,BY36+BX37-CG36,IF(A37&lt;'Données projet'!$A$114,$BV$205^A37,IF(A37='Données projet'!$A$114,'Données projet'!$B$114,BY36+BX37-CG36)))</f>
        <v>325</v>
      </c>
      <c r="BZ37" s="14">
        <f>BY37*VLOOKUP('Données projet'!$B$12,Paramètres!$A$1:$I$89,3,0)*VLOOKUP('Données projet'!$B$12,Paramètres!$A$1:$I$89,5,0)</f>
        <v>194.35</v>
      </c>
      <c r="CA37" s="14">
        <f t="shared" si="39"/>
        <v>48.500405405690429</v>
      </c>
      <c r="CB37" s="22">
        <f t="shared" si="10"/>
        <v>422.96445608157745</v>
      </c>
      <c r="CC37" s="62">
        <f t="shared" si="11"/>
        <v>665.73788754369298</v>
      </c>
      <c r="CD37" s="62">
        <f ca="1">AVERAGE(OFFSET($CC$3,0,0,'Données projet'!$E$12+1,1))-AVERAGE(OFFSET($H$3,0,0,'Données projet'!$E$12+1,1))</f>
        <v>199.99576079505897</v>
      </c>
      <c r="CE37" s="62">
        <f t="shared" si="40"/>
        <v>407.41464279973172</v>
      </c>
      <c r="CF37" s="16">
        <f>IF(ISNA(VLOOKUP(A37,'Données projet'!$A$113:$I$133,3,0)),0,VLOOKUP(A37,'Données projet'!$A$113:$I$133,3,0))</f>
        <v>5</v>
      </c>
      <c r="CG37" s="16">
        <f>IF(ISNA(VLOOKUP(A37,'Données projet'!$A$113:$I$133,4,0)),0,VLOOKUP(A37,'Données projet'!$A$113:$I$133,4,0))</f>
        <v>325</v>
      </c>
      <c r="CH37" s="17">
        <f>IF(ISNA(VLOOKUP(A37,'Données projet'!$A$113:$I$133,5,0)),0%,VLOOKUP(A37,'Données projet'!$A$113:$I$133,5,0)*VLOOKUP('Données projet'!$B$12,Paramètres!$A$1:$I$89,7,0))</f>
        <v>0.315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0.3</v>
      </c>
      <c r="CK37" s="23">
        <f>EXP(-LN(2)/35)*CK36+(1-EXP(-LN(2)/35))/(LN(2)/35)*CG37*CH37*VLOOKUP('Données projet'!$B$12,Paramètres!$A$1:$I$89,3,0)*0.475*44/12</f>
        <v>91.277527137483801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66.496235997763563</v>
      </c>
      <c r="CN37" s="24">
        <f t="shared" si="12"/>
        <v>157.77376313524735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</v>
      </c>
      <c r="CT37" s="13">
        <f>IF('Données projet'!$A$140&gt;35,CT36+CS37-DB36,IF(A37&lt;'Données projet'!$A$140,$CQ$205^A37,IF(A37='Données projet'!$A$140,'Données projet'!$B$140,CT36+CS37-DB36)))</f>
        <v>260</v>
      </c>
      <c r="CU37" s="18">
        <f>CT37*VLOOKUP('Données projet'!$B$13,Paramètres!$A$1:$I$89,3,0)*VLOOKUP('Données projet'!$B$13,Paramètres!$A$1:$I$89,5,0)</f>
        <v>235.24799999999999</v>
      </c>
      <c r="CV37" s="14">
        <f t="shared" si="41"/>
        <v>57.41592756883739</v>
      </c>
      <c r="CW37" s="22">
        <f t="shared" si="13"/>
        <v>509.72300718239177</v>
      </c>
      <c r="CX37" s="62">
        <f t="shared" si="14"/>
        <v>752.49643864450741</v>
      </c>
      <c r="CY37" s="62">
        <f ca="1">AVERAGE(OFFSET($CX$3,0,0,'Données projet'!$E$13+1,1))-AVERAGE(OFFSET($H$3,0,0,'Données projet'!$E$13+1,1))</f>
        <v>376.68007030857598</v>
      </c>
      <c r="CZ37" s="62">
        <f t="shared" si="42"/>
        <v>532.90758914457626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179</v>
      </c>
      <c r="L38" s="13">
        <f>VLOOKUP(A38,'Données projet'!$A$35:$I$55,9,0)</f>
        <v>10.6</v>
      </c>
      <c r="M38" s="13">
        <f t="array" ref="M38">INDEX(L:L,MIN(IF(ISNUMBER(L38:L234),ROW(L38:L234),"")))</f>
        <v>10.6</v>
      </c>
      <c r="N38" s="14">
        <f>IF('Données projet'!$A$36&gt;35,N37+M38-V37,IF(A38&lt;'Données projet'!$A$36,$K$205^A38,IF(A38='Données projet'!$A$36,'Données projet'!$B$36,N37+M38-V37)))</f>
        <v>178.99999999999997</v>
      </c>
      <c r="O38" s="14">
        <f>N38*VLOOKUP('Données projet'!$B$9,Paramètres!$A$1:$I$89,3,0)*VLOOKUP('Données projet'!$B$9,Paramètres!$A$1:$I$89,5,0)</f>
        <v>156.37440000000001</v>
      </c>
      <c r="P38" s="14">
        <f t="shared" si="33"/>
        <v>40.023663524293205</v>
      </c>
      <c r="Q38" s="22">
        <f t="shared" si="53"/>
        <v>342.05996063814399</v>
      </c>
      <c r="R38" s="62">
        <f t="shared" si="0"/>
        <v>585.71049336271847</v>
      </c>
      <c r="S38" s="62">
        <f ca="1">AVERAGE(OFFSET($R$3,0,0,'Données projet'!$E$9+1,1))-AVERAGE(OFFSET($H$3,0,0,'Données projet'!$E$9+1,1))</f>
        <v>354.90450119887635</v>
      </c>
      <c r="T38" s="62">
        <f t="shared" si="34"/>
        <v>367.95449187183942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36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104.95679999999999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475.45999389040423</v>
      </c>
      <c r="AN38" s="62">
        <f ca="1">AVERAGE(OFFSET($AM$3,0,0,'Données projet'!$E$10+1,1))-AVERAGE(OFFSET($H$3,0,0,'Données projet'!$E$10+1,1))</f>
        <v>406.87679146534634</v>
      </c>
      <c r="AO38" s="62">
        <f t="shared" si="36"/>
        <v>252.43382636914751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62.870522503922729</v>
      </c>
      <c r="BJ38" s="62">
        <f t="shared" si="38"/>
        <v>322.87462304389692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47.260055359952695</v>
      </c>
      <c r="BQ38" s="23">
        <f>EXP(-LN(2)/25)*BQ37+(1-EXP(-LN(2)/25))/(LN(2)/25)*Calculateur!BL38*Calculateur!BN38*VLOOKUP('Données projet'!$B$11,Paramètres!$A$1:$I$89,3,0)*0.475*44/12</f>
        <v>10.957275499731743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58.217330859684438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199.99576079505897</v>
      </c>
      <c r="CE38" s="62">
        <f t="shared" si="40"/>
        <v>407.41464279973172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89.487630504111962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47.019939397399625</v>
      </c>
      <c r="CN38" s="24">
        <f t="shared" si="12"/>
        <v>136.5075699015116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267</v>
      </c>
      <c r="CR38" s="13">
        <f>VLOOKUP(A38,'Données projet'!$A$139:$I$159,9,0)</f>
        <v>7</v>
      </c>
      <c r="CS38" s="13">
        <f t="array" ref="CS38">INDEX(CR:CR,MIN(IF(ISNUMBER(CR38:CR234),ROW(CR38:CR234),"")))</f>
        <v>7</v>
      </c>
      <c r="CT38" s="13">
        <f>IF('Données projet'!$A$140&gt;35,CT37+CS38-DB37,IF(A38&lt;'Données projet'!$A$140,$CQ$205^A38,IF(A38='Données projet'!$A$140,'Données projet'!$B$140,CT37+CS38-DB37)))</f>
        <v>267</v>
      </c>
      <c r="CU38" s="18">
        <f>CT38*VLOOKUP('Données projet'!$B$13,Paramètres!$A$1:$I$89,3,0)*VLOOKUP('Données projet'!$B$13,Paramètres!$A$1:$I$89,5,0)</f>
        <v>241.58159999999998</v>
      </c>
      <c r="CV38" s="14">
        <f t="shared" si="41"/>
        <v>58.779689232021951</v>
      </c>
      <c r="CW38" s="22">
        <f t="shared" si="13"/>
        <v>523.12924541243819</v>
      </c>
      <c r="CX38" s="62">
        <f t="shared" si="14"/>
        <v>766.77977813701273</v>
      </c>
      <c r="CY38" s="62">
        <f ca="1">AVERAGE(OFFSET($CX$3,0,0,'Données projet'!$E$13+1,1))-AVERAGE(OFFSET($H$3,0,0,'Données projet'!$E$13+1,1))</f>
        <v>376.68007030857598</v>
      </c>
      <c r="CZ38" s="62">
        <f t="shared" si="42"/>
        <v>532.90758914457626</v>
      </c>
      <c r="DA38" s="16">
        <f>IF(ISNA(VLOOKUP(A38,'Données projet'!$A$139:$I$159,3,0)),0,VLOOKUP(A38,'Données projet'!$A$139:$I$159,3,0))</f>
        <v>7</v>
      </c>
      <c r="DB38" s="16">
        <f>IF(ISNA(VLOOKUP(A38,'Données projet'!$A$139:$I$159,4,0)),0,VLOOKUP(A38,'Données projet'!$A$139:$I$159,4,0))</f>
        <v>9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9.6</v>
      </c>
      <c r="N39" s="14">
        <f>IF('Données projet'!$A$36&gt;35,N38+M39-V38,IF(A39&lt;'Données projet'!$A$36,$K$205^A39,IF(A39='Données projet'!$A$36,'Données projet'!$B$36,N38+M39-V38)))</f>
        <v>152.59999999999997</v>
      </c>
      <c r="O39" s="14">
        <f>N39*VLOOKUP('Données projet'!$B$9,Paramètres!$A$1:$I$89,3,0)*VLOOKUP('Données projet'!$B$9,Paramètres!$A$1:$I$89,5,0)</f>
        <v>133.31135999999998</v>
      </c>
      <c r="P39" s="14">
        <f t="shared" si="33"/>
        <v>34.760393689821633</v>
      </c>
      <c r="Q39" s="22">
        <f t="shared" si="53"/>
        <v>292.72497100977256</v>
      </c>
      <c r="R39" s="62">
        <f t="shared" si="0"/>
        <v>537.23738925080693</v>
      </c>
      <c r="S39" s="62">
        <f ca="1">AVERAGE(OFFSET($R$3,0,0,'Données projet'!$E$9+1,1))-AVERAGE(OFFSET($H$3,0,0,'Données projet'!$E$9+1,1))</f>
        <v>354.90450119887635</v>
      </c>
      <c r="T39" s="62">
        <f t="shared" si="34"/>
        <v>367.95449187183942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451.73121514757554</v>
      </c>
      <c r="AN39" s="62">
        <f ca="1">AVERAGE(OFFSET($AM$3,0,0,'Données projet'!$E$10+1,1))-AVERAGE(OFFSET($H$3,0,0,'Données projet'!$E$10+1,1))</f>
        <v>406.87679146534634</v>
      </c>
      <c r="AO39" s="62">
        <f t="shared" si="36"/>
        <v>252.43382636914751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62.870522503922729</v>
      </c>
      <c r="BJ39" s="62">
        <f t="shared" si="38"/>
        <v>322.87462304389692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46.333314500131479</v>
      </c>
      <c r="BQ39" s="23">
        <f>EXP(-LN(2)/25)*BQ38+(1-EXP(-LN(2)/25))/(LN(2)/25)*Calculateur!BL39*Calculateur!BN39*VLOOKUP('Données projet'!$B$11,Paramètres!$A$1:$I$89,3,0)*0.475*44/12</f>
        <v>10.657648224973503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56.990962725104978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199.99576079505897</v>
      </c>
      <c r="CE39" s="62">
        <f t="shared" si="40"/>
        <v>407.41464279973172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87.732832651991401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33.248117998881781</v>
      </c>
      <c r="CN39" s="24">
        <f t="shared" si="12"/>
        <v>120.98095065087318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6.2</v>
      </c>
      <c r="CT39" s="13">
        <f>IF('Données projet'!$A$140&gt;35,CT38+CS39-DB38,IF(A39&lt;'Données projet'!$A$140,$CQ$205^A39,IF(A39='Données projet'!$A$140,'Données projet'!$B$140,CT38+CS39-DB38)))</f>
        <v>264.2</v>
      </c>
      <c r="CU39" s="18">
        <f>CT39*VLOOKUP('Données projet'!$B$13,Paramètres!$A$1:$I$89,3,0)*VLOOKUP('Données projet'!$B$13,Paramètres!$A$1:$I$89,5,0)</f>
        <v>239.04816</v>
      </c>
      <c r="CV39" s="14">
        <f t="shared" si="41"/>
        <v>58.234690128947292</v>
      </c>
      <c r="CW39" s="22">
        <f t="shared" si="13"/>
        <v>517.76763064124987</v>
      </c>
      <c r="CX39" s="62">
        <f t="shared" si="14"/>
        <v>762.28004888228429</v>
      </c>
      <c r="CY39" s="62">
        <f ca="1">AVERAGE(OFFSET($CX$3,0,0,'Données projet'!$E$13+1,1))-AVERAGE(OFFSET($H$3,0,0,'Données projet'!$E$13+1,1))</f>
        <v>376.68007030857598</v>
      </c>
      <c r="CZ39" s="62">
        <f t="shared" si="42"/>
        <v>532.90758914457626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9.6</v>
      </c>
      <c r="N40" s="14">
        <f>IF('Données projet'!$A$36&gt;35,N39+M40-V39,IF(A40&lt;'Données projet'!$A$36,$K$205^A40,IF(A40='Données projet'!$A$36,'Données projet'!$B$36,N39+M40-V39)))</f>
        <v>162.19999999999996</v>
      </c>
      <c r="O40" s="14">
        <f>N40*VLOOKUP('Données projet'!$B$9,Paramètres!$A$1:$I$89,3,0)*VLOOKUP('Données projet'!$B$9,Paramètres!$A$1:$I$89,5,0)</f>
        <v>141.69791999999998</v>
      </c>
      <c r="P40" s="14">
        <f t="shared" si="33"/>
        <v>36.685701801209362</v>
      </c>
      <c r="Q40" s="22">
        <f t="shared" si="53"/>
        <v>310.68480797043964</v>
      </c>
      <c r="R40" s="62">
        <f t="shared" si="0"/>
        <v>556.04415994111071</v>
      </c>
      <c r="S40" s="62">
        <f ca="1">AVERAGE(OFFSET($R$3,0,0,'Données projet'!$E$9+1,1))-AVERAGE(OFFSET($H$3,0,0,'Données projet'!$E$9+1,1))</f>
        <v>354.90450119887635</v>
      </c>
      <c r="T40" s="62">
        <f t="shared" si="34"/>
        <v>367.95449187183942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101.15664</v>
      </c>
      <c r="AK40" s="14">
        <f t="shared" si="35"/>
        <v>27.237366379381644</v>
      </c>
      <c r="AL40" s="22">
        <f t="shared" si="4"/>
        <v>223.61956111075634</v>
      </c>
      <c r="AM40" s="62">
        <f t="shared" si="5"/>
        <v>468.97891308142744</v>
      </c>
      <c r="AN40" s="62">
        <f ca="1">AVERAGE(OFFSET($AM$3,0,0,'Données projet'!$E$10+1,1))-AVERAGE(OFFSET($H$3,0,0,'Données projet'!$E$10+1,1))</f>
        <v>406.87679146534634</v>
      </c>
      <c r="AO40" s="62">
        <f t="shared" si="36"/>
        <v>252.43382636914751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62.870522503922729</v>
      </c>
      <c r="BJ40" s="62">
        <f t="shared" si="38"/>
        <v>322.87462304389692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45.424746463315252</v>
      </c>
      <c r="BQ40" s="23">
        <f>EXP(-LN(2)/25)*BQ39+(1-EXP(-LN(2)/25))/(LN(2)/25)*Calculateur!BL40*Calculateur!BN40*VLOOKUP('Données projet'!$B$11,Paramètres!$A$1:$I$89,3,0)*0.475*44/12</f>
        <v>10.366214273800241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55.790960737115491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199.99576079505897</v>
      </c>
      <c r="CE40" s="62">
        <f t="shared" si="40"/>
        <v>407.41464279973172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86.012445315429929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23.509969698699813</v>
      </c>
      <c r="CN40" s="24">
        <f t="shared" si="12"/>
        <v>109.52241501412973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6.2</v>
      </c>
      <c r="CT40" s="13">
        <f>IF('Données projet'!$A$140&gt;35,CT39+CS40-DB39,IF(A40&lt;'Données projet'!$A$140,$CQ$205^A40,IF(A40='Données projet'!$A$140,'Données projet'!$B$140,CT39+CS40-DB39)))</f>
        <v>270.39999999999998</v>
      </c>
      <c r="CU40" s="18">
        <f>CT40*VLOOKUP('Données projet'!$B$13,Paramètres!$A$1:$I$89,3,0)*VLOOKUP('Données projet'!$B$13,Paramètres!$A$1:$I$89,5,0)</f>
        <v>244.65791999999996</v>
      </c>
      <c r="CV40" s="14">
        <f t="shared" si="41"/>
        <v>59.44058075210868</v>
      </c>
      <c r="CW40" s="22">
        <f t="shared" si="13"/>
        <v>529.6382221432558</v>
      </c>
      <c r="CX40" s="62">
        <f t="shared" si="14"/>
        <v>774.99757411392693</v>
      </c>
      <c r="CY40" s="62">
        <f ca="1">AVERAGE(OFFSET($CX$3,0,0,'Données projet'!$E$13+1,1))-AVERAGE(OFFSET($H$3,0,0,'Données projet'!$E$13+1,1))</f>
        <v>376.68007030857598</v>
      </c>
      <c r="CZ40" s="62">
        <f t="shared" si="42"/>
        <v>532.90758914457626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9.6</v>
      </c>
      <c r="N41" s="14">
        <f>IF('Données projet'!$A$36&gt;35,N40+M41-V40,IF(A41&lt;'Données projet'!$A$36,$K$205^A41,IF(A41='Données projet'!$A$36,'Données projet'!$B$36,N40+M41-V40)))</f>
        <v>171.79999999999995</v>
      </c>
      <c r="O41" s="14">
        <f>N41*VLOOKUP('Données projet'!$B$9,Paramètres!$A$1:$I$89,3,0)*VLOOKUP('Données projet'!$B$9,Paramètres!$A$1:$I$89,5,0)</f>
        <v>150.08447999999999</v>
      </c>
      <c r="P41" s="14">
        <f t="shared" si="33"/>
        <v>38.597783374841299</v>
      </c>
      <c r="Q41" s="22">
        <f t="shared" si="53"/>
        <v>328.62160871118186</v>
      </c>
      <c r="R41" s="62">
        <f t="shared" si="0"/>
        <v>574.81320200474056</v>
      </c>
      <c r="S41" s="62">
        <f ca="1">AVERAGE(OFFSET($R$3,0,0,'Données projet'!$E$9+1,1))-AVERAGE(OFFSET($H$3,0,0,'Données projet'!$E$9+1,1))</f>
        <v>354.90450119887635</v>
      </c>
      <c r="T41" s="62">
        <f t="shared" si="34"/>
        <v>367.95449187183942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108.75695999999999</v>
      </c>
      <c r="AK41" s="14">
        <f t="shared" si="35"/>
        <v>29.037921223305585</v>
      </c>
      <c r="AL41" s="22">
        <f t="shared" si="4"/>
        <v>239.99275146392384</v>
      </c>
      <c r="AM41" s="62">
        <f t="shared" si="5"/>
        <v>486.18434475748256</v>
      </c>
      <c r="AN41" s="62">
        <f ca="1">AVERAGE(OFFSET($AM$3,0,0,'Données projet'!$E$10+1,1))-AVERAGE(OFFSET($H$3,0,0,'Données projet'!$E$10+1,1))</f>
        <v>406.87679146534634</v>
      </c>
      <c r="AO41" s="62">
        <f t="shared" si="36"/>
        <v>252.43382636914751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62.870522503922729</v>
      </c>
      <c r="BJ41" s="62">
        <f t="shared" si="38"/>
        <v>322.87462304389692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44.533994891529204</v>
      </c>
      <c r="BQ41" s="23">
        <f>EXP(-LN(2)/25)*BQ40+(1-EXP(-LN(2)/25))/(LN(2)/25)*Calculateur!BL41*Calculateur!BN41*VLOOKUP('Données projet'!$B$11,Paramètres!$A$1:$I$89,3,0)*0.475*44/12</f>
        <v>10.082749599347657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54.616744490876862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199.99576079505897</v>
      </c>
      <c r="CE41" s="62">
        <f t="shared" si="40"/>
        <v>407.41464279973172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84.325793725205756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16.624058999440891</v>
      </c>
      <c r="CN41" s="24">
        <f t="shared" si="12"/>
        <v>100.94985272464665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6.2</v>
      </c>
      <c r="CT41" s="13">
        <f>IF('Données projet'!$A$140&gt;35,CT40+CS41-DB40,IF(A41&lt;'Données projet'!$A$140,$CQ$205^A41,IF(A41='Données projet'!$A$140,'Données projet'!$B$140,CT40+CS41-DB40)))</f>
        <v>276.59999999999997</v>
      </c>
      <c r="CU41" s="18">
        <f>CT41*VLOOKUP('Données projet'!$B$13,Paramètres!$A$1:$I$89,3,0)*VLOOKUP('Données projet'!$B$13,Paramètres!$A$1:$I$89,5,0)</f>
        <v>250.26767999999996</v>
      </c>
      <c r="CV41" s="14">
        <f t="shared" si="41"/>
        <v>60.643256925083442</v>
      </c>
      <c r="CW41" s="22">
        <f t="shared" si="13"/>
        <v>541.50321514452014</v>
      </c>
      <c r="CX41" s="62">
        <f t="shared" si="14"/>
        <v>787.69480843807889</v>
      </c>
      <c r="CY41" s="62">
        <f ca="1">AVERAGE(OFFSET($CX$3,0,0,'Données projet'!$E$13+1,1))-AVERAGE(OFFSET($H$3,0,0,'Données projet'!$E$13+1,1))</f>
        <v>376.68007030857598</v>
      </c>
      <c r="CZ41" s="62">
        <f t="shared" si="42"/>
        <v>532.90758914457626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9.6</v>
      </c>
      <c r="N42" s="14">
        <f>IF('Données projet'!$A$36&gt;35,N41+M42-V41,IF(A42&lt;'Données projet'!$A$36,$K$205^A42,IF(A42='Données projet'!$A$36,'Données projet'!$B$36,N41+M42-V41)))</f>
        <v>181.39999999999995</v>
      </c>
      <c r="O42" s="14">
        <f>N42*VLOOKUP('Données projet'!$B$9,Paramètres!$A$1:$I$89,3,0)*VLOOKUP('Données projet'!$B$9,Paramètres!$A$1:$I$89,5,0)</f>
        <v>158.47103999999996</v>
      </c>
      <c r="P42" s="14">
        <f t="shared" si="33"/>
        <v>40.497461727609561</v>
      </c>
      <c r="Q42" s="22">
        <f t="shared" si="53"/>
        <v>346.53680717558655</v>
      </c>
      <c r="R42" s="62">
        <f t="shared" si="0"/>
        <v>593.54620426569363</v>
      </c>
      <c r="S42" s="62">
        <f ca="1">AVERAGE(OFFSET($R$3,0,0,'Données projet'!$E$9+1,1))-AVERAGE(OFFSET($H$3,0,0,'Données projet'!$E$9+1,1))</f>
        <v>354.90450119887635</v>
      </c>
      <c r="T42" s="62">
        <f t="shared" si="34"/>
        <v>367.95449187183942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116.35727999999999</v>
      </c>
      <c r="AK42" s="14">
        <f t="shared" si="35"/>
        <v>30.823876427820704</v>
      </c>
      <c r="AL42" s="22">
        <f t="shared" si="4"/>
        <v>256.34051411178768</v>
      </c>
      <c r="AM42" s="62">
        <f t="shared" si="5"/>
        <v>503.34991120189477</v>
      </c>
      <c r="AN42" s="62">
        <f ca="1">AVERAGE(OFFSET($AM$3,0,0,'Données projet'!$E$10+1,1))-AVERAGE(OFFSET($H$3,0,0,'Données projet'!$E$10+1,1))</f>
        <v>406.87679146534634</v>
      </c>
      <c r="AO42" s="62">
        <f t="shared" si="36"/>
        <v>252.43382636914751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62.870522503922729</v>
      </c>
      <c r="BJ42" s="62">
        <f t="shared" si="38"/>
        <v>322.87462304389692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43.66071041476107</v>
      </c>
      <c r="BQ42" s="23">
        <f>EXP(-LN(2)/25)*BQ41+(1-EXP(-LN(2)/25))/(LN(2)/25)*Calculateur!BL42*Calculateur!BN42*VLOOKUP('Données projet'!$B$11,Paramètres!$A$1:$I$89,3,0)*0.475*44/12</f>
        <v>9.8070362813247396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53.467746696085811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199.99576079505897</v>
      </c>
      <c r="CE42" s="62">
        <f t="shared" si="40"/>
        <v>407.41464279973172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82.672216343909994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11.754984849349906</v>
      </c>
      <c r="CN42" s="24">
        <f t="shared" si="12"/>
        <v>94.427201193259904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6.2</v>
      </c>
      <c r="CT42" s="13">
        <f>IF('Données projet'!$A$140&gt;35,CT41+CS42-DB41,IF(A42&lt;'Données projet'!$A$140,$CQ$205^A42,IF(A42='Données projet'!$A$140,'Données projet'!$B$140,CT41+CS42-DB41)))</f>
        <v>282.79999999999995</v>
      </c>
      <c r="CU42" s="18">
        <f>CT42*VLOOKUP('Données projet'!$B$13,Paramètres!$A$1:$I$89,3,0)*VLOOKUP('Données projet'!$B$13,Paramètres!$A$1:$I$89,5,0)</f>
        <v>255.87743999999998</v>
      </c>
      <c r="CV42" s="14">
        <f t="shared" si="41"/>
        <v>61.842798995505326</v>
      </c>
      <c r="CW42" s="22">
        <f t="shared" si="13"/>
        <v>553.36274958383854</v>
      </c>
      <c r="CX42" s="62">
        <f t="shared" si="14"/>
        <v>800.37214667394562</v>
      </c>
      <c r="CY42" s="62">
        <f ca="1">AVERAGE(OFFSET($CX$3,0,0,'Données projet'!$E$13+1,1))-AVERAGE(OFFSET($H$3,0,0,'Données projet'!$E$13+1,1))</f>
        <v>376.68007030857598</v>
      </c>
      <c r="CZ42" s="62">
        <f t="shared" si="42"/>
        <v>532.90758914457626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191</v>
      </c>
      <c r="L43" s="13">
        <f>VLOOKUP(A43,'Données projet'!$A$35:$I$55,9,0)</f>
        <v>9.6</v>
      </c>
      <c r="M43" s="13">
        <f t="array" ref="M43">INDEX(L:L,MIN(IF(ISNUMBER(L43:L239),ROW(L43:L239),"")))</f>
        <v>9.6</v>
      </c>
      <c r="N43" s="14">
        <f>IF('Données projet'!$A$36&gt;35,N42+M43-V42,IF(A43&lt;'Données projet'!$A$36,$K$205^A43,IF(A43='Données projet'!$A$36,'Données projet'!$B$36,N42+M43-V42)))</f>
        <v>190.99999999999994</v>
      </c>
      <c r="O43" s="14">
        <f>N43*VLOOKUP('Données projet'!$B$9,Paramètres!$A$1:$I$89,3,0)*VLOOKUP('Données projet'!$B$9,Paramètres!$A$1:$I$89,5,0)</f>
        <v>166.85759999999996</v>
      </c>
      <c r="P43" s="14">
        <f t="shared" si="33"/>
        <v>42.385468111966098</v>
      </c>
      <c r="Q43" s="22">
        <f t="shared" si="53"/>
        <v>364.43167696167421</v>
      </c>
      <c r="R43" s="62">
        <f t="shared" si="0"/>
        <v>612.24469078079505</v>
      </c>
      <c r="S43" s="62">
        <f ca="1">AVERAGE(OFFSET($R$3,0,0,'Données projet'!$E$9+1,1))-AVERAGE(OFFSET($H$3,0,0,'Données projet'!$E$9+1,1))</f>
        <v>354.90450119887635</v>
      </c>
      <c r="T43" s="62">
        <f t="shared" si="34"/>
        <v>367.95449187183942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33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123.9576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520.47771279575659</v>
      </c>
      <c r="AN43" s="62">
        <f ca="1">AVERAGE(OFFSET($AM$3,0,0,'Données projet'!$E$10+1,1))-AVERAGE(OFFSET($H$3,0,0,'Données projet'!$E$10+1,1))</f>
        <v>406.87679146534634</v>
      </c>
      <c r="AO43" s="62">
        <f t="shared" si="36"/>
        <v>252.43382636914751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62.870522503922729</v>
      </c>
      <c r="BJ43" s="62">
        <f t="shared" si="38"/>
        <v>322.87462304389692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42.804550513931424</v>
      </c>
      <c r="BQ43" s="23">
        <f>EXP(-LN(2)/25)*BQ42+(1-EXP(-LN(2)/25))/(LN(2)/25)*Calculateur!BL43*Calculateur!BN43*VLOOKUP('Données projet'!$B$11,Paramètres!$A$1:$I$89,3,0)*0.475*44/12</f>
        <v>9.5388623584822909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52.343412872413715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199.99576079505897</v>
      </c>
      <c r="CE43" s="62">
        <f t="shared" si="40"/>
        <v>407.41464279973172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81.051064606478832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8.3120294997204454</v>
      </c>
      <c r="CN43" s="24">
        <f t="shared" si="12"/>
        <v>89.36309410619927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289</v>
      </c>
      <c r="CR43" s="13">
        <f>VLOOKUP(A43,'Données projet'!$A$139:$I$159,9,0)</f>
        <v>6.2</v>
      </c>
      <c r="CS43" s="13">
        <f t="array" ref="CS43">INDEX(CR:CR,MIN(IF(ISNUMBER(CR43:CR239),ROW(CR43:CR239),"")))</f>
        <v>6.2</v>
      </c>
      <c r="CT43" s="13">
        <f>IF('Données projet'!$A$140&gt;35,CT42+CS43-DB42,IF(A43&lt;'Données projet'!$A$140,$CQ$205^A43,IF(A43='Données projet'!$A$140,'Données projet'!$B$140,CT42+CS43-DB42)))</f>
        <v>288.99999999999994</v>
      </c>
      <c r="CU43" s="18">
        <f>CT43*VLOOKUP('Données projet'!$B$13,Paramètres!$A$1:$I$89,3,0)*VLOOKUP('Données projet'!$B$13,Paramètres!$A$1:$I$89,5,0)</f>
        <v>261.48719999999992</v>
      </c>
      <c r="CV43" s="14">
        <f t="shared" si="41"/>
        <v>63.039283586802391</v>
      </c>
      <c r="CW43" s="22">
        <f t="shared" si="13"/>
        <v>565.21695891368074</v>
      </c>
      <c r="CX43" s="62">
        <f t="shared" si="14"/>
        <v>813.02997273280153</v>
      </c>
      <c r="CY43" s="62">
        <f ca="1">AVERAGE(OFFSET($CX$3,0,0,'Données projet'!$E$13+1,1))-AVERAGE(OFFSET($H$3,0,0,'Données projet'!$E$13+1,1))</f>
        <v>376.68007030857598</v>
      </c>
      <c r="CZ43" s="62">
        <f t="shared" si="42"/>
        <v>532.90758914457626</v>
      </c>
      <c r="DA43" s="16">
        <f>IF(ISNA(VLOOKUP(A43,'Données projet'!$A$139:$I$159,3,0)),0,VLOOKUP(A43,'Données projet'!$A$139:$I$159,3,0))</f>
        <v>8</v>
      </c>
      <c r="DB43" s="16">
        <f>IF(ISNA(VLOOKUP(A43,'Données projet'!$A$139:$I$159,4,0)),0,VLOOKUP(A43,'Données projet'!$A$139:$I$159,4,0))</f>
        <v>7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8.6</v>
      </c>
      <c r="N44" s="14">
        <f>IF('Données projet'!$A$36&gt;35,N43+M44-V43,IF(A44&lt;'Données projet'!$A$36,$K$205^A44,IF(A44='Données projet'!$A$36,'Données projet'!$B$36,N43+M44-V43)))</f>
        <v>166.59999999999994</v>
      </c>
      <c r="O44" s="14">
        <f>N44*VLOOKUP('Données projet'!$B$9,Paramètres!$A$1:$I$89,3,0)*VLOOKUP('Données projet'!$B$9,Paramètres!$A$1:$I$89,5,0)</f>
        <v>145.54175999999998</v>
      </c>
      <c r="P44" s="14">
        <f t="shared" si="33"/>
        <v>37.563662342876064</v>
      </c>
      <c r="Q44" s="22">
        <f t="shared" si="53"/>
        <v>318.90861058050911</v>
      </c>
      <c r="R44" s="62">
        <f t="shared" si="0"/>
        <v>567.51130017501305</v>
      </c>
      <c r="S44" s="62">
        <f ca="1">AVERAGE(OFFSET($R$3,0,0,'Données projet'!$E$9+1,1))-AVERAGE(OFFSET($H$3,0,0,'Données projet'!$E$9+1,1))</f>
        <v>354.90450119887635</v>
      </c>
      <c r="T44" s="62">
        <f t="shared" si="34"/>
        <v>367.95449187183942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112.55712000000001</v>
      </c>
      <c r="AK44" s="14">
        <f t="shared" si="35"/>
        <v>29.932653834140599</v>
      </c>
      <c r="AL44" s="22">
        <f t="shared" si="4"/>
        <v>248.16968942779488</v>
      </c>
      <c r="AM44" s="62">
        <f t="shared" si="5"/>
        <v>496.77237902229888</v>
      </c>
      <c r="AN44" s="62">
        <f ca="1">AVERAGE(OFFSET($AM$3,0,0,'Données projet'!$E$10+1,1))-AVERAGE(OFFSET($H$3,0,0,'Données projet'!$E$10+1,1))</f>
        <v>406.87679146534634</v>
      </c>
      <c r="AO44" s="62">
        <f t="shared" si="36"/>
        <v>252.43382636914751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62.870522503922729</v>
      </c>
      <c r="BJ44" s="62">
        <f t="shared" si="38"/>
        <v>322.87462304389692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41.965179386551071</v>
      </c>
      <c r="BQ44" s="23">
        <f>EXP(-LN(2)/25)*BQ43+(1-EXP(-LN(2)/25))/(LN(2)/25)*Calculateur!BL44*Calculateur!BN44*VLOOKUP('Données projet'!$B$11,Paramètres!$A$1:$I$89,3,0)*0.475*44/12</f>
        <v>9.2780216656626227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51.243201052213692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199.99576079505897</v>
      </c>
      <c r="CE44" s="62">
        <f t="shared" si="40"/>
        <v>407.41464279973172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79.46170266581376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5.8774924246749531</v>
      </c>
      <c r="CN44" s="24">
        <f t="shared" si="12"/>
        <v>85.339195090488715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</v>
      </c>
      <c r="CT44" s="13">
        <f>IF('Données projet'!$A$140&gt;35,CT43+CS44-DB43,IF(A44&lt;'Données projet'!$A$140,$CQ$205^A44,IF(A44='Données projet'!$A$140,'Données projet'!$B$140,CT43+CS44-DB43)))</f>
        <v>287.99999999999994</v>
      </c>
      <c r="CU44" s="18">
        <f>CT44*VLOOKUP('Données projet'!$B$13,Paramètres!$A$1:$I$89,3,0)*VLOOKUP('Données projet'!$B$13,Paramètres!$A$1:$I$89,5,0)</f>
        <v>260.58239999999995</v>
      </c>
      <c r="CV44" s="14">
        <f t="shared" si="41"/>
        <v>62.846505929896907</v>
      </c>
      <c r="CW44" s="22">
        <f t="shared" si="13"/>
        <v>563.30534449457025</v>
      </c>
      <c r="CX44" s="62">
        <f t="shared" si="14"/>
        <v>811.90803408907425</v>
      </c>
      <c r="CY44" s="62">
        <f ca="1">AVERAGE(OFFSET($CX$3,0,0,'Données projet'!$E$13+1,1))-AVERAGE(OFFSET($H$3,0,0,'Données projet'!$E$13+1,1))</f>
        <v>376.68007030857598</v>
      </c>
      <c r="CZ44" s="62">
        <f t="shared" si="42"/>
        <v>532.90758914457626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8.6</v>
      </c>
      <c r="N45" s="14">
        <f>IF('Données projet'!$A$36&gt;35,N44+M45-V44,IF(A45&lt;'Données projet'!$A$36,$K$205^A45,IF(A45='Données projet'!$A$36,'Données projet'!$B$36,N44+M45-V44)))</f>
        <v>175.19999999999993</v>
      </c>
      <c r="O45" s="14">
        <f>N45*VLOOKUP('Données projet'!$B$9,Paramètres!$A$1:$I$89,3,0)*VLOOKUP('Données projet'!$B$9,Paramètres!$A$1:$I$89,5,0)</f>
        <v>153.05471999999995</v>
      </c>
      <c r="P45" s="14">
        <f t="shared" si="33"/>
        <v>39.271965088385166</v>
      </c>
      <c r="Q45" s="22">
        <f t="shared" si="53"/>
        <v>334.96897652893739</v>
      </c>
      <c r="R45" s="62">
        <f t="shared" si="0"/>
        <v>584.34764278957209</v>
      </c>
      <c r="S45" s="62">
        <f ca="1">AVERAGE(OFFSET($R$3,0,0,'Données projet'!$E$9+1,1))-AVERAGE(OFFSET($H$3,0,0,'Données projet'!$E$9+1,1))</f>
        <v>354.90450119887635</v>
      </c>
      <c r="T45" s="62">
        <f t="shared" si="34"/>
        <v>367.95449187183942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120.15744000000001</v>
      </c>
      <c r="AK45" s="14">
        <f t="shared" si="35"/>
        <v>31.711716786129845</v>
      </c>
      <c r="AL45" s="22">
        <f t="shared" si="4"/>
        <v>264.50544806917611</v>
      </c>
      <c r="AM45" s="62">
        <f t="shared" si="5"/>
        <v>513.88411432981081</v>
      </c>
      <c r="AN45" s="62">
        <f ca="1">AVERAGE(OFFSET($AM$3,0,0,'Données projet'!$E$10+1,1))-AVERAGE(OFFSET($H$3,0,0,'Données projet'!$E$10+1,1))</f>
        <v>406.87679146534634</v>
      </c>
      <c r="AO45" s="62">
        <f t="shared" si="36"/>
        <v>252.43382636914751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62.870522503922729</v>
      </c>
      <c r="BJ45" s="62">
        <f t="shared" si="38"/>
        <v>322.87462304389692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41.142267815012815</v>
      </c>
      <c r="BQ45" s="23">
        <f>EXP(-LN(2)/25)*BQ44+(1-EXP(-LN(2)/25))/(LN(2)/25)*Calculateur!BL45*Calculateur!BN45*VLOOKUP('Données projet'!$B$11,Paramètres!$A$1:$I$89,3,0)*0.475*44/12</f>
        <v>9.0243136753051232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50.166581490317938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199.99576079505897</v>
      </c>
      <c r="CE45" s="62">
        <f t="shared" si="40"/>
        <v>407.41464279973172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77.903507143390073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4.1560147498602227</v>
      </c>
      <c r="CN45" s="24">
        <f t="shared" si="12"/>
        <v>82.059521893250292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</v>
      </c>
      <c r="CT45" s="13">
        <f>IF('Données projet'!$A$140&gt;35,CT44+CS45-DB44,IF(A45&lt;'Données projet'!$A$140,$CQ$205^A45,IF(A45='Données projet'!$A$140,'Données projet'!$B$140,CT44+CS45-DB44)))</f>
        <v>293.99999999999994</v>
      </c>
      <c r="CU45" s="18">
        <f>CT45*VLOOKUP('Données projet'!$B$13,Paramètres!$A$1:$I$89,3,0)*VLOOKUP('Données projet'!$B$13,Paramètres!$A$1:$I$89,5,0)</f>
        <v>266.01119999999992</v>
      </c>
      <c r="CV45" s="14">
        <f t="shared" si="41"/>
        <v>64.00201337612566</v>
      </c>
      <c r="CW45" s="22">
        <f t="shared" si="13"/>
        <v>574.77301329675208</v>
      </c>
      <c r="CX45" s="62">
        <f t="shared" si="14"/>
        <v>824.15167955738684</v>
      </c>
      <c r="CY45" s="62">
        <f ca="1">AVERAGE(OFFSET($CX$3,0,0,'Données projet'!$E$13+1,1))-AVERAGE(OFFSET($H$3,0,0,'Données projet'!$E$13+1,1))</f>
        <v>376.68007030857598</v>
      </c>
      <c r="CZ45" s="62">
        <f t="shared" si="42"/>
        <v>532.90758914457626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8.6</v>
      </c>
      <c r="N46" s="14">
        <f>IF('Données projet'!$A$36&gt;35,N45+M46-V45,IF(A46&lt;'Données projet'!$A$36,$K$205^A46,IF(A46='Données projet'!$A$36,'Données projet'!$B$36,N45+M46-V45)))</f>
        <v>183.79999999999993</v>
      </c>
      <c r="O46" s="14">
        <f>N46*VLOOKUP('Données projet'!$B$9,Paramètres!$A$1:$I$89,3,0)*VLOOKUP('Données projet'!$B$9,Paramètres!$A$1:$I$89,5,0)</f>
        <v>160.56767999999997</v>
      </c>
      <c r="P46" s="14">
        <f t="shared" si="33"/>
        <v>40.970530810309882</v>
      </c>
      <c r="Q46" s="22">
        <f t="shared" si="53"/>
        <v>351.01238382795628</v>
      </c>
      <c r="R46" s="62">
        <f t="shared" si="0"/>
        <v>601.15356529438827</v>
      </c>
      <c r="S46" s="62">
        <f ca="1">AVERAGE(OFFSET($R$3,0,0,'Données projet'!$E$9+1,1))-AVERAGE(OFFSET($H$3,0,0,'Données projet'!$E$9+1,1))</f>
        <v>354.90450119887635</v>
      </c>
      <c r="T46" s="62">
        <f t="shared" si="34"/>
        <v>367.95449187183942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127.75776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530.9596425203481</v>
      </c>
      <c r="AN46" s="62">
        <f ca="1">AVERAGE(OFFSET($AM$3,0,0,'Données projet'!$E$10+1,1))-AVERAGE(OFFSET($H$3,0,0,'Données projet'!$E$10+1,1))</f>
        <v>406.87679146534634</v>
      </c>
      <c r="AO46" s="62">
        <f t="shared" si="36"/>
        <v>252.43382636914751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62.870522503922729</v>
      </c>
      <c r="BJ46" s="62">
        <f t="shared" si="38"/>
        <v>322.87462304389692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40.335493037465923</v>
      </c>
      <c r="BQ46" s="23">
        <f>EXP(-LN(2)/25)*BQ45+(1-EXP(-LN(2)/25))/(LN(2)/25)*Calculateur!BL46*Calculateur!BN46*VLOOKUP('Données projet'!$B$11,Paramètres!$A$1:$I$89,3,0)*0.475*44/12</f>
        <v>8.777543343285874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49.113036380751794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199.99576079505897</v>
      </c>
      <c r="CE46" s="62">
        <f t="shared" si="40"/>
        <v>407.41464279973172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76.375866884755695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2.9387462123374766</v>
      </c>
      <c r="CN46" s="24">
        <f t="shared" si="12"/>
        <v>79.314613097093172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</v>
      </c>
      <c r="CT46" s="13">
        <f>IF('Données projet'!$A$140&gt;35,CT45+CS46-DB45,IF(A46&lt;'Données projet'!$A$140,$CQ$205^A46,IF(A46='Données projet'!$A$140,'Données projet'!$B$140,CT45+CS46-DB45)))</f>
        <v>299.99999999999994</v>
      </c>
      <c r="CU46" s="18">
        <f>CT46*VLOOKUP('Données projet'!$B$13,Paramètres!$A$1:$I$89,3,0)*VLOOKUP('Données projet'!$B$13,Paramètres!$A$1:$I$89,5,0)</f>
        <v>271.43999999999994</v>
      </c>
      <c r="CV46" s="14">
        <f t="shared" si="41"/>
        <v>65.154778959151173</v>
      </c>
      <c r="CW46" s="22">
        <f t="shared" si="13"/>
        <v>586.23590668718805</v>
      </c>
      <c r="CX46" s="62">
        <f t="shared" si="14"/>
        <v>836.37708815362009</v>
      </c>
      <c r="CY46" s="62">
        <f ca="1">AVERAGE(OFFSET($CX$3,0,0,'Données projet'!$E$13+1,1))-AVERAGE(OFFSET($H$3,0,0,'Données projet'!$E$13+1,1))</f>
        <v>376.68007030857598</v>
      </c>
      <c r="CZ46" s="62">
        <f t="shared" si="42"/>
        <v>532.90758914457626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8.6</v>
      </c>
      <c r="N47" s="14">
        <f>IF('Données projet'!$A$36&gt;35,N46+M47-V46,IF(A47&lt;'Données projet'!$A$36,$K$205^A47,IF(A47='Données projet'!$A$36,'Données projet'!$B$36,N46+M47-V46)))</f>
        <v>192.39999999999992</v>
      </c>
      <c r="O47" s="14">
        <f>N47*VLOOKUP('Données projet'!$B$9,Paramètres!$A$1:$I$89,3,0)*VLOOKUP('Données projet'!$B$9,Paramètres!$A$1:$I$89,5,0)</f>
        <v>168.08063999999996</v>
      </c>
      <c r="P47" s="14">
        <f t="shared" si="33"/>
        <v>42.659867131343425</v>
      </c>
      <c r="Q47" s="22">
        <f t="shared" si="53"/>
        <v>367.03971658708974</v>
      </c>
      <c r="R47" s="62">
        <f t="shared" si="0"/>
        <v>617.93018532522717</v>
      </c>
      <c r="S47" s="62">
        <f ca="1">AVERAGE(OFFSET($R$3,0,0,'Données projet'!$E$9+1,1))-AVERAGE(OFFSET($H$3,0,0,'Données projet'!$E$9+1,1))</f>
        <v>354.90450119887635</v>
      </c>
      <c r="T47" s="62">
        <f t="shared" si="34"/>
        <v>367.95449187183942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135.35808</v>
      </c>
      <c r="AK47" s="14">
        <f t="shared" si="35"/>
        <v>35.231528980112834</v>
      </c>
      <c r="AL47" s="22">
        <f t="shared" si="4"/>
        <v>297.11023564036316</v>
      </c>
      <c r="AM47" s="62">
        <f t="shared" si="5"/>
        <v>548.00070437850059</v>
      </c>
      <c r="AN47" s="62">
        <f ca="1">AVERAGE(OFFSET($AM$3,0,0,'Données projet'!$E$10+1,1))-AVERAGE(OFFSET($H$3,0,0,'Données projet'!$E$10+1,1))</f>
        <v>406.87679146534634</v>
      </c>
      <c r="AO47" s="62">
        <f t="shared" si="36"/>
        <v>252.43382636914751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62.870522503922729</v>
      </c>
      <c r="BJ47" s="62">
        <f t="shared" si="38"/>
        <v>322.87462304389692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39.544538621222699</v>
      </c>
      <c r="BQ47" s="23">
        <f>EXP(-LN(2)/25)*BQ46+(1-EXP(-LN(2)/25))/(LN(2)/25)*Calculateur!BL47*Calculateur!BN47*VLOOKUP('Données projet'!$B$11,Paramètres!$A$1:$I$89,3,0)*0.475*44/12</f>
        <v>8.5375209589727792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48.082059580195477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199.99576079505897</v>
      </c>
      <c r="CE47" s="62">
        <f t="shared" si="40"/>
        <v>407.41464279973172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74.878182719824579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2.0780073749301113</v>
      </c>
      <c r="CN47" s="24">
        <f t="shared" si="12"/>
        <v>76.956190094754689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</v>
      </c>
      <c r="CT47" s="13">
        <f>IF('Données projet'!$A$140&gt;35,CT46+CS47-DB46,IF(A47&lt;'Données projet'!$A$140,$CQ$205^A47,IF(A47='Données projet'!$A$140,'Données projet'!$B$140,CT46+CS47-DB46)))</f>
        <v>305.99999999999994</v>
      </c>
      <c r="CU47" s="18">
        <f>CT47*VLOOKUP('Données projet'!$B$13,Paramètres!$A$1:$I$89,3,0)*VLOOKUP('Données projet'!$B$13,Paramètres!$A$1:$I$89,5,0)</f>
        <v>276.86879999999996</v>
      </c>
      <c r="CV47" s="14">
        <f t="shared" si="41"/>
        <v>66.30486383631866</v>
      </c>
      <c r="CW47" s="22">
        <f t="shared" si="13"/>
        <v>597.6941311815882</v>
      </c>
      <c r="CX47" s="62">
        <f t="shared" si="14"/>
        <v>848.58459991972563</v>
      </c>
      <c r="CY47" s="62">
        <f ca="1">AVERAGE(OFFSET($CX$3,0,0,'Données projet'!$E$13+1,1))-AVERAGE(OFFSET($H$3,0,0,'Données projet'!$E$13+1,1))</f>
        <v>376.68007030857598</v>
      </c>
      <c r="CZ47" s="62">
        <f t="shared" si="42"/>
        <v>532.90758914457626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201</v>
      </c>
      <c r="L48" s="13">
        <f>VLOOKUP(A48,'Données projet'!$A$35:$I$55,9,0)</f>
        <v>8.6</v>
      </c>
      <c r="M48" s="13">
        <f t="array" ref="M48">INDEX(L:L,MIN(IF(ISNUMBER(L48:L244),ROW(L48:L244),"")))</f>
        <v>8.6</v>
      </c>
      <c r="N48" s="14">
        <f>IF('Données projet'!$A$36&gt;35,N47+M48-V47,IF(A48&lt;'Données projet'!$A$36,$K$205^A48,IF(A48='Données projet'!$A$36,'Données projet'!$B$36,N47+M48-V47)))</f>
        <v>200.99999999999991</v>
      </c>
      <c r="O48" s="14">
        <f>N48*VLOOKUP('Données projet'!$B$9,Paramètres!$A$1:$I$89,3,0)*VLOOKUP('Données projet'!$B$9,Paramètres!$A$1:$I$89,5,0)</f>
        <v>175.59359999999995</v>
      </c>
      <c r="P48" s="14">
        <f t="shared" si="33"/>
        <v>44.340433728638573</v>
      </c>
      <c r="Q48" s="22">
        <f t="shared" si="53"/>
        <v>383.05177541071203</v>
      </c>
      <c r="R48" s="62">
        <f t="shared" si="0"/>
        <v>634.67853296154613</v>
      </c>
      <c r="S48" s="62">
        <f ca="1">AVERAGE(OFFSET($R$3,0,0,'Données projet'!$E$9+1,1))-AVERAGE(OFFSET($H$3,0,0,'Données projet'!$E$9+1,1))</f>
        <v>354.90450119887635</v>
      </c>
      <c r="T48" s="62">
        <f t="shared" si="34"/>
        <v>367.95449187183942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31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565.00885781333056</v>
      </c>
      <c r="AN48" s="62">
        <f ca="1">AVERAGE(OFFSET($AM$3,0,0,'Données projet'!$E$10+1,1))-AVERAGE(OFFSET($H$3,0,0,'Données projet'!$E$10+1,1))</f>
        <v>406.87679146534634</v>
      </c>
      <c r="AO48" s="62">
        <f t="shared" si="36"/>
        <v>252.43382636914751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62.870522503922729</v>
      </c>
      <c r="BJ48" s="62">
        <f t="shared" si="38"/>
        <v>322.87462304389692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38.769094338647449</v>
      </c>
      <c r="BQ48" s="23">
        <f>EXP(-LN(2)/25)*BQ47+(1-EXP(-LN(2)/25))/(LN(2)/25)*Calculateur!BL48*Calculateur!BN48*VLOOKUP('Données projet'!$B$11,Paramètres!$A$1:$I$89,3,0)*0.475*44/12</f>
        <v>8.3040619993809539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47.073156338028404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199.99576079505897</v>
      </c>
      <c r="CE48" s="62">
        <f t="shared" si="40"/>
        <v>407.41464279973172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73.40986722787062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1.4693731061687383</v>
      </c>
      <c r="CN48" s="24">
        <f t="shared" si="12"/>
        <v>74.879240334039352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312</v>
      </c>
      <c r="CR48" s="13">
        <f>VLOOKUP(A48,'Données projet'!$A$139:$I$159,9,0)</f>
        <v>6</v>
      </c>
      <c r="CS48" s="13">
        <f t="array" ref="CS48">INDEX(CR:CR,MIN(IF(ISNUMBER(CR48:CR244),ROW(CR48:CR244),"")))</f>
        <v>6</v>
      </c>
      <c r="CT48" s="13">
        <f>IF('Données projet'!$A$140&gt;35,CT47+CS48-DB47,IF(A48&lt;'Données projet'!$A$140,$CQ$205^A48,IF(A48='Données projet'!$A$140,'Données projet'!$B$140,CT47+CS48-DB47)))</f>
        <v>311.99999999999994</v>
      </c>
      <c r="CU48" s="18">
        <f>CT48*VLOOKUP('Données projet'!$B$13,Paramètres!$A$1:$I$89,3,0)*VLOOKUP('Données projet'!$B$13,Paramètres!$A$1:$I$89,5,0)</f>
        <v>282.29759999999993</v>
      </c>
      <c r="CV48" s="14">
        <f t="shared" si="41"/>
        <v>67.452326629470178</v>
      </c>
      <c r="CW48" s="22">
        <f t="shared" si="13"/>
        <v>609.14778887966042</v>
      </c>
      <c r="CX48" s="62">
        <f t="shared" si="14"/>
        <v>860.77454643049452</v>
      </c>
      <c r="CY48" s="62">
        <f ca="1">AVERAGE(OFFSET($CX$3,0,0,'Données projet'!$E$13+1,1))-AVERAGE(OFFSET($H$3,0,0,'Données projet'!$E$13+1,1))</f>
        <v>376.68007030857598</v>
      </c>
      <c r="CZ48" s="62">
        <f t="shared" si="42"/>
        <v>532.90758914457626</v>
      </c>
      <c r="DA48" s="16">
        <f>IF(ISNA(VLOOKUP(A48,'Données projet'!$A$139:$I$159,3,0)),0,VLOOKUP(A48,'Données projet'!$A$139:$I$159,3,0))</f>
        <v>9</v>
      </c>
      <c r="DB48" s="16">
        <f>IF(ISNA(VLOOKUP(A48,'Données projet'!$A$139:$I$159,4,0)),0,VLOOKUP(A48,'Données projet'!$A$139:$I$159,4,0))</f>
        <v>312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7.8</v>
      </c>
      <c r="N49" s="14">
        <f>IF('Données projet'!$A$36&gt;35,N48+M49-V48,IF(A49&lt;'Données projet'!$A$36,$K$205^A49,IF(A49='Données projet'!$A$36,'Données projet'!$B$36,N48+M49-V48)))</f>
        <v>177.79999999999993</v>
      </c>
      <c r="O49" s="14">
        <f>N49*VLOOKUP('Données projet'!$B$9,Paramètres!$A$1:$I$89,3,0)*VLOOKUP('Données projet'!$B$9,Paramètres!$A$1:$I$89,5,0)</f>
        <v>155.32607999999996</v>
      </c>
      <c r="P49" s="14">
        <f t="shared" si="33"/>
        <v>39.786487601092411</v>
      </c>
      <c r="Q49" s="22">
        <f t="shared" si="53"/>
        <v>339.82105523856922</v>
      </c>
      <c r="R49" s="62">
        <f t="shared" si="0"/>
        <v>592.17132863729489</v>
      </c>
      <c r="S49" s="62">
        <f ca="1">AVERAGE(OFFSET($R$3,0,0,'Données projet'!$E$9+1,1))-AVERAGE(OFFSET($H$3,0,0,'Données projet'!$E$9+1,1))</f>
        <v>354.90450119887635</v>
      </c>
      <c r="T49" s="62">
        <f t="shared" si="34"/>
        <v>367.95449187183942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131.55792000000002</v>
      </c>
      <c r="AK49" s="14">
        <f t="shared" si="35"/>
        <v>34.3560989338864</v>
      </c>
      <c r="AL49" s="22">
        <f t="shared" si="4"/>
        <v>288.96691630985219</v>
      </c>
      <c r="AM49" s="62">
        <f t="shared" si="5"/>
        <v>541.31718970857787</v>
      </c>
      <c r="AN49" s="62">
        <f ca="1">AVERAGE(OFFSET($AM$3,0,0,'Données projet'!$E$10+1,1))-AVERAGE(OFFSET($H$3,0,0,'Données projet'!$E$10+1,1))</f>
        <v>406.87679146534634</v>
      </c>
      <c r="AO49" s="62">
        <f t="shared" si="36"/>
        <v>252.43382636914751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62.870522503922729</v>
      </c>
      <c r="BJ49" s="62">
        <f t="shared" si="38"/>
        <v>322.87462304389692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38.008856045479192</v>
      </c>
      <c r="BQ49" s="23">
        <f>EXP(-LN(2)/25)*BQ48+(1-EXP(-LN(2)/25))/(LN(2)/25)*Calculateur!BL49*Calculateur!BN49*VLOOKUP('Données projet'!$B$11,Paramètres!$A$1:$I$89,3,0)*0.475*44/12</f>
        <v>8.076986987316241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46.085843032795431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199.99576079505897</v>
      </c>
      <c r="CE49" s="62">
        <f t="shared" si="40"/>
        <v>407.41464279973172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71.970344507129866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1.0390036874650557</v>
      </c>
      <c r="CN49" s="24">
        <f t="shared" si="12"/>
        <v>73.009348194594921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-5.6843418860808015E-14</v>
      </c>
      <c r="CU49" s="18">
        <f>CT49*VLOOKUP('Données projet'!$B$13,Paramètres!$A$1:$I$89,3,0)*VLOOKUP('Données projet'!$B$13,Paramètres!$A$1:$I$89,5,0)</f>
        <v>-5.1431925385259088E-14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376.68007030857598</v>
      </c>
      <c r="CZ49" s="62">
        <f t="shared" si="42"/>
        <v>532.90758914457626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7.8</v>
      </c>
      <c r="N50" s="14">
        <f>IF('Données projet'!$A$36&gt;35,N49+M50-V49,IF(A50&lt;'Données projet'!$A$36,$K$205^A50,IF(A50='Données projet'!$A$36,'Données projet'!$B$36,N49+M50-V49)))</f>
        <v>185.59999999999994</v>
      </c>
      <c r="O50" s="14">
        <f>N50*VLOOKUP('Données projet'!$B$9,Paramètres!$A$1:$I$89,3,0)*VLOOKUP('Données projet'!$B$9,Paramètres!$A$1:$I$89,5,0)</f>
        <v>162.14015999999998</v>
      </c>
      <c r="P50" s="14">
        <f t="shared" si="33"/>
        <v>41.324860537333677</v>
      </c>
      <c r="Q50" s="22">
        <f t="shared" si="53"/>
        <v>354.36824410252279</v>
      </c>
      <c r="R50" s="62">
        <f t="shared" si="0"/>
        <v>607.42948196671819</v>
      </c>
      <c r="S50" s="62">
        <f ca="1">AVERAGE(OFFSET($R$3,0,0,'Données projet'!$E$9+1,1))-AVERAGE(OFFSET($H$3,0,0,'Données projet'!$E$9+1,1))</f>
        <v>354.90450119887635</v>
      </c>
      <c r="T50" s="62">
        <f t="shared" si="34"/>
        <v>367.95449187183942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139.15824000000003</v>
      </c>
      <c r="AK50" s="14">
        <f t="shared" si="35"/>
        <v>36.104102468715482</v>
      </c>
      <c r="AL50" s="22">
        <f t="shared" si="4"/>
        <v>305.24857979967953</v>
      </c>
      <c r="AM50" s="62">
        <f t="shared" si="5"/>
        <v>558.30981766387492</v>
      </c>
      <c r="AN50" s="62">
        <f ca="1">AVERAGE(OFFSET($AM$3,0,0,'Données projet'!$E$10+1,1))-AVERAGE(OFFSET($H$3,0,0,'Données projet'!$E$10+1,1))</f>
        <v>406.87679146534634</v>
      </c>
      <c r="AO50" s="62">
        <f t="shared" si="36"/>
        <v>252.43382636914751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62.870522503922729</v>
      </c>
      <c r="BJ50" s="62">
        <f t="shared" si="38"/>
        <v>322.87462304389692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37.263525561540391</v>
      </c>
      <c r="BQ50" s="23">
        <f>EXP(-LN(2)/25)*BQ49+(1-EXP(-LN(2)/25))/(LN(2)/25)*Calculateur!BL50*Calculateur!BN50*VLOOKUP('Données projet'!$B$11,Paramètres!$A$1:$I$89,3,0)*0.475*44/12</f>
        <v>7.8561213533977927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45.119646914938187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199.99576079505897</v>
      </c>
      <c r="CE50" s="62">
        <f t="shared" si="40"/>
        <v>407.41464279973172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70.559049948920674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0.73468655308436914</v>
      </c>
      <c r="CN50" s="24">
        <f t="shared" si="12"/>
        <v>71.293736502005046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-5.6843418860808015E-14</v>
      </c>
      <c r="CU50" s="18">
        <f>CT50*VLOOKUP('Données projet'!$B$13,Paramètres!$A$1:$I$89,3,0)*VLOOKUP('Données projet'!$B$13,Paramètres!$A$1:$I$89,5,0)</f>
        <v>-5.1431925385259088E-14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376.68007030857598</v>
      </c>
      <c r="CZ50" s="62">
        <f t="shared" si="42"/>
        <v>532.90758914457626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7.8</v>
      </c>
      <c r="N51" s="14">
        <f>IF('Données projet'!$A$36&gt;35,N50+M51-V50,IF(A51&lt;'Données projet'!$A$36,$K$205^A51,IF(A51='Données projet'!$A$36,'Données projet'!$B$36,N50+M51-V50)))</f>
        <v>193.39999999999995</v>
      </c>
      <c r="O51" s="14">
        <f>N51*VLOOKUP('Données projet'!$B$9,Paramètres!$A$1:$I$89,3,0)*VLOOKUP('Données projet'!$B$9,Paramètres!$A$1:$I$89,5,0)</f>
        <v>168.95424</v>
      </c>
      <c r="P51" s="14">
        <f t="shared" si="33"/>
        <v>42.855724087026708</v>
      </c>
      <c r="Q51" s="22">
        <f t="shared" si="53"/>
        <v>368.90235411823818</v>
      </c>
      <c r="R51" s="62">
        <f t="shared" si="0"/>
        <v>622.66222280390593</v>
      </c>
      <c r="S51" s="62">
        <f ca="1">AVERAGE(OFFSET($R$3,0,0,'Données projet'!$E$9+1,1))-AVERAGE(OFFSET($H$3,0,0,'Données projet'!$E$9+1,1))</f>
        <v>354.90450119887635</v>
      </c>
      <c r="T51" s="62">
        <f t="shared" si="34"/>
        <v>367.95449187183942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146.75856000000005</v>
      </c>
      <c r="AK51" s="14">
        <f t="shared" si="35"/>
        <v>37.841022770456242</v>
      </c>
      <c r="AL51" s="22">
        <f t="shared" si="4"/>
        <v>321.51093999187805</v>
      </c>
      <c r="AM51" s="62">
        <f t="shared" si="5"/>
        <v>575.2708086775458</v>
      </c>
      <c r="AN51" s="62">
        <f ca="1">AVERAGE(OFFSET($AM$3,0,0,'Données projet'!$E$10+1,1))-AVERAGE(OFFSET($H$3,0,0,'Données projet'!$E$10+1,1))</f>
        <v>406.87679146534634</v>
      </c>
      <c r="AO51" s="62">
        <f t="shared" si="36"/>
        <v>252.43382636914751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62.870522503922729</v>
      </c>
      <c r="BJ51" s="62">
        <f t="shared" si="38"/>
        <v>322.87462304389692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36.53281055378492</v>
      </c>
      <c r="BQ51" s="23">
        <f>EXP(-LN(2)/25)*BQ50+(1-EXP(-LN(2)/25))/(LN(2)/25)*Calculateur!BL51*Calculateur!BN51*VLOOKUP('Données projet'!$B$11,Paramètres!$A$1:$I$89,3,0)*0.475*44/12</f>
        <v>7.6412953018536633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44.174105855638587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199.99576079505897</v>
      </c>
      <c r="CE51" s="62">
        <f t="shared" si="40"/>
        <v>407.41464279973172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69.175430016193275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0.51950184373252783</v>
      </c>
      <c r="CN51" s="24">
        <f t="shared" si="12"/>
        <v>69.694931859925802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-5.6843418860808015E-14</v>
      </c>
      <c r="CU51" s="18">
        <f>CT51*VLOOKUP('Données projet'!$B$13,Paramètres!$A$1:$I$89,3,0)*VLOOKUP('Données projet'!$B$13,Paramètres!$A$1:$I$89,5,0)</f>
        <v>-5.1431925385259088E-14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376.68007030857598</v>
      </c>
      <c r="CZ51" s="62">
        <f t="shared" si="42"/>
        <v>532.90758914457626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7.8</v>
      </c>
      <c r="N52" s="14">
        <f>IF('Données projet'!$A$36&gt;35,N51+M52-V51,IF(A52&lt;'Données projet'!$A$36,$K$205^A52,IF(A52='Données projet'!$A$36,'Données projet'!$B$36,N51+M52-V51)))</f>
        <v>201.19999999999996</v>
      </c>
      <c r="O52" s="14">
        <f>N52*VLOOKUP('Données projet'!$B$9,Paramètres!$A$1:$I$89,3,0)*VLOOKUP('Données projet'!$B$9,Paramètres!$A$1:$I$89,5,0)</f>
        <v>175.76831999999999</v>
      </c>
      <c r="P52" s="14">
        <f t="shared" si="33"/>
        <v>44.379415757690168</v>
      </c>
      <c r="Q52" s="22">
        <f t="shared" si="53"/>
        <v>383.42397311131032</v>
      </c>
      <c r="R52" s="62">
        <f t="shared" si="0"/>
        <v>637.87035293560234</v>
      </c>
      <c r="S52" s="62">
        <f ca="1">AVERAGE(OFFSET($R$3,0,0,'Données projet'!$E$9+1,1))-AVERAGE(OFFSET($H$3,0,0,'Données projet'!$E$9+1,1))</f>
        <v>354.90450119887635</v>
      </c>
      <c r="T52" s="62">
        <f t="shared" si="34"/>
        <v>367.95449187183942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154.35888000000003</v>
      </c>
      <c r="AK52" s="14">
        <f t="shared" si="35"/>
        <v>39.567499286120309</v>
      </c>
      <c r="AL52" s="22">
        <f t="shared" si="4"/>
        <v>337.75511058999291</v>
      </c>
      <c r="AM52" s="62">
        <f t="shared" si="5"/>
        <v>592.20149041428488</v>
      </c>
      <c r="AN52" s="62">
        <f ca="1">AVERAGE(OFFSET($AM$3,0,0,'Données projet'!$E$10+1,1))-AVERAGE(OFFSET($H$3,0,0,'Données projet'!$E$10+1,1))</f>
        <v>406.87679146534634</v>
      </c>
      <c r="AO52" s="62">
        <f t="shared" si="36"/>
        <v>252.43382636914751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62.870522503922729</v>
      </c>
      <c r="BJ52" s="62">
        <f t="shared" si="38"/>
        <v>322.87462304389692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35.81642442163939</v>
      </c>
      <c r="BQ52" s="23">
        <f>EXP(-LN(2)/25)*BQ51+(1-EXP(-LN(2)/25))/(LN(2)/25)*Calculateur!BL52*Calculateur!BN52*VLOOKUP('Données projet'!$B$11,Paramètres!$A$1:$I$89,3,0)*0.475*44/12</f>
        <v>7.4323436799862197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43.248768101625608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199.99576079505897</v>
      </c>
      <c r="CE52" s="62">
        <f t="shared" si="40"/>
        <v>407.41464279973172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67.818942026421837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0.36734327654218457</v>
      </c>
      <c r="CN52" s="24">
        <f t="shared" si="12"/>
        <v>68.186285302964023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-5.6843418860808015E-14</v>
      </c>
      <c r="CU52" s="18">
        <f>CT52*VLOOKUP('Données projet'!$B$13,Paramètres!$A$1:$I$89,3,0)*VLOOKUP('Données projet'!$B$13,Paramètres!$A$1:$I$89,5,0)</f>
        <v>-5.1431925385259088E-14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376.68007030857598</v>
      </c>
      <c r="CZ52" s="62">
        <f t="shared" si="42"/>
        <v>532.90758914457626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209</v>
      </c>
      <c r="L53" s="13">
        <f>VLOOKUP(A53,'Données projet'!$A$35:$I$55,9,0)</f>
        <v>7.8</v>
      </c>
      <c r="M53" s="13">
        <f t="array" ref="M53">INDEX(L:L,MIN(IF(ISNUMBER(L53:L249),ROW(L53:L249),"")))</f>
        <v>7.8</v>
      </c>
      <c r="N53" s="14">
        <f>IF('Données projet'!$A$36&gt;35,N52+M53-V52,IF(A53&lt;'Données projet'!$A$36,$K$205^A53,IF(A53='Données projet'!$A$36,'Données projet'!$B$36,N52+M53-V52)))</f>
        <v>208.99999999999997</v>
      </c>
      <c r="O53" s="14">
        <f>N53*VLOOKUP('Données projet'!$B$9,Paramètres!$A$1:$I$89,3,0)*VLOOKUP('Données projet'!$B$9,Paramètres!$A$1:$I$89,5,0)</f>
        <v>182.58240000000001</v>
      </c>
      <c r="P53" s="14">
        <f t="shared" si="33"/>
        <v>45.896245406460288</v>
      </c>
      <c r="Q53" s="22">
        <f t="shared" si="53"/>
        <v>397.93364074958498</v>
      </c>
      <c r="R53" s="62">
        <f t="shared" si="0"/>
        <v>653.05462227905514</v>
      </c>
      <c r="S53" s="62">
        <f ca="1">AVERAGE(OFFSET($R$3,0,0,'Données projet'!$E$9+1,1))-AVERAGE(OFFSET($H$3,0,0,'Données projet'!$E$9+1,1))</f>
        <v>354.90450119887635</v>
      </c>
      <c r="T53" s="62">
        <f t="shared" si="34"/>
        <v>367.95449187183942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161.95920000000004</v>
      </c>
      <c r="AK53" s="14">
        <f t="shared" si="35"/>
        <v>41.284104935125725</v>
      </c>
      <c r="AL53" s="22">
        <f t="shared" si="4"/>
        <v>353.9820894286774</v>
      </c>
      <c r="AM53" s="62">
        <f t="shared" si="5"/>
        <v>609.10307095814755</v>
      </c>
      <c r="AN53" s="62">
        <f ca="1">AVERAGE(OFFSET($AM$3,0,0,'Données projet'!$E$10+1,1))-AVERAGE(OFFSET($H$3,0,0,'Données projet'!$E$10+1,1))</f>
        <v>406.87679146534634</v>
      </c>
      <c r="AO53" s="62">
        <f t="shared" si="36"/>
        <v>252.43382636914751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62.870522503922729</v>
      </c>
      <c r="BJ53" s="62">
        <f t="shared" si="38"/>
        <v>322.87462304389692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35.114086184592836</v>
      </c>
      <c r="BQ53" s="23">
        <f>EXP(-LN(2)/25)*BQ52+(1-EXP(-LN(2)/25))/(LN(2)/25)*Calculateur!BL53*Calculateur!BN53*VLOOKUP('Données projet'!$B$11,Paramètres!$A$1:$I$89,3,0)*0.475*44/12</f>
        <v>7.229105851207029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42.343192035799866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199.99576079505897</v>
      </c>
      <c r="CE53" s="62">
        <f t="shared" si="40"/>
        <v>407.41464279973172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66.489053938753841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0.25975092186626392</v>
      </c>
      <c r="CN53" s="24">
        <f t="shared" si="12"/>
        <v>66.748804860620112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-5.6843418860808015E-14</v>
      </c>
      <c r="CU53" s="18">
        <f>CT53*VLOOKUP('Données projet'!$B$13,Paramètres!$A$1:$I$89,3,0)*VLOOKUP('Données projet'!$B$13,Paramètres!$A$1:$I$89,5,0)</f>
        <v>-5.1431925385259088E-14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376.68007030857598</v>
      </c>
      <c r="CZ53" s="62">
        <f t="shared" si="42"/>
        <v>532.90758914457626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6.8</v>
      </c>
      <c r="N54" s="14">
        <f>IF('Données projet'!$A$36&gt;35,N53+M54-V53,IF(A54&lt;'Données projet'!$A$36,$K$205^A54,IF(A54='Données projet'!$A$36,'Données projet'!$B$36,N53+M54-V53)))</f>
        <v>187.79999999999998</v>
      </c>
      <c r="O54" s="14">
        <f>N54*VLOOKUP('Données projet'!$B$9,Paramètres!$A$1:$I$89,3,0)*VLOOKUP('Données projet'!$B$9,Paramètres!$A$1:$I$89,5,0)</f>
        <v>164.06208000000001</v>
      </c>
      <c r="P54" s="14">
        <f t="shared" si="33"/>
        <v>41.75738773013461</v>
      </c>
      <c r="Q54" s="22">
        <f t="shared" si="53"/>
        <v>358.46890629665108</v>
      </c>
      <c r="R54" s="62">
        <f t="shared" si="0"/>
        <v>614.25278669989791</v>
      </c>
      <c r="S54" s="62">
        <f ca="1">AVERAGE(OFFSET($R$3,0,0,'Données projet'!$E$9+1,1))-AVERAGE(OFFSET($H$3,0,0,'Données projet'!$E$9+1,1))</f>
        <v>354.90450119887635</v>
      </c>
      <c r="T54" s="62">
        <f t="shared" si="34"/>
        <v>367.95449187183942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150.19680000000005</v>
      </c>
      <c r="AK54" s="14">
        <f t="shared" si="35"/>
        <v>38.623305713694506</v>
      </c>
      <c r="AL54" s="22">
        <f t="shared" si="4"/>
        <v>328.86168411801799</v>
      </c>
      <c r="AM54" s="62">
        <f t="shared" si="5"/>
        <v>584.64556452126476</v>
      </c>
      <c r="AN54" s="62">
        <f ca="1">AVERAGE(OFFSET($AM$3,0,0,'Données projet'!$E$10+1,1))-AVERAGE(OFFSET($H$3,0,0,'Données projet'!$E$10+1,1))</f>
        <v>406.87679146534634</v>
      </c>
      <c r="AO54" s="62">
        <f t="shared" si="36"/>
        <v>252.43382636914751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62.870522503922729</v>
      </c>
      <c r="BJ54" s="62">
        <f t="shared" si="38"/>
        <v>322.87462304389692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34.425520371990743</v>
      </c>
      <c r="BQ54" s="23">
        <f>EXP(-LN(2)/25)*BQ53+(1-EXP(-LN(2)/25))/(LN(2)/25)*Calculateur!BL54*Calculateur!BN54*VLOOKUP('Données projet'!$B$11,Paramètres!$A$1:$I$89,3,0)*0.475*44/12</f>
        <v>7.0314255715436182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41.456945943534365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199.99576079505897</v>
      </c>
      <c r="CE54" s="62">
        <f t="shared" si="40"/>
        <v>407.41464279973172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65.185244145333371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0.18367163827109229</v>
      </c>
      <c r="CN54" s="24">
        <f t="shared" si="12"/>
        <v>65.368915783604464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-5.6843418860808015E-14</v>
      </c>
      <c r="CU54" s="18">
        <f>CT54*VLOOKUP('Données projet'!$B$13,Paramètres!$A$1:$I$89,3,0)*VLOOKUP('Données projet'!$B$13,Paramètres!$A$1:$I$89,5,0)</f>
        <v>-5.1431925385259088E-14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376.68007030857598</v>
      </c>
      <c r="CZ54" s="62">
        <f t="shared" si="42"/>
        <v>532.90758914457626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6.8</v>
      </c>
      <c r="N55" s="14">
        <f>IF('Données projet'!$A$36&gt;35,N54+M55-V54,IF(A55&lt;'Données projet'!$A$36,$K$205^A55,IF(A55='Données projet'!$A$36,'Données projet'!$B$36,N54+M55-V54)))</f>
        <v>194.6</v>
      </c>
      <c r="O55" s="14">
        <f>N55*VLOOKUP('Données projet'!$B$9,Paramètres!$A$1:$I$89,3,0)*VLOOKUP('Données projet'!$B$9,Paramètres!$A$1:$I$89,5,0)</f>
        <v>170.00256000000002</v>
      </c>
      <c r="P55" s="14">
        <f t="shared" si="33"/>
        <v>43.090596939649579</v>
      </c>
      <c r="Q55" s="22">
        <f t="shared" si="53"/>
        <v>371.1372483365563</v>
      </c>
      <c r="R55" s="62">
        <f t="shared" si="0"/>
        <v>627.5725278001396</v>
      </c>
      <c r="S55" s="62">
        <f ca="1">AVERAGE(OFFSET($R$3,0,0,'Données projet'!$E$9+1,1))-AVERAGE(OFFSET($H$3,0,0,'Données projet'!$E$9+1,1))</f>
        <v>354.90450119887635</v>
      </c>
      <c r="T55" s="62">
        <f t="shared" si="34"/>
        <v>367.95449187183942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157.43520000000007</v>
      </c>
      <c r="AK55" s="14">
        <f t="shared" si="35"/>
        <v>40.263474653179919</v>
      </c>
      <c r="AL55" s="22">
        <f t="shared" si="4"/>
        <v>344.32519168762178</v>
      </c>
      <c r="AM55" s="62">
        <f t="shared" si="5"/>
        <v>600.76047115120514</v>
      </c>
      <c r="AN55" s="62">
        <f ca="1">AVERAGE(OFFSET($AM$3,0,0,'Données projet'!$E$10+1,1))-AVERAGE(OFFSET($H$3,0,0,'Données projet'!$E$10+1,1))</f>
        <v>406.87679146534634</v>
      </c>
      <c r="AO55" s="62">
        <f t="shared" si="36"/>
        <v>252.43382636914751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62.870522503922729</v>
      </c>
      <c r="BJ55" s="62">
        <f t="shared" si="38"/>
        <v>322.87462304389692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33.750456914990103</v>
      </c>
      <c r="BQ55" s="23">
        <f>EXP(-LN(2)/25)*BQ54+(1-EXP(-LN(2)/25))/(LN(2)/25)*Calculateur!BL55*Calculateur!BN55*VLOOKUP('Données projet'!$B$11,Paramètres!$A$1:$I$89,3,0)*0.475*44/12</f>
        <v>6.8391508695231575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40.589607784513262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199.99576079505897</v>
      </c>
      <c r="CE55" s="62">
        <f t="shared" si="40"/>
        <v>407.41464279973172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63.907001266716428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0.12987546093313196</v>
      </c>
      <c r="CN55" s="24">
        <f t="shared" si="12"/>
        <v>64.036876727649556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-5.6843418860808015E-14</v>
      </c>
      <c r="CU55" s="18">
        <f>CT55*VLOOKUP('Données projet'!$B$13,Paramètres!$A$1:$I$89,3,0)*VLOOKUP('Données projet'!$B$13,Paramètres!$A$1:$I$89,5,0)</f>
        <v>-5.1431925385259088E-14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376.68007030857598</v>
      </c>
      <c r="CZ55" s="62">
        <f t="shared" si="42"/>
        <v>532.90758914457626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6.8</v>
      </c>
      <c r="N56" s="14">
        <f>IF('Données projet'!$A$36&gt;35,N55+M56-V55,IF(A56&lt;'Données projet'!$A$36,$K$205^A56,IF(A56='Données projet'!$A$36,'Données projet'!$B$36,N55+M56-V55)))</f>
        <v>201.4</v>
      </c>
      <c r="O56" s="14">
        <f>N56*VLOOKUP('Données projet'!$B$9,Paramètres!$A$1:$I$89,3,0)*VLOOKUP('Données projet'!$B$9,Paramètres!$A$1:$I$89,5,0)</f>
        <v>175.94304000000002</v>
      </c>
      <c r="P56" s="14">
        <f t="shared" si="33"/>
        <v>44.418393276556458</v>
      </c>
      <c r="Q56" s="22">
        <f t="shared" si="53"/>
        <v>383.79616295666915</v>
      </c>
      <c r="R56" s="62">
        <f t="shared" si="0"/>
        <v>640.87154116320244</v>
      </c>
      <c r="S56" s="62">
        <f ca="1">AVERAGE(OFFSET($R$3,0,0,'Données projet'!$E$9+1,1))-AVERAGE(OFFSET($H$3,0,0,'Données projet'!$E$9+1,1))</f>
        <v>354.90450119887635</v>
      </c>
      <c r="T56" s="62">
        <f t="shared" si="34"/>
        <v>367.95449187183942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164.67360000000005</v>
      </c>
      <c r="AK56" s="14">
        <f t="shared" si="35"/>
        <v>41.894886049197019</v>
      </c>
      <c r="AL56" s="22">
        <f t="shared" si="4"/>
        <v>359.77344653568485</v>
      </c>
      <c r="AM56" s="62">
        <f t="shared" si="5"/>
        <v>616.84882474221808</v>
      </c>
      <c r="AN56" s="62">
        <f ca="1">AVERAGE(OFFSET($AM$3,0,0,'Données projet'!$E$10+1,1))-AVERAGE(OFFSET($H$3,0,0,'Données projet'!$E$10+1,1))</f>
        <v>406.87679146534634</v>
      </c>
      <c r="AO56" s="62">
        <f t="shared" si="36"/>
        <v>252.43382636914751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62.870522503922729</v>
      </c>
      <c r="BJ56" s="62">
        <f t="shared" si="38"/>
        <v>322.87462304389692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33.088631040633189</v>
      </c>
      <c r="BQ56" s="23">
        <f>EXP(-LN(2)/25)*BQ55+(1-EXP(-LN(2)/25))/(LN(2)/25)*Calculateur!BL56*Calculateur!BN56*VLOOKUP('Données projet'!$B$11,Paramètres!$A$1:$I$89,3,0)*0.475*44/12</f>
        <v>6.6521339293407333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39.740764969973924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199.99576079505897</v>
      </c>
      <c r="CE56" s="62">
        <f t="shared" si="40"/>
        <v>407.41464279973172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62.653823951297994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9.1835819135546143E-2</v>
      </c>
      <c r="CN56" s="24">
        <f t="shared" si="12"/>
        <v>62.745659770433541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-5.6843418860808015E-14</v>
      </c>
      <c r="CU56" s="18">
        <f>CT56*VLOOKUP('Données projet'!$B$13,Paramètres!$A$1:$I$89,3,0)*VLOOKUP('Données projet'!$B$13,Paramètres!$A$1:$I$89,5,0)</f>
        <v>-5.1431925385259088E-14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376.68007030857598</v>
      </c>
      <c r="CZ56" s="62">
        <f t="shared" si="42"/>
        <v>532.90758914457626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6.8</v>
      </c>
      <c r="N57" s="14">
        <f>IF('Données projet'!$A$36&gt;35,N56+M57-V56,IF(A57&lt;'Données projet'!$A$36,$K$205^A57,IF(A57='Données projet'!$A$36,'Données projet'!$B$36,N56+M57-V56)))</f>
        <v>208.20000000000002</v>
      </c>
      <c r="O57" s="14">
        <f>N57*VLOOKUP('Données projet'!$B$9,Paramètres!$A$1:$I$89,3,0)*VLOOKUP('Données projet'!$B$9,Paramètres!$A$1:$I$89,5,0)</f>
        <v>181.88352000000006</v>
      </c>
      <c r="P57" s="14">
        <f t="shared" si="33"/>
        <v>45.74098045051349</v>
      </c>
      <c r="Q57" s="22">
        <f t="shared" si="53"/>
        <v>396.44600495131112</v>
      </c>
      <c r="R57" s="62">
        <f t="shared" si="0"/>
        <v>654.15037761865051</v>
      </c>
      <c r="S57" s="62">
        <f ca="1">AVERAGE(OFFSET($R$3,0,0,'Données projet'!$E$9+1,1))-AVERAGE(OFFSET($H$3,0,0,'Données projet'!$E$9+1,1))</f>
        <v>354.90450119887635</v>
      </c>
      <c r="T57" s="62">
        <f t="shared" si="34"/>
        <v>367.95449187183942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171.91200000000006</v>
      </c>
      <c r="AK57" s="14">
        <f t="shared" si="35"/>
        <v>43.51796884103733</v>
      </c>
      <c r="AL57" s="22">
        <f t="shared" si="4"/>
        <v>375.2071957314734</v>
      </c>
      <c r="AM57" s="62">
        <f t="shared" si="5"/>
        <v>632.91156839881273</v>
      </c>
      <c r="AN57" s="62">
        <f ca="1">AVERAGE(OFFSET($AM$3,0,0,'Données projet'!$E$10+1,1))-AVERAGE(OFFSET($H$3,0,0,'Données projet'!$E$10+1,1))</f>
        <v>406.87679146534634</v>
      </c>
      <c r="AO57" s="62">
        <f t="shared" si="36"/>
        <v>252.43382636914751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62.870522503922729</v>
      </c>
      <c r="BJ57" s="62">
        <f t="shared" si="38"/>
        <v>322.87462304389692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32.439783167998492</v>
      </c>
      <c r="BQ57" s="23">
        <f>EXP(-LN(2)/25)*BQ56+(1-EXP(-LN(2)/25))/(LN(2)/25)*Calculateur!BL57*Calculateur!BN57*VLOOKUP('Données projet'!$B$11,Paramètres!$A$1:$I$89,3,0)*0.475*44/12</f>
        <v>6.4702309772223909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38.910014145220885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199.99576079505897</v>
      </c>
      <c r="CE57" s="62">
        <f t="shared" si="40"/>
        <v>407.41464279973172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61.425220678672225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6.4937730466565979E-2</v>
      </c>
      <c r="CN57" s="24">
        <f t="shared" si="12"/>
        <v>61.490158409138793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-5.6843418860808015E-14</v>
      </c>
      <c r="CU57" s="18">
        <f>CT57*VLOOKUP('Données projet'!$B$13,Paramètres!$A$1:$I$89,3,0)*VLOOKUP('Données projet'!$B$13,Paramètres!$A$1:$I$89,5,0)</f>
        <v>-5.1431925385259088E-14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376.68007030857598</v>
      </c>
      <c r="CZ57" s="62">
        <f t="shared" si="42"/>
        <v>532.90758914457626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215</v>
      </c>
      <c r="L58" s="13">
        <f>VLOOKUP(A58,'Données projet'!$A$35:$I$55,9,0)</f>
        <v>6.8</v>
      </c>
      <c r="M58" s="13">
        <f t="array" ref="M58">INDEX(L:L,MIN(IF(ISNUMBER(L58:L254),ROW(L58:L254),"")))</f>
        <v>6.8</v>
      </c>
      <c r="N58" s="14">
        <f>IF('Données projet'!$A$36&gt;35,N57+M58-V57,IF(A58&lt;'Données projet'!$A$36,$K$205^A58,IF(A58='Données projet'!$A$36,'Données projet'!$B$36,N57+M58-V57)))</f>
        <v>215.00000000000003</v>
      </c>
      <c r="O58" s="14">
        <f>N58*VLOOKUP('Données projet'!$B$9,Paramètres!$A$1:$I$89,3,0)*VLOOKUP('Données projet'!$B$9,Paramètres!$A$1:$I$89,5,0)</f>
        <v>187.82400000000007</v>
      </c>
      <c r="P58" s="14">
        <f t="shared" si="33"/>
        <v>47.05854810918273</v>
      </c>
      <c r="Q58" s="22">
        <f t="shared" si="53"/>
        <v>409.08710462349336</v>
      </c>
      <c r="R58" s="62">
        <f t="shared" si="0"/>
        <v>667.40956010396474</v>
      </c>
      <c r="S58" s="62">
        <f ca="1">AVERAGE(OFFSET($R$3,0,0,'Données projet'!$E$9+1,1))-AVERAGE(OFFSET($H$3,0,0,'Données projet'!$E$9+1,1))</f>
        <v>354.90450119887635</v>
      </c>
      <c r="T58" s="62">
        <f t="shared" si="34"/>
        <v>367.95449187183942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25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179.15040000000005</v>
      </c>
      <c r="AK58" s="14">
        <f t="shared" si="35"/>
        <v>45.133113803437347</v>
      </c>
      <c r="AL58" s="22">
        <f t="shared" si="4"/>
        <v>390.62711987432004</v>
      </c>
      <c r="AM58" s="62">
        <f t="shared" si="5"/>
        <v>648.94957535479148</v>
      </c>
      <c r="AN58" s="62">
        <f ca="1">AVERAGE(OFFSET($AM$3,0,0,'Données projet'!$E$10+1,1))-AVERAGE(OFFSET($H$3,0,0,'Données projet'!$E$10+1,1))</f>
        <v>406.87679146534634</v>
      </c>
      <c r="AO58" s="62">
        <f t="shared" si="36"/>
        <v>252.43382636914751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62.870522503922729</v>
      </c>
      <c r="BJ58" s="62">
        <f t="shared" si="38"/>
        <v>322.87462304389692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31.803658806388036</v>
      </c>
      <c r="BQ58" s="23">
        <f>EXP(-LN(2)/25)*BQ57+(1-EXP(-LN(2)/25))/(LN(2)/25)*Calculateur!BL58*Calculateur!BN58*VLOOKUP('Données projet'!$B$11,Paramètres!$A$1:$I$89,3,0)*0.475*44/12</f>
        <v>6.2933021708955854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38.096960977283622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199.99576079505897</v>
      </c>
      <c r="CE58" s="62">
        <f t="shared" si="40"/>
        <v>407.41464279973172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60.220709566848647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4.5917909567773071E-2</v>
      </c>
      <c r="CN58" s="24">
        <f t="shared" si="12"/>
        <v>60.266627476416417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-5.6843418860808015E-14</v>
      </c>
      <c r="CU58" s="18">
        <f>CT58*VLOOKUP('Données projet'!$B$13,Paramètres!$A$1:$I$89,3,0)*VLOOKUP('Données projet'!$B$13,Paramètres!$A$1:$I$89,5,0)</f>
        <v>-5.1431925385259088E-14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376.68007030857598</v>
      </c>
      <c r="CZ58" s="62">
        <f t="shared" si="42"/>
        <v>532.90758914457626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</v>
      </c>
      <c r="N59" s="14">
        <f>IF('Données projet'!$A$36&gt;35,N58+M59-V58,IF(A59&lt;'Données projet'!$A$36,$K$205^A59,IF(A59='Données projet'!$A$36,'Données projet'!$B$36,N58+M59-V58)))</f>
        <v>196.00000000000003</v>
      </c>
      <c r="O59" s="14">
        <f>N59*VLOOKUP('Données projet'!$B$9,Paramètres!$A$1:$I$89,3,0)*VLOOKUP('Données projet'!$B$9,Paramètres!$A$1:$I$89,5,0)</f>
        <v>171.22560000000004</v>
      </c>
      <c r="P59" s="14">
        <f t="shared" si="33"/>
        <v>43.364402348589557</v>
      </c>
      <c r="Q59" s="22">
        <f t="shared" si="53"/>
        <v>373.74425409046017</v>
      </c>
      <c r="R59" s="62">
        <f t="shared" si="0"/>
        <v>632.67407002908192</v>
      </c>
      <c r="S59" s="62">
        <f ca="1">AVERAGE(OFFSET($R$3,0,0,'Données projet'!$E$9+1,1))-AVERAGE(OFFSET($H$3,0,0,'Données projet'!$E$9+1,1))</f>
        <v>354.90450119887635</v>
      </c>
      <c r="T59" s="62">
        <f t="shared" si="34"/>
        <v>367.95449187183942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166.84512000000004</v>
      </c>
      <c r="AK59" s="14">
        <f t="shared" si="35"/>
        <v>42.382666918050084</v>
      </c>
      <c r="AL59" s="22">
        <f t="shared" si="4"/>
        <v>364.40506221560395</v>
      </c>
      <c r="AM59" s="62">
        <f t="shared" si="5"/>
        <v>623.33487815422563</v>
      </c>
      <c r="AN59" s="62">
        <f ca="1">AVERAGE(OFFSET($AM$3,0,0,'Données projet'!$E$10+1,1))-AVERAGE(OFFSET($H$3,0,0,'Données projet'!$E$10+1,1))</f>
        <v>406.87679146534634</v>
      </c>
      <c r="AO59" s="62">
        <f t="shared" si="36"/>
        <v>252.43382636914751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62.870522503922729</v>
      </c>
      <c r="BJ59" s="62">
        <f t="shared" si="38"/>
        <v>322.87462304389692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31.180008455511214</v>
      </c>
      <c r="BQ59" s="23">
        <f>EXP(-LN(2)/25)*BQ58+(1-EXP(-LN(2)/25))/(LN(2)/25)*Calculateur!BL59*Calculateur!BN59*VLOOKUP('Données projet'!$B$11,Paramètres!$A$1:$I$89,3,0)*0.475*44/12</f>
        <v>6.1212114920820682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37.301219947593282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199.99576079505897</v>
      </c>
      <c r="CE59" s="62">
        <f t="shared" si="40"/>
        <v>407.41464279973172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59.039818183248698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3.246886523328299E-2</v>
      </c>
      <c r="CN59" s="24">
        <f t="shared" si="12"/>
        <v>59.072287048481982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-5.6843418860808015E-14</v>
      </c>
      <c r="CU59" s="18">
        <f>CT59*VLOOKUP('Données projet'!$B$13,Paramètres!$A$1:$I$89,3,0)*VLOOKUP('Données projet'!$B$13,Paramètres!$A$1:$I$89,5,0)</f>
        <v>-5.1431925385259088E-14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376.68007030857598</v>
      </c>
      <c r="CZ59" s="62">
        <f t="shared" si="42"/>
        <v>532.90758914457626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</v>
      </c>
      <c r="N60" s="14">
        <f>IF('Données projet'!$A$36&gt;35,N59+M60-V59,IF(A60&lt;'Données projet'!$A$36,$K$205^A60,IF(A60='Données projet'!$A$36,'Données projet'!$B$36,N59+M60-V59)))</f>
        <v>202.00000000000003</v>
      </c>
      <c r="O60" s="14">
        <f>N60*VLOOKUP('Données projet'!$B$9,Paramètres!$A$1:$I$89,3,0)*VLOOKUP('Données projet'!$B$9,Paramètres!$A$1:$I$89,5,0)</f>
        <v>176.46720000000005</v>
      </c>
      <c r="P60" s="14">
        <f t="shared" si="33"/>
        <v>44.535298821989393</v>
      </c>
      <c r="Q60" s="22">
        <f t="shared" si="53"/>
        <v>384.91268544829819</v>
      </c>
      <c r="R60" s="62">
        <f t="shared" si="0"/>
        <v>644.4393254989759</v>
      </c>
      <c r="S60" s="62">
        <f ca="1">AVERAGE(OFFSET($R$3,0,0,'Données projet'!$E$9+1,1))-AVERAGE(OFFSET($H$3,0,0,'Données projet'!$E$9+1,1))</f>
        <v>354.90450119887635</v>
      </c>
      <c r="T60" s="62">
        <f t="shared" si="34"/>
        <v>367.95449187183942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173.54064000000005</v>
      </c>
      <c r="AK60" s="14">
        <f t="shared" si="35"/>
        <v>43.882055316228445</v>
      </c>
      <c r="AL60" s="22">
        <f t="shared" si="4"/>
        <v>378.67786100909797</v>
      </c>
      <c r="AM60" s="62">
        <f t="shared" si="5"/>
        <v>638.20450105977568</v>
      </c>
      <c r="AN60" s="62">
        <f ca="1">AVERAGE(OFFSET($AM$3,0,0,'Données projet'!$E$10+1,1))-AVERAGE(OFFSET($H$3,0,0,'Données projet'!$E$10+1,1))</f>
        <v>406.87679146534634</v>
      </c>
      <c r="AO60" s="62">
        <f t="shared" si="36"/>
        <v>252.43382636914751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62.870522503922729</v>
      </c>
      <c r="BJ60" s="62">
        <f t="shared" si="38"/>
        <v>322.87462304389692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30.568587507625931</v>
      </c>
      <c r="BQ60" s="23">
        <f>EXP(-LN(2)/25)*BQ59+(1-EXP(-LN(2)/25))/(LN(2)/25)*Calculateur!BL60*Calculateur!BN60*VLOOKUP('Données projet'!$B$11,Paramètres!$A$1:$I$89,3,0)*0.475*44/12</f>
        <v>5.9538266419305614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36.522414149556496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199.99576079505897</v>
      </c>
      <c r="CE60" s="62">
        <f t="shared" si="40"/>
        <v>407.41464279973172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57.882083359408519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2.2958954783886536E-2</v>
      </c>
      <c r="CN60" s="24">
        <f t="shared" si="12"/>
        <v>57.905042314192407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-5.6843418860808015E-14</v>
      </c>
      <c r="CU60" s="18">
        <f>CT60*VLOOKUP('Données projet'!$B$13,Paramètres!$A$1:$I$89,3,0)*VLOOKUP('Données projet'!$B$13,Paramètres!$A$1:$I$89,5,0)</f>
        <v>-5.1431925385259088E-14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376.68007030857598</v>
      </c>
      <c r="CZ60" s="62">
        <f t="shared" si="42"/>
        <v>532.90758914457626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</v>
      </c>
      <c r="N61" s="14">
        <f>IF('Données projet'!$A$36&gt;35,N60+M61-V60,IF(A61&lt;'Données projet'!$A$36,$K$205^A61,IF(A61='Données projet'!$A$36,'Données projet'!$B$36,N60+M61-V60)))</f>
        <v>208.00000000000003</v>
      </c>
      <c r="O61" s="14">
        <f>N61*VLOOKUP('Données projet'!$B$9,Paramètres!$A$1:$I$89,3,0)*VLOOKUP('Données projet'!$B$9,Paramètres!$A$1:$I$89,5,0)</f>
        <v>181.70880000000005</v>
      </c>
      <c r="P61" s="14">
        <f t="shared" si="33"/>
        <v>45.702153370067812</v>
      </c>
      <c r="Q61" s="22">
        <f t="shared" si="53"/>
        <v>396.07407711953482</v>
      </c>
      <c r="R61" s="62">
        <f t="shared" si="0"/>
        <v>656.18718771822319</v>
      </c>
      <c r="S61" s="62">
        <f ca="1">AVERAGE(OFFSET($R$3,0,0,'Données projet'!$E$9+1,1))-AVERAGE(OFFSET($H$3,0,0,'Données projet'!$E$9+1,1))</f>
        <v>354.90450119887635</v>
      </c>
      <c r="T61" s="62">
        <f t="shared" si="34"/>
        <v>367.95449187183942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180.23616000000004</v>
      </c>
      <c r="AK61" s="14">
        <f t="shared" si="35"/>
        <v>45.374723405565959</v>
      </c>
      <c r="AL61" s="22">
        <f t="shared" si="4"/>
        <v>392.93895526469413</v>
      </c>
      <c r="AM61" s="62">
        <f t="shared" si="5"/>
        <v>653.0520658633825</v>
      </c>
      <c r="AN61" s="62">
        <f ca="1">AVERAGE(OFFSET($AM$3,0,0,'Données projet'!$E$10+1,1))-AVERAGE(OFFSET($H$3,0,0,'Données projet'!$E$10+1,1))</f>
        <v>406.87679146534634</v>
      </c>
      <c r="AO61" s="62">
        <f t="shared" si="36"/>
        <v>252.43382636914751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62.870522503922729</v>
      </c>
      <c r="BJ61" s="62">
        <f t="shared" si="38"/>
        <v>322.87462304389692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29.969156151598725</v>
      </c>
      <c r="BQ61" s="23">
        <f>EXP(-LN(2)/25)*BQ60+(1-EXP(-LN(2)/25))/(LN(2)/25)*Calculateur!BL61*Calculateur!BN61*VLOOKUP('Données projet'!$B$11,Paramètres!$A$1:$I$89,3,0)*0.475*44/12</f>
        <v>5.7910189393088345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35.760175090907559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199.99576079505897</v>
      </c>
      <c r="CE61" s="62">
        <f t="shared" si="40"/>
        <v>407.41464279973172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56.747051009315328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1.6234432616641495E-2</v>
      </c>
      <c r="CN61" s="24">
        <f t="shared" si="12"/>
        <v>56.76328544193197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-5.6843418860808015E-14</v>
      </c>
      <c r="CU61" s="18">
        <f>CT61*VLOOKUP('Données projet'!$B$13,Paramètres!$A$1:$I$89,3,0)*VLOOKUP('Données projet'!$B$13,Paramètres!$A$1:$I$89,5,0)</f>
        <v>-5.1431925385259088E-14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376.68007030857598</v>
      </c>
      <c r="CZ61" s="62">
        <f t="shared" si="42"/>
        <v>532.90758914457626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</v>
      </c>
      <c r="N62" s="14">
        <f>IF('Données projet'!$A$36&gt;35,N61+M62-V61,IF(A62&lt;'Données projet'!$A$36,$K$205^A62,IF(A62='Données projet'!$A$36,'Données projet'!$B$36,N61+M62-V61)))</f>
        <v>214.00000000000003</v>
      </c>
      <c r="O62" s="14">
        <f>N62*VLOOKUP('Données projet'!$B$9,Paramètres!$A$1:$I$89,3,0)*VLOOKUP('Données projet'!$B$9,Paramètres!$A$1:$I$89,5,0)</f>
        <v>186.95040000000006</v>
      </c>
      <c r="P62" s="14">
        <f t="shared" si="33"/>
        <v>46.865095976617653</v>
      </c>
      <c r="Q62" s="22">
        <f t="shared" si="53"/>
        <v>407.22865549260922</v>
      </c>
      <c r="R62" s="62">
        <f t="shared" si="0"/>
        <v>667.918062686452</v>
      </c>
      <c r="S62" s="62">
        <f ca="1">AVERAGE(OFFSET($R$3,0,0,'Données projet'!$E$9+1,1))-AVERAGE(OFFSET($H$3,0,0,'Données projet'!$E$9+1,1))</f>
        <v>354.90450119887635</v>
      </c>
      <c r="T62" s="62">
        <f t="shared" si="34"/>
        <v>367.95449187183942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186.93168000000006</v>
      </c>
      <c r="AK62" s="14">
        <f t="shared" si="35"/>
        <v>46.860949423866458</v>
      </c>
      <c r="AL62" s="22">
        <f t="shared" si="4"/>
        <v>407.18882957990081</v>
      </c>
      <c r="AM62" s="62">
        <f t="shared" si="5"/>
        <v>667.87823677374354</v>
      </c>
      <c r="AN62" s="62">
        <f ca="1">AVERAGE(OFFSET($AM$3,0,0,'Données projet'!$E$10+1,1))-AVERAGE(OFFSET($H$3,0,0,'Données projet'!$E$10+1,1))</f>
        <v>406.87679146534634</v>
      </c>
      <c r="AO62" s="62">
        <f t="shared" si="36"/>
        <v>252.43382636914751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62.870522503922729</v>
      </c>
      <c r="BJ62" s="62">
        <f t="shared" si="38"/>
        <v>322.87462304389692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29.381479278846186</v>
      </c>
      <c r="BQ62" s="23">
        <f>EXP(-LN(2)/25)*BQ61+(1-EXP(-LN(2)/25))/(LN(2)/25)*Calculateur!BL62*Calculateur!BN62*VLOOKUP('Données projet'!$B$11,Paramètres!$A$1:$I$89,3,0)*0.475*44/12</f>
        <v>5.6326632218769843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35.014142500723167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199.99576079505897</v>
      </c>
      <c r="CE62" s="62">
        <f t="shared" si="40"/>
        <v>407.41464279973172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55.634275951306094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1.1479477391943268E-2</v>
      </c>
      <c r="CN62" s="24">
        <f t="shared" si="12"/>
        <v>55.645755428698038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-5.6843418860808015E-14</v>
      </c>
      <c r="CU62" s="18">
        <f>CT62*VLOOKUP('Données projet'!$B$13,Paramètres!$A$1:$I$89,3,0)*VLOOKUP('Données projet'!$B$13,Paramètres!$A$1:$I$89,5,0)</f>
        <v>-5.1431925385259088E-14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376.68007030857598</v>
      </c>
      <c r="CZ62" s="62">
        <f t="shared" si="42"/>
        <v>532.90758914457626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220</v>
      </c>
      <c r="L63" s="13">
        <f>VLOOKUP(A63,'Données projet'!$A$35:$I$55,9,0)</f>
        <v>6</v>
      </c>
      <c r="M63" s="13">
        <f t="array" ref="M63">INDEX(L:L,MIN(IF(ISNUMBER(L63:L259),ROW(L63:L259),"")))</f>
        <v>6</v>
      </c>
      <c r="N63" s="14">
        <f>IF('Données projet'!$A$36&gt;35,N62+M63-V62,IF(A63&lt;'Données projet'!$A$36,$K$205^A63,IF(A63='Données projet'!$A$36,'Données projet'!$B$36,N62+M63-V62)))</f>
        <v>220.00000000000003</v>
      </c>
      <c r="O63" s="14">
        <f>N63*VLOOKUP('Données projet'!$B$9,Paramètres!$A$1:$I$89,3,0)*VLOOKUP('Données projet'!$B$9,Paramètres!$A$1:$I$89,5,0)</f>
        <v>192.19200000000006</v>
      </c>
      <c r="P63" s="14">
        <f t="shared" si="33"/>
        <v>48.02424892193244</v>
      </c>
      <c r="Q63" s="22">
        <f t="shared" si="53"/>
        <v>418.37663353903241</v>
      </c>
      <c r="R63" s="62">
        <f t="shared" si="0"/>
        <v>679.6323398705099</v>
      </c>
      <c r="S63" s="62">
        <f ca="1">AVERAGE(OFFSET($R$3,0,0,'Données projet'!$E$9+1,1))-AVERAGE(OFFSET($H$3,0,0,'Données projet'!$E$9+1,1))</f>
        <v>354.90450119887635</v>
      </c>
      <c r="T63" s="62">
        <f t="shared" si="34"/>
        <v>367.95449187183942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193.62720000000007</v>
      </c>
      <c r="AK63" s="14">
        <f t="shared" si="35"/>
        <v>48.340990547231236</v>
      </c>
      <c r="AL63" s="22">
        <f t="shared" si="4"/>
        <v>421.42793186976115</v>
      </c>
      <c r="AM63" s="62">
        <f t="shared" si="5"/>
        <v>682.68363820123864</v>
      </c>
      <c r="AN63" s="62">
        <f ca="1">AVERAGE(OFFSET($AM$3,0,0,'Données projet'!$E$10+1,1))-AVERAGE(OFFSET($H$3,0,0,'Données projet'!$E$10+1,1))</f>
        <v>406.87679146534634</v>
      </c>
      <c r="AO63" s="62">
        <f t="shared" si="36"/>
        <v>252.43382636914751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62.870522503922729</v>
      </c>
      <c r="BJ63" s="62">
        <f t="shared" si="38"/>
        <v>322.87462304389692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28.805326391120825</v>
      </c>
      <c r="BQ63" s="23">
        <f>EXP(-LN(2)/25)*BQ62+(1-EXP(-LN(2)/25))/(LN(2)/25)*Calculateur!BL63*Calculateur!BN63*VLOOKUP('Données projet'!$B$11,Paramètres!$A$1:$I$89,3,0)*0.475*44/12</f>
        <v>5.4786377498658734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34.283964140986697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199.99576079505897</v>
      </c>
      <c r="CE63" s="62">
        <f t="shared" si="40"/>
        <v>407.41464279973172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54.543321733458654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8.1172163083207474E-3</v>
      </c>
      <c r="CN63" s="24">
        <f t="shared" si="12"/>
        <v>54.551438949766975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-5.6843418860808015E-14</v>
      </c>
      <c r="CU63" s="18">
        <f>CT63*VLOOKUP('Données projet'!$B$13,Paramètres!$A$1:$I$89,3,0)*VLOOKUP('Données projet'!$B$13,Paramètres!$A$1:$I$89,5,0)</f>
        <v>-5.1431925385259088E-14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376.68007030857598</v>
      </c>
      <c r="CZ63" s="62">
        <f t="shared" si="42"/>
        <v>532.90758914457626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203.20000000000002</v>
      </c>
      <c r="O64" s="14">
        <f>N64*VLOOKUP('Données projet'!$B$9,Paramètres!$A$1:$I$89,3,0)*VLOOKUP('Données projet'!$B$9,Paramètres!$A$1:$I$89,5,0)</f>
        <v>177.51552000000004</v>
      </c>
      <c r="P64" s="14">
        <f t="shared" si="33"/>
        <v>44.768988809542904</v>
      </c>
      <c r="Q64" s="22">
        <f t="shared" si="53"/>
        <v>387.145519509954</v>
      </c>
      <c r="R64" s="62">
        <f t="shared" si="0"/>
        <v>648.95770095508328</v>
      </c>
      <c r="S64" s="62">
        <f ca="1">AVERAGE(OFFSET($R$3,0,0,'Données projet'!$E$9+1,1))-AVERAGE(OFFSET($H$3,0,0,'Données projet'!$E$9+1,1))</f>
        <v>354.90450119887635</v>
      </c>
      <c r="T64" s="62">
        <f t="shared" si="34"/>
        <v>367.95449187183942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181.14096000000006</v>
      </c>
      <c r="AK64" s="14">
        <f t="shared" si="35"/>
        <v>45.575935320610981</v>
      </c>
      <c r="AL64" s="22">
        <f t="shared" si="4"/>
        <v>394.86525935006421</v>
      </c>
      <c r="AM64" s="62">
        <f t="shared" si="5"/>
        <v>656.67744079519355</v>
      </c>
      <c r="AN64" s="62">
        <f ca="1">AVERAGE(OFFSET($AM$3,0,0,'Données projet'!$E$10+1,1))-AVERAGE(OFFSET($H$3,0,0,'Données projet'!$E$10+1,1))</f>
        <v>406.87679146534634</v>
      </c>
      <c r="AO64" s="62">
        <f t="shared" si="36"/>
        <v>252.43382636914751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62.870522503922729</v>
      </c>
      <c r="BJ64" s="62">
        <f t="shared" si="38"/>
        <v>322.87462304389692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28.240471510105198</v>
      </c>
      <c r="BQ64" s="23">
        <f>EXP(-LN(2)/25)*BQ63+(1-EXP(-LN(2)/25))/(LN(2)/25)*Calculateur!BL64*Calculateur!BN64*VLOOKUP('Données projet'!$B$11,Paramètres!$A$1:$I$89,3,0)*0.475*44/12</f>
        <v>5.3288241124867533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33.569295622591952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199.99576079505897</v>
      </c>
      <c r="CE64" s="62">
        <f t="shared" si="40"/>
        <v>407.41464279973172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53.47376046240683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5.7397386959716339E-3</v>
      </c>
      <c r="CN64" s="24">
        <f t="shared" si="12"/>
        <v>53.479500201102802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-5.1431925385259088E-14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376.68007030857598</v>
      </c>
      <c r="CZ64" s="62">
        <f t="shared" si="42"/>
        <v>532.90758914457626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208.4</v>
      </c>
      <c r="O65" s="14">
        <f>N65*VLOOKUP('Données projet'!$B$9,Paramètres!$A$1:$I$89,3,0)*VLOOKUP('Données projet'!$B$9,Paramètres!$A$1:$I$89,5,0)</f>
        <v>182.05824000000001</v>
      </c>
      <c r="P65" s="14">
        <f t="shared" si="33"/>
        <v>45.779803189729343</v>
      </c>
      <c r="Q65" s="22">
        <f t="shared" si="53"/>
        <v>396.81792522211191</v>
      </c>
      <c r="R65" s="62">
        <f t="shared" si="0"/>
        <v>659.17692818176329</v>
      </c>
      <c r="S65" s="62">
        <f ca="1">AVERAGE(OFFSET($R$3,0,0,'Données projet'!$E$9+1,1))-AVERAGE(OFFSET($H$3,0,0,'Données projet'!$E$9+1,1))</f>
        <v>354.90450119887635</v>
      </c>
      <c r="T65" s="62">
        <f t="shared" si="34"/>
        <v>367.95449187183942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187.65552000000005</v>
      </c>
      <c r="AK65" s="14">
        <f t="shared" si="35"/>
        <v>47.021247649900147</v>
      </c>
      <c r="AL65" s="22">
        <f t="shared" si="4"/>
        <v>408.72870365690954</v>
      </c>
      <c r="AM65" s="62">
        <f t="shared" si="5"/>
        <v>671.08770661656081</v>
      </c>
      <c r="AN65" s="62">
        <f ca="1">AVERAGE(OFFSET($AM$3,0,0,'Données projet'!$E$10+1,1))-AVERAGE(OFFSET($H$3,0,0,'Données projet'!$E$10+1,1))</f>
        <v>406.87679146534634</v>
      </c>
      <c r="AO65" s="62">
        <f t="shared" si="36"/>
        <v>252.43382636914751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62.870522503922729</v>
      </c>
      <c r="BJ65" s="62">
        <f t="shared" si="38"/>
        <v>322.87462304389692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27.686693088778831</v>
      </c>
      <c r="BQ65" s="23">
        <f>EXP(-LN(2)/25)*BQ64+(1-EXP(-LN(2)/25))/(LN(2)/25)*Calculateur!BL65*Calculateur!BN65*VLOOKUP('Données projet'!$B$11,Paramètres!$A$1:$I$89,3,0)*0.475*44/12</f>
        <v>5.183107136900122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32.869800225678951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199.99576079505897</v>
      </c>
      <c r="CE65" s="62">
        <f t="shared" si="40"/>
        <v>407.41464279973172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52.425172635512375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4.0586081541603737E-3</v>
      </c>
      <c r="CN65" s="24">
        <f t="shared" si="12"/>
        <v>52.429231243666536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-5.1431925385259088E-14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376.68007030857598</v>
      </c>
      <c r="CZ65" s="62">
        <f t="shared" si="42"/>
        <v>532.90758914457626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213.6</v>
      </c>
      <c r="O66" s="14">
        <f>N66*VLOOKUP('Données projet'!$B$9,Paramètres!$A$1:$I$89,3,0)*VLOOKUP('Données projet'!$B$9,Paramètres!$A$1:$I$89,5,0)</f>
        <v>186.60096000000001</v>
      </c>
      <c r="P66" s="14">
        <f t="shared" si="33"/>
        <v>46.787685683664144</v>
      </c>
      <c r="Q66" s="22">
        <f t="shared" si="53"/>
        <v>406.48522456571504</v>
      </c>
      <c r="R66" s="62">
        <f t="shared" si="0"/>
        <v>669.38156290912116</v>
      </c>
      <c r="S66" s="62">
        <f ca="1">AVERAGE(OFFSET($R$3,0,0,'Données projet'!$E$9+1,1))-AVERAGE(OFFSET($H$3,0,0,'Données projet'!$E$9+1,1))</f>
        <v>354.90450119887635</v>
      </c>
      <c r="T66" s="62">
        <f t="shared" si="34"/>
        <v>367.95449187183942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194.17008000000004</v>
      </c>
      <c r="AK66" s="14">
        <f t="shared" si="35"/>
        <v>48.460730182351078</v>
      </c>
      <c r="AL66" s="22">
        <f t="shared" si="4"/>
        <v>422.58199440092818</v>
      </c>
      <c r="AM66" s="62">
        <f t="shared" si="5"/>
        <v>685.47833274433424</v>
      </c>
      <c r="AN66" s="62">
        <f ca="1">AVERAGE(OFFSET($AM$3,0,0,'Données projet'!$E$10+1,1))-AVERAGE(OFFSET($H$3,0,0,'Données projet'!$E$10+1,1))</f>
        <v>406.87679146534634</v>
      </c>
      <c r="AO66" s="62">
        <f t="shared" si="36"/>
        <v>252.43382636914751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62.870522503922729</v>
      </c>
      <c r="BJ66" s="62">
        <f t="shared" si="38"/>
        <v>322.87462304389692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27.143773924523188</v>
      </c>
      <c r="BQ66" s="23">
        <f>EXP(-LN(2)/25)*BQ65+(1-EXP(-LN(2)/25))/(LN(2)/25)*Calculateur!BL66*Calculateur!BN66*VLOOKUP('Données projet'!$B$11,Paramètres!$A$1:$I$89,3,0)*0.475*44/12</f>
        <v>5.0413747996738296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32.18514872419702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199.99576079505897</v>
      </c>
      <c r="CE66" s="62">
        <f t="shared" si="40"/>
        <v>407.41464279973172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51.397146976327896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2.869869347985817E-3</v>
      </c>
      <c r="CN66" s="24">
        <f t="shared" si="12"/>
        <v>51.400016845675879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-5.1431925385259088E-14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376.68007030857598</v>
      </c>
      <c r="CZ66" s="62">
        <f t="shared" si="42"/>
        <v>532.90758914457626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218.79999999999998</v>
      </c>
      <c r="O67" s="14">
        <f>N67*VLOOKUP('Données projet'!$B$9,Paramètres!$A$1:$I$89,3,0)*VLOOKUP('Données projet'!$B$9,Paramètres!$A$1:$I$89,5,0)</f>
        <v>191.14368000000002</v>
      </c>
      <c r="P67" s="14">
        <f t="shared" si="33"/>
        <v>47.792715878069586</v>
      </c>
      <c r="Q67" s="22">
        <f t="shared" ref="Q67:Q98" si="54">(O67+P67)*0.475*44/12</f>
        <v>416.14755615430454</v>
      </c>
      <c r="R67" s="62">
        <f t="shared" ref="R67:R130" si="55">Q67+(I67+J67)*44/12</f>
        <v>679.57190831385924</v>
      </c>
      <c r="S67" s="62">
        <f ca="1">AVERAGE(OFFSET($R$3,0,0,'Données projet'!$E$9+1,1))-AVERAGE(OFFSET($H$3,0,0,'Données projet'!$E$9+1,1))</f>
        <v>354.90450119887635</v>
      </c>
      <c r="T67" s="62">
        <f t="shared" si="34"/>
        <v>367.95449187183942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200.68464</v>
      </c>
      <c r="AK67" s="14">
        <f t="shared" si="35"/>
        <v>49.894600936700193</v>
      </c>
      <c r="AL67" s="22">
        <f t="shared" si="4"/>
        <v>436.42551129808612</v>
      </c>
      <c r="AM67" s="62">
        <f t="shared" si="5"/>
        <v>699.84986345764082</v>
      </c>
      <c r="AN67" s="62">
        <f ca="1">AVERAGE(OFFSET($AM$3,0,0,'Données projet'!$E$10+1,1))-AVERAGE(OFFSET($H$3,0,0,'Données projet'!$E$10+1,1))</f>
        <v>406.87679146534634</v>
      </c>
      <c r="AO67" s="62">
        <f t="shared" si="36"/>
        <v>252.43382636914751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62.870522503922729</v>
      </c>
      <c r="BJ67" s="62">
        <f t="shared" si="38"/>
        <v>322.87462304389692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26.611501073930608</v>
      </c>
      <c r="BQ67" s="23">
        <f>EXP(-LN(2)/25)*BQ66+(1-EXP(-LN(2)/25))/(LN(2)/25)*Calculateur!BL67*Calculateur!BN67*VLOOKUP('Données projet'!$B$11,Paramètres!$A$1:$I$89,3,0)*0.475*44/12</f>
        <v>4.9035181406623707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31.515019214592979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199.99576079505897</v>
      </c>
      <c r="CE67" s="62">
        <f t="shared" si="40"/>
        <v>407.41464279973172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50.389280273286289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2.0293040770801869E-3</v>
      </c>
      <c r="CN67" s="24">
        <f t="shared" si="12"/>
        <v>50.391309577363366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-5.1431925385259088E-14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376.68007030857598</v>
      </c>
      <c r="CZ67" s="62">
        <f t="shared" si="42"/>
        <v>532.90758914457626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224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223.99999999999997</v>
      </c>
      <c r="O68" s="14">
        <f>N68*VLOOKUP('Données projet'!$B$9,Paramètres!$A$1:$I$89,3,0)*VLOOKUP('Données projet'!$B$9,Paramètres!$A$1:$I$89,5,0)</f>
        <v>195.68639999999999</v>
      </c>
      <c r="P68" s="14">
        <f t="shared" si="33"/>
        <v>48.794969360985156</v>
      </c>
      <c r="Q68" s="22">
        <f t="shared" si="54"/>
        <v>425.80505163704908</v>
      </c>
      <c r="R68" s="62">
        <f t="shared" si="55"/>
        <v>689.74825775350428</v>
      </c>
      <c r="S68" s="62">
        <f ca="1">AVERAGE(OFFSET($R$3,0,0,'Données projet'!$E$9+1,1))-AVERAGE(OFFSET($H$3,0,0,'Données projet'!$E$9+1,1))</f>
        <v>354.90450119887635</v>
      </c>
      <c r="T68" s="62">
        <f t="shared" si="34"/>
        <v>367.95449187183942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207.19919999999999</v>
      </c>
      <c r="AK68" s="14">
        <f t="shared" si="35"/>
        <v>51.32306297366555</v>
      </c>
      <c r="AL68" s="22">
        <f t="shared" ref="AL68:AL131" si="58">(AJ68+AK68)*0.475*44/12</f>
        <v>450.25960801246742</v>
      </c>
      <c r="AM68" s="62">
        <f t="shared" ref="AM68:AM131" si="59">AL68+(AD68+AE68)*44/12</f>
        <v>714.20281412892268</v>
      </c>
      <c r="AN68" s="62">
        <f ca="1">AVERAGE(OFFSET($AM$3,0,0,'Données projet'!$E$10+1,1))-AVERAGE(OFFSET($H$3,0,0,'Données projet'!$E$10+1,1))</f>
        <v>406.87679146534634</v>
      </c>
      <c r="AO68" s="62">
        <f t="shared" si="36"/>
        <v>252.43382636914751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62.870522503922729</v>
      </c>
      <c r="BJ68" s="62">
        <f t="shared" si="38"/>
        <v>322.87462304389692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26.089665769283766</v>
      </c>
      <c r="BQ68" s="23">
        <f>EXP(-LN(2)/25)*BQ67+(1-EXP(-LN(2)/25))/(LN(2)/25)*Calculateur!BL68*Calculateur!BN68*VLOOKUP('Données projet'!$B$11,Paramètres!$A$1:$I$89,3,0)*0.475*44/12</f>
        <v>4.7694311792411463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30.859096948524911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199.99576079505897</v>
      </c>
      <c r="CE68" s="62">
        <f t="shared" si="40"/>
        <v>407.41464279973172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49.40117722155334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1.4349346739929085E-3</v>
      </c>
      <c r="CN68" s="24">
        <f t="shared" ref="CN68:CN131" si="66">SUM(CK68:CM68)</f>
        <v>49.402612156227335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-5.1431925385259088E-14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376.68007030857598</v>
      </c>
      <c r="CZ68" s="62">
        <f t="shared" si="42"/>
        <v>532.90758914457626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4.5999999999999996</v>
      </c>
      <c r="N69" s="14">
        <f>IF('Données projet'!$A$36&gt;35,N68+M69-V68,IF(A69&lt;'Données projet'!$A$36,$K$205^A69,IF(A69='Données projet'!$A$36,'Données projet'!$B$36,N68+M69-V68)))</f>
        <v>208.59999999999997</v>
      </c>
      <c r="O69" s="14">
        <f>N69*VLOOKUP('Données projet'!$B$9,Paramètres!$A$1:$I$89,3,0)*VLOOKUP('Données projet'!$B$9,Paramètres!$A$1:$I$89,5,0)</f>
        <v>182.23295999999999</v>
      </c>
      <c r="P69" s="14">
        <f t="shared" ref="P69:P132" si="87">EXP(-1.0587+0.8836*LN(O69)+0.284)</f>
        <v>45.818621592366291</v>
      </c>
      <c r="Q69" s="22">
        <f t="shared" si="54"/>
        <v>397.18983794003793</v>
      </c>
      <c r="R69" s="62">
        <f t="shared" si="55"/>
        <v>661.64289705722501</v>
      </c>
      <c r="S69" s="62">
        <f ca="1">AVERAGE(OFFSET($R$3,0,0,'Données projet'!$E$9+1,1))-AVERAGE(OFFSET($H$3,0,0,'Données projet'!$E$9+1,1))</f>
        <v>354.90450119887635</v>
      </c>
      <c r="T69" s="62">
        <f t="shared" ref="T69:T132" si="88">$T$3</f>
        <v>367.95449187183942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194.35104000000004</v>
      </c>
      <c r="AK69" s="14">
        <f t="shared" ref="AK69:AK132" si="89">EXP(-1.0587+0.8836*LN(AJ69)+0.284)</f>
        <v>48.500634729810159</v>
      </c>
      <c r="AL69" s="22">
        <f t="shared" si="58"/>
        <v>422.96666682108616</v>
      </c>
      <c r="AM69" s="62">
        <f t="shared" si="59"/>
        <v>687.41972593827325</v>
      </c>
      <c r="AN69" s="62">
        <f ca="1">AVERAGE(OFFSET($AM$3,0,0,'Données projet'!$E$10+1,1))-AVERAGE(OFFSET($H$3,0,0,'Données projet'!$E$10+1,1))</f>
        <v>406.87679146534634</v>
      </c>
      <c r="AO69" s="62">
        <f t="shared" ref="AO69:AO132" si="90">$AO$3</f>
        <v>252.43382636914751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62.870522503922729</v>
      </c>
      <c r="BJ69" s="62">
        <f t="shared" ref="BJ69:BJ132" si="92">$BJ$3</f>
        <v>322.87462304389692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25.57806333667294</v>
      </c>
      <c r="BQ69" s="23">
        <f>EXP(-LN(2)/25)*BQ68+(1-EXP(-LN(2)/25))/(LN(2)/25)*Calculateur!BL69*Calculateur!BN69*VLOOKUP('Données projet'!$B$11,Paramètres!$A$1:$I$89,3,0)*0.475*44/12</f>
        <v>4.6390108328313122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30.217074169504251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199.99576079505897</v>
      </c>
      <c r="CE69" s="62">
        <f t="shared" ref="CE69:CE132" si="94">$CE$3</f>
        <v>407.41464279973172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48.432450267981523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1.0146520385400934E-3</v>
      </c>
      <c r="CN69" s="24">
        <f t="shared" si="66"/>
        <v>48.433464920020064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-5.1431925385259088E-14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376.68007030857598</v>
      </c>
      <c r="CZ69" s="62">
        <f t="shared" ref="CZ69:CZ132" si="96">$CZ$3</f>
        <v>532.90758914457626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4.5999999999999996</v>
      </c>
      <c r="N70" s="14">
        <f>IF('Données projet'!$A$36&gt;35,N69+M70-V69,IF(A70&lt;'Données projet'!$A$36,$K$205^A70,IF(A70='Données projet'!$A$36,'Données projet'!$B$36,N69+M70-V69)))</f>
        <v>213.19999999999996</v>
      </c>
      <c r="O70" s="14">
        <f>N70*VLOOKUP('Données projet'!$B$9,Paramètres!$A$1:$I$89,3,0)*VLOOKUP('Données projet'!$B$9,Paramètres!$A$1:$I$89,5,0)</f>
        <v>186.25152</v>
      </c>
      <c r="P70" s="14">
        <f t="shared" si="87"/>
        <v>46.71025851515671</v>
      </c>
      <c r="Q70" s="22">
        <f t="shared" si="54"/>
        <v>405.74176424723129</v>
      </c>
      <c r="R70" s="62">
        <f t="shared" si="55"/>
        <v>670.69583155544819</v>
      </c>
      <c r="S70" s="62">
        <f ca="1">AVERAGE(OFFSET($R$3,0,0,'Données projet'!$E$9+1,1))-AVERAGE(OFFSET($H$3,0,0,'Données projet'!$E$9+1,1))</f>
        <v>354.90450119887635</v>
      </c>
      <c r="T70" s="62">
        <f t="shared" si="88"/>
        <v>367.95449187183942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200.50368000000003</v>
      </c>
      <c r="AK70" s="14">
        <f t="shared" si="89"/>
        <v>49.854845135229887</v>
      </c>
      <c r="AL70" s="22">
        <f t="shared" si="58"/>
        <v>436.04109794385869</v>
      </c>
      <c r="AM70" s="62">
        <f t="shared" si="59"/>
        <v>700.99516525207559</v>
      </c>
      <c r="AN70" s="62">
        <f ca="1">AVERAGE(OFFSET($AM$3,0,0,'Données projet'!$E$10+1,1))-AVERAGE(OFFSET($H$3,0,0,'Données projet'!$E$10+1,1))</f>
        <v>406.87679146534634</v>
      </c>
      <c r="AO70" s="62">
        <f t="shared" si="90"/>
        <v>252.43382636914751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62.870522503922729</v>
      </c>
      <c r="BJ70" s="62">
        <f t="shared" si="92"/>
        <v>322.87462304389692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25.076493115718939</v>
      </c>
      <c r="BQ70" s="23">
        <f>EXP(-LN(2)/25)*BQ69+(1-EXP(-LN(2)/25))/(LN(2)/25)*Calculateur!BL70*Calculateur!BN70*VLOOKUP('Données projet'!$B$11,Paramètres!$A$1:$I$89,3,0)*0.475*44/12</f>
        <v>4.5121568376525625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29.588649953371501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199.99576079505897</v>
      </c>
      <c r="CE70" s="62">
        <f t="shared" si="94"/>
        <v>407.41464279973172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47.482719459104146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7.1746733699645424E-4</v>
      </c>
      <c r="CN70" s="24">
        <f t="shared" si="66"/>
        <v>47.483436926441144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-5.1431925385259088E-14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376.68007030857598</v>
      </c>
      <c r="CZ70" s="62">
        <f t="shared" si="96"/>
        <v>532.90758914457626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4.5999999999999996</v>
      </c>
      <c r="N71" s="14">
        <f>IF('Données projet'!$A$36&gt;35,N70+M71-V70,IF(A71&lt;'Données projet'!$A$36,$K$205^A71,IF(A71='Données projet'!$A$36,'Données projet'!$B$36,N70+M71-V70)))</f>
        <v>217.79999999999995</v>
      </c>
      <c r="O71" s="14">
        <f>N71*VLOOKUP('Données projet'!$B$9,Paramètres!$A$1:$I$89,3,0)*VLOOKUP('Données projet'!$B$9,Paramètres!$A$1:$I$89,5,0)</f>
        <v>190.27007999999998</v>
      </c>
      <c r="P71" s="14">
        <f t="shared" si="87"/>
        <v>47.599658767320413</v>
      </c>
      <c r="Q71" s="22">
        <f t="shared" si="54"/>
        <v>414.28979501974965</v>
      </c>
      <c r="R71" s="62">
        <f t="shared" si="55"/>
        <v>679.73617914696842</v>
      </c>
      <c r="S71" s="62">
        <f ca="1">AVERAGE(OFFSET($R$3,0,0,'Données projet'!$E$9+1,1))-AVERAGE(OFFSET($H$3,0,0,'Données projet'!$E$9+1,1))</f>
        <v>354.90450119887635</v>
      </c>
      <c r="T71" s="62">
        <f t="shared" si="88"/>
        <v>367.95449187183942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206.65632000000005</v>
      </c>
      <c r="AK71" s="14">
        <f t="shared" si="89"/>
        <v>51.20422634371338</v>
      </c>
      <c r="AL71" s="22">
        <f t="shared" si="58"/>
        <v>449.10711821530089</v>
      </c>
      <c r="AM71" s="62">
        <f t="shared" si="59"/>
        <v>714.55350234251978</v>
      </c>
      <c r="AN71" s="62">
        <f ca="1">AVERAGE(OFFSET($AM$3,0,0,'Données projet'!$E$10+1,1))-AVERAGE(OFFSET($H$3,0,0,'Données projet'!$E$10+1,1))</f>
        <v>406.87679146534634</v>
      </c>
      <c r="AO71" s="62">
        <f t="shared" si="90"/>
        <v>252.43382636914751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62.870522503922729</v>
      </c>
      <c r="BJ71" s="62">
        <f t="shared" si="92"/>
        <v>322.87462304389692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24.58475838087022</v>
      </c>
      <c r="BQ71" s="23">
        <f>EXP(-LN(2)/25)*BQ70+(1-EXP(-LN(2)/25))/(LN(2)/25)*Calculateur!BL71*Calculateur!BN71*VLOOKUP('Données projet'!$B$11,Paramètres!$A$1:$I$89,3,0)*0.475*44/12</f>
        <v>4.3887716716429379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28.973530052513158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199.99576079505897</v>
      </c>
      <c r="CE71" s="62">
        <f t="shared" si="94"/>
        <v>407.41464279973172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46.551612292110264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5.0732601927004671E-4</v>
      </c>
      <c r="CN71" s="24">
        <f t="shared" si="66"/>
        <v>46.552119618129531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-5.1431925385259088E-14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376.68007030857598</v>
      </c>
      <c r="CZ71" s="62">
        <f t="shared" si="96"/>
        <v>532.90758914457626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4.5999999999999996</v>
      </c>
      <c r="N72" s="14">
        <f>IF('Données projet'!$A$36&gt;35,N71+M72-V71,IF(A72&lt;'Données projet'!$A$36,$K$205^A72,IF(A72='Données projet'!$A$36,'Données projet'!$B$36,N71+M72-V71)))</f>
        <v>222.39999999999995</v>
      </c>
      <c r="O72" s="14">
        <f>N72*VLOOKUP('Données projet'!$B$9,Paramètres!$A$1:$I$89,3,0)*VLOOKUP('Données projet'!$B$9,Paramètres!$A$1:$I$89,5,0)</f>
        <v>194.28863999999999</v>
      </c>
      <c r="P72" s="14">
        <f t="shared" si="87"/>
        <v>48.486875029770822</v>
      </c>
      <c r="Q72" s="22">
        <f t="shared" si="54"/>
        <v>422.83402201018413</v>
      </c>
      <c r="R72" s="62">
        <f t="shared" si="55"/>
        <v>688.76418236025074</v>
      </c>
      <c r="S72" s="62">
        <f ca="1">AVERAGE(OFFSET($R$3,0,0,'Données projet'!$E$9+1,1))-AVERAGE(OFFSET($H$3,0,0,'Données projet'!$E$9+1,1))</f>
        <v>354.90450119887635</v>
      </c>
      <c r="T72" s="62">
        <f t="shared" si="88"/>
        <v>367.95449187183942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212.80896000000004</v>
      </c>
      <c r="AK72" s="14">
        <f t="shared" si="89"/>
        <v>52.54893863748589</v>
      </c>
      <c r="AL72" s="22">
        <f t="shared" si="58"/>
        <v>462.16500679362139</v>
      </c>
      <c r="AM72" s="62">
        <f t="shared" si="59"/>
        <v>728.09516714368795</v>
      </c>
      <c r="AN72" s="62">
        <f ca="1">AVERAGE(OFFSET($AM$3,0,0,'Données projet'!$E$10+1,1))-AVERAGE(OFFSET($H$3,0,0,'Données projet'!$E$10+1,1))</f>
        <v>406.87679146534634</v>
      </c>
      <c r="AO72" s="62">
        <f t="shared" si="90"/>
        <v>252.43382636914751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62.870522503922729</v>
      </c>
      <c r="BJ72" s="62">
        <f t="shared" si="92"/>
        <v>322.87462304389692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24.102666264243311</v>
      </c>
      <c r="BQ72" s="23">
        <f>EXP(-LN(2)/25)*BQ71+(1-EXP(-LN(2)/25))/(LN(2)/25)*Calculateur!BL72*Calculateur!BN72*VLOOKUP('Données projet'!$B$11,Paramètres!$A$1:$I$89,3,0)*0.475*44/12</f>
        <v>4.2687604794863905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28.3714267437297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199.99576079505897</v>
      </c>
      <c r="CE72" s="62">
        <f t="shared" si="94"/>
        <v>407.41464279973172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45.638763568741837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3.5873366849822712E-4</v>
      </c>
      <c r="CN72" s="24">
        <f t="shared" si="66"/>
        <v>45.639122302410335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-5.1431925385259088E-14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376.68007030857598</v>
      </c>
      <c r="CZ72" s="62">
        <f t="shared" si="96"/>
        <v>532.90758914457626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227</v>
      </c>
      <c r="L73" s="13">
        <f>VLOOKUP(A73,'Données projet'!$A$35:$I$55,9,0)</f>
        <v>4.5999999999999996</v>
      </c>
      <c r="M73" s="13">
        <f t="array" ref="M73">INDEX(L:L,MIN(IF(ISNUMBER(L73:L269),ROW(L73:L269),"")))</f>
        <v>4.5999999999999996</v>
      </c>
      <c r="N73" s="14">
        <f>IF('Données projet'!$A$36&gt;35,N72+M73-V72,IF(A73&lt;'Données projet'!$A$36,$K$205^A73,IF(A73='Données projet'!$A$36,'Données projet'!$B$36,N72+M73-V72)))</f>
        <v>226.99999999999994</v>
      </c>
      <c r="O73" s="14">
        <f>N73*VLOOKUP('Données projet'!$B$9,Paramètres!$A$1:$I$89,3,0)*VLOOKUP('Données projet'!$B$9,Paramètres!$A$1:$I$89,5,0)</f>
        <v>198.30719999999997</v>
      </c>
      <c r="P73" s="14">
        <f t="shared" si="87"/>
        <v>49.371957679623371</v>
      </c>
      <c r="Q73" s="22">
        <f t="shared" si="54"/>
        <v>431.37453295867726</v>
      </c>
      <c r="R73" s="62">
        <f t="shared" si="55"/>
        <v>697.78007709568669</v>
      </c>
      <c r="S73" s="62">
        <f ca="1">AVERAGE(OFFSET($R$3,0,0,'Données projet'!$E$9+1,1))-AVERAGE(OFFSET($H$3,0,0,'Données projet'!$E$9+1,1))</f>
        <v>354.90450119887635</v>
      </c>
      <c r="T73" s="62">
        <f t="shared" si="88"/>
        <v>367.95449187183942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17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218.96160000000006</v>
      </c>
      <c r="AK73" s="14">
        <f t="shared" si="89"/>
        <v>53.88913250370743</v>
      </c>
      <c r="AL73" s="22">
        <f t="shared" si="58"/>
        <v>475.21502577729046</v>
      </c>
      <c r="AM73" s="62">
        <f t="shared" si="59"/>
        <v>741.62056991429995</v>
      </c>
      <c r="AN73" s="62">
        <f ca="1">AVERAGE(OFFSET($AM$3,0,0,'Données projet'!$E$10+1,1))-AVERAGE(OFFSET($H$3,0,0,'Données projet'!$E$10+1,1))</f>
        <v>406.87679146534634</v>
      </c>
      <c r="AO73" s="62">
        <f t="shared" si="90"/>
        <v>252.43382636914751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62.870522503922729</v>
      </c>
      <c r="BJ73" s="62">
        <f t="shared" si="92"/>
        <v>322.87462304389692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23.630027679976301</v>
      </c>
      <c r="BQ73" s="23">
        <f>EXP(-LN(2)/25)*BQ72+(1-EXP(-LN(2)/25))/(LN(2)/25)*Calculateur!BL73*Calculateur!BN73*VLOOKUP('Données projet'!$B$11,Paramètres!$A$1:$I$89,3,0)*0.475*44/12</f>
        <v>4.1520309996904778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27.782058679666779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199.99576079505897</v>
      </c>
      <c r="CE73" s="62">
        <f t="shared" si="94"/>
        <v>407.41464279973172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44.743815252055924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2.5366300963502336E-4</v>
      </c>
      <c r="CN73" s="24">
        <f t="shared" si="66"/>
        <v>44.744068915065561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-5.1431925385259088E-14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376.68007030857598</v>
      </c>
      <c r="CZ73" s="62">
        <f t="shared" si="96"/>
        <v>532.90758914457626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</v>
      </c>
      <c r="N74" s="14">
        <f>IF('Données projet'!$A$36&gt;35,N73+M74-V73,IF(A74&lt;'Données projet'!$A$36,$K$205^A74,IF(A74='Données projet'!$A$36,'Données projet'!$B$36,N73+M74-V73)))</f>
        <v>213.99999999999994</v>
      </c>
      <c r="O74" s="14">
        <f>N74*VLOOKUP('Données projet'!$B$9,Paramètres!$A$1:$I$89,3,0)*VLOOKUP('Données projet'!$B$9,Paramètres!$A$1:$I$89,5,0)</f>
        <v>186.95039999999997</v>
      </c>
      <c r="P74" s="14">
        <f t="shared" si="87"/>
        <v>46.865095976617653</v>
      </c>
      <c r="Q74" s="22">
        <f t="shared" si="54"/>
        <v>407.22865549260905</v>
      </c>
      <c r="R74" s="62">
        <f t="shared" si="55"/>
        <v>674.10133657065694</v>
      </c>
      <c r="S74" s="62">
        <f ca="1">AVERAGE(OFFSET($R$3,0,0,'Données projet'!$E$9+1,1))-AVERAGE(OFFSET($H$3,0,0,'Données projet'!$E$9+1,1))</f>
        <v>354.90450119887635</v>
      </c>
      <c r="T74" s="62">
        <f t="shared" si="88"/>
        <v>367.95449187183942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205.75152000000008</v>
      </c>
      <c r="AK74" s="14">
        <f t="shared" si="89"/>
        <v>51.006084477955554</v>
      </c>
      <c r="AL74" s="22">
        <f t="shared" si="58"/>
        <v>447.18616113243934</v>
      </c>
      <c r="AM74" s="62">
        <f t="shared" si="59"/>
        <v>714.05884221048723</v>
      </c>
      <c r="AN74" s="62">
        <f ca="1">AVERAGE(OFFSET($AM$3,0,0,'Données projet'!$E$10+1,1))-AVERAGE(OFFSET($H$3,0,0,'Données projet'!$E$10+1,1))</f>
        <v>406.87679146534634</v>
      </c>
      <c r="AO74" s="62">
        <f t="shared" si="90"/>
        <v>252.43382636914751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62.870522503922729</v>
      </c>
      <c r="BJ74" s="62">
        <f t="shared" si="92"/>
        <v>322.87462304389692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23.166657250065697</v>
      </c>
      <c r="BQ74" s="23">
        <f>EXP(-LN(2)/25)*BQ73+(1-EXP(-LN(2)/25))/(LN(2)/25)*Calculateur!BL74*Calculateur!BN74*VLOOKUP('Données projet'!$B$11,Paramètres!$A$1:$I$89,3,0)*0.475*44/12</f>
        <v>4.0384934936581214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27.20515074372382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199.99576079505897</v>
      </c>
      <c r="CE74" s="62">
        <f t="shared" si="94"/>
        <v>407.41464279973172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43.866416325995644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1.7936683424911356E-4</v>
      </c>
      <c r="CN74" s="24">
        <f t="shared" si="66"/>
        <v>43.86659569282989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-5.1431925385259088E-14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376.68007030857598</v>
      </c>
      <c r="CZ74" s="62">
        <f t="shared" si="96"/>
        <v>532.90758914457626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</v>
      </c>
      <c r="N75" s="14">
        <f>IF('Données projet'!$A$36&gt;35,N74+M75-V74,IF(A75&lt;'Données projet'!$A$36,$K$205^A75,IF(A75='Données projet'!$A$36,'Données projet'!$B$36,N74+M75-V74)))</f>
        <v>217.99999999999994</v>
      </c>
      <c r="O75" s="14">
        <f>N75*VLOOKUP('Données projet'!$B$9,Paramètres!$A$1:$I$89,3,0)*VLOOKUP('Données projet'!$B$9,Paramètres!$A$1:$I$89,5,0)</f>
        <v>190.44479999999999</v>
      </c>
      <c r="P75" s="14">
        <f t="shared" si="87"/>
        <v>47.638278428909231</v>
      </c>
      <c r="Q75" s="22">
        <f t="shared" si="54"/>
        <v>414.66136159701688</v>
      </c>
      <c r="R75" s="62">
        <f t="shared" si="55"/>
        <v>681.99307583453799</v>
      </c>
      <c r="S75" s="62">
        <f ca="1">AVERAGE(OFFSET($R$3,0,0,'Données projet'!$E$9+1,1))-AVERAGE(OFFSET($H$3,0,0,'Données projet'!$E$9+1,1))</f>
        <v>354.90450119887635</v>
      </c>
      <c r="T75" s="62">
        <f t="shared" si="88"/>
        <v>367.95449187183942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211.54224000000008</v>
      </c>
      <c r="AK75" s="14">
        <f t="shared" si="89"/>
        <v>52.272460284041784</v>
      </c>
      <c r="AL75" s="22">
        <f t="shared" si="58"/>
        <v>459.47726966137287</v>
      </c>
      <c r="AM75" s="62">
        <f t="shared" si="59"/>
        <v>726.80898389889398</v>
      </c>
      <c r="AN75" s="62">
        <f ca="1">AVERAGE(OFFSET($AM$3,0,0,'Données projet'!$E$10+1,1))-AVERAGE(OFFSET($H$3,0,0,'Données projet'!$E$10+1,1))</f>
        <v>406.87679146534634</v>
      </c>
      <c r="AO75" s="62">
        <f t="shared" si="90"/>
        <v>252.43382636914751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62.870522503922729</v>
      </c>
      <c r="BJ75" s="62">
        <f t="shared" si="92"/>
        <v>322.87462304389692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22.712373231657583</v>
      </c>
      <c r="BQ75" s="23">
        <f>EXP(-LN(2)/25)*BQ74+(1-EXP(-LN(2)/25))/(LN(2)/25)*Calculateur!BL75*Calculateur!BN75*VLOOKUP('Données projet'!$B$11,Paramètres!$A$1:$I$89,3,0)*0.475*44/12</f>
        <v>3.9280606766988972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26.640433908356481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199.99576079505897</v>
      </c>
      <c r="CE75" s="62">
        <f t="shared" si="94"/>
        <v>407.41464279973172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43.006222657714908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1.2683150481751168E-4</v>
      </c>
      <c r="CN75" s="24">
        <f t="shared" si="66"/>
        <v>43.006349489219723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-5.1431925385259088E-14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376.68007030857598</v>
      </c>
      <c r="CZ75" s="62">
        <f t="shared" si="96"/>
        <v>532.90758914457626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</v>
      </c>
      <c r="N76" s="14">
        <f>IF('Données projet'!$A$36&gt;35,N75+M76-V75,IF(A76&lt;'Données projet'!$A$36,$K$205^A76,IF(A76='Données projet'!$A$36,'Données projet'!$B$36,N75+M76-V75)))</f>
        <v>221.99999999999994</v>
      </c>
      <c r="O76" s="14">
        <f>N76*VLOOKUP('Données projet'!$B$9,Paramètres!$A$1:$I$89,3,0)*VLOOKUP('Données projet'!$B$9,Paramètres!$A$1:$I$89,5,0)</f>
        <v>193.93919999999997</v>
      </c>
      <c r="P76" s="14">
        <f t="shared" si="87"/>
        <v>48.409811198069342</v>
      </c>
      <c r="Q76" s="22">
        <f t="shared" si="54"/>
        <v>422.091194503304</v>
      </c>
      <c r="R76" s="62">
        <f t="shared" si="55"/>
        <v>689.87397870122572</v>
      </c>
      <c r="S76" s="62">
        <f ca="1">AVERAGE(OFFSET($R$3,0,0,'Données projet'!$E$9+1,1))-AVERAGE(OFFSET($H$3,0,0,'Données projet'!$E$9+1,1))</f>
        <v>354.90450119887635</v>
      </c>
      <c r="T76" s="62">
        <f t="shared" si="88"/>
        <v>367.95449187183942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217.3329600000001</v>
      </c>
      <c r="AK76" s="14">
        <f t="shared" si="89"/>
        <v>53.53480691026855</v>
      </c>
      <c r="AL76" s="22">
        <f t="shared" si="58"/>
        <v>471.76136070205121</v>
      </c>
      <c r="AM76" s="62">
        <f t="shared" si="59"/>
        <v>739.54414489997293</v>
      </c>
      <c r="AN76" s="62">
        <f ca="1">AVERAGE(OFFSET($AM$3,0,0,'Données projet'!$E$10+1,1))-AVERAGE(OFFSET($H$3,0,0,'Données projet'!$E$10+1,1))</f>
        <v>406.87679146534634</v>
      </c>
      <c r="AO76" s="62">
        <f t="shared" si="90"/>
        <v>252.43382636914751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62.870522503922729</v>
      </c>
      <c r="BJ76" s="62">
        <f t="shared" si="92"/>
        <v>322.87462304389692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22.266997445764563</v>
      </c>
      <c r="BQ76" s="23">
        <f>EXP(-LN(2)/25)*BQ75+(1-EXP(-LN(2)/25))/(LN(2)/25)*Calculateur!BL76*Calculateur!BN76*VLOOKUP('Données projet'!$B$11,Paramètres!$A$1:$I$89,3,0)*0.475*44/12</f>
        <v>3.8206476509268326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26.087645096691396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199.99576079505897</v>
      </c>
      <c r="CE76" s="62">
        <f t="shared" si="94"/>
        <v>407.41464279973172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42.162896862602821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8.968341712455678E-5</v>
      </c>
      <c r="CN76" s="24">
        <f t="shared" si="66"/>
        <v>42.162986546019944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-5.1431925385259088E-14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376.68007030857598</v>
      </c>
      <c r="CZ76" s="62">
        <f t="shared" si="96"/>
        <v>532.90758914457626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</v>
      </c>
      <c r="N77" s="14">
        <f>IF('Données projet'!$A$36&gt;35,N76+M77-V76,IF(A77&lt;'Données projet'!$A$36,$K$205^A77,IF(A77='Données projet'!$A$36,'Données projet'!$B$36,N76+M77-V76)))</f>
        <v>225.99999999999994</v>
      </c>
      <c r="O77" s="14">
        <f>N77*VLOOKUP('Données projet'!$B$9,Paramètres!$A$1:$I$89,3,0)*VLOOKUP('Données projet'!$B$9,Paramètres!$A$1:$I$89,5,0)</f>
        <v>197.43359999999996</v>
      </c>
      <c r="P77" s="14">
        <f t="shared" si="87"/>
        <v>49.179727436837609</v>
      </c>
      <c r="Q77" s="22">
        <f t="shared" si="54"/>
        <v>429.51821195249204</v>
      </c>
      <c r="R77" s="62">
        <f t="shared" si="55"/>
        <v>697.7442410554429</v>
      </c>
      <c r="S77" s="62">
        <f ca="1">AVERAGE(OFFSET($R$3,0,0,'Données projet'!$E$9+1,1))-AVERAGE(OFFSET($H$3,0,0,'Données projet'!$E$9+1,1))</f>
        <v>354.90450119887635</v>
      </c>
      <c r="T77" s="62">
        <f t="shared" si="88"/>
        <v>367.95449187183942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223.12368000000009</v>
      </c>
      <c r="AK77" s="14">
        <f t="shared" si="89"/>
        <v>54.793244051140647</v>
      </c>
      <c r="AL77" s="22">
        <f t="shared" si="58"/>
        <v>484.03864272240349</v>
      </c>
      <c r="AM77" s="62">
        <f t="shared" si="59"/>
        <v>752.2646718253543</v>
      </c>
      <c r="AN77" s="62">
        <f ca="1">AVERAGE(OFFSET($AM$3,0,0,'Données projet'!$E$10+1,1))-AVERAGE(OFFSET($H$3,0,0,'Données projet'!$E$10+1,1))</f>
        <v>406.87679146534634</v>
      </c>
      <c r="AO77" s="62">
        <f t="shared" si="90"/>
        <v>252.43382636914751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62.870522503922729</v>
      </c>
      <c r="BJ77" s="62">
        <f t="shared" si="92"/>
        <v>322.87462304389692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21.830355207380496</v>
      </c>
      <c r="BQ77" s="23">
        <f>EXP(-LN(2)/25)*BQ76+(1-EXP(-LN(2)/25))/(LN(2)/25)*Calculateur!BL77*Calculateur!BN77*VLOOKUP('Données projet'!$B$11,Paramètres!$A$1:$I$89,3,0)*0.475*44/12</f>
        <v>3.7161718399931107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25.546527047373608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199.99576079505897</v>
      </c>
      <c r="CE77" s="62">
        <f t="shared" si="94"/>
        <v>407.41464279973172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41.33610817195494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6.3415752408755839E-5</v>
      </c>
      <c r="CN77" s="24">
        <f t="shared" si="66"/>
        <v>41.336171587707348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-5.1431925385259088E-14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376.68007030857598</v>
      </c>
      <c r="CZ77" s="62">
        <f t="shared" si="96"/>
        <v>532.90758914457626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230</v>
      </c>
      <c r="L78" s="13">
        <f>VLOOKUP(A78,'Données projet'!$A$35:$I$55,9,0)</f>
        <v>4</v>
      </c>
      <c r="M78" s="13">
        <f t="array" ref="M78">INDEX(L:L,MIN(IF(ISNUMBER(L78:L274),ROW(L78:L274),"")))</f>
        <v>4</v>
      </c>
      <c r="N78" s="14">
        <f>IF('Données projet'!$A$36&gt;35,N77+M78-V77,IF(A78&lt;'Données projet'!$A$36,$K$205^A78,IF(A78='Données projet'!$A$36,'Données projet'!$B$36,N77+M78-V77)))</f>
        <v>229.99999999999994</v>
      </c>
      <c r="O78" s="14">
        <f>N78*VLOOKUP('Données projet'!$B$9,Paramètres!$A$1:$I$89,3,0)*VLOOKUP('Données projet'!$B$9,Paramètres!$A$1:$I$89,5,0)</f>
        <v>200.92799999999997</v>
      </c>
      <c r="P78" s="14">
        <f t="shared" si="87"/>
        <v>49.948059057189042</v>
      </c>
      <c r="Q78" s="22">
        <f t="shared" si="54"/>
        <v>436.94246952460418</v>
      </c>
      <c r="R78" s="62">
        <f t="shared" si="55"/>
        <v>705.60405422442898</v>
      </c>
      <c r="S78" s="62">
        <f ca="1">AVERAGE(OFFSET($R$3,0,0,'Données projet'!$E$9+1,1))-AVERAGE(OFFSET($H$3,0,0,'Données projet'!$E$9+1,1))</f>
        <v>354.90450119887635</v>
      </c>
      <c r="T78" s="62">
        <f t="shared" si="88"/>
        <v>367.95449187183942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15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228.91440000000011</v>
      </c>
      <c r="AK78" s="14">
        <f t="shared" si="89"/>
        <v>56.047884834417474</v>
      </c>
      <c r="AL78" s="22">
        <f t="shared" si="58"/>
        <v>496.30931275327725</v>
      </c>
      <c r="AM78" s="62">
        <f t="shared" si="59"/>
        <v>764.970897453102</v>
      </c>
      <c r="AN78" s="62">
        <f ca="1">AVERAGE(OFFSET($AM$3,0,0,'Données projet'!$E$10+1,1))-AVERAGE(OFFSET($H$3,0,0,'Données projet'!$E$10+1,1))</f>
        <v>406.87679146534634</v>
      </c>
      <c r="AO78" s="62">
        <f t="shared" si="90"/>
        <v>252.43382636914751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62.870522503922729</v>
      </c>
      <c r="BJ78" s="62">
        <f t="shared" si="92"/>
        <v>322.87462304389692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21.402275256965673</v>
      </c>
      <c r="BQ78" s="23">
        <f>EXP(-LN(2)/25)*BQ77+(1-EXP(-LN(2)/25))/(LN(2)/25)*Calculateur!BL78*Calculateur!BN78*VLOOKUP('Données projet'!$B$11,Paramètres!$A$1:$I$89,3,0)*0.475*44/12</f>
        <v>3.6145529256035154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25.016828182569188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199.99576079505897</v>
      </c>
      <c r="CE78" s="62">
        <f t="shared" si="94"/>
        <v>407.41464279973172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40.525532303239359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4.484170856227839E-5</v>
      </c>
      <c r="CN78" s="24">
        <f t="shared" si="66"/>
        <v>40.525577144947924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-5.1431925385259088E-14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376.68007030857598</v>
      </c>
      <c r="CZ78" s="62">
        <f t="shared" si="96"/>
        <v>532.90758914457626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3.6</v>
      </c>
      <c r="N79" s="14">
        <f>IF('Données projet'!$A$36&gt;35,N78+M79-V78,IF(A79&lt;'Données projet'!$A$36,$K$205^A79,IF(A79='Données projet'!$A$36,'Données projet'!$B$36,N78+M79-V78)))</f>
        <v>218.59999999999994</v>
      </c>
      <c r="O79" s="14">
        <f>N79*VLOOKUP('Données projet'!$B$9,Paramètres!$A$1:$I$89,3,0)*VLOOKUP('Données projet'!$B$9,Paramètres!$A$1:$I$89,5,0)</f>
        <v>190.96895999999998</v>
      </c>
      <c r="P79" s="14">
        <f t="shared" si="87"/>
        <v>47.754112686935557</v>
      </c>
      <c r="Q79" s="22">
        <f t="shared" si="54"/>
        <v>415.77601826307938</v>
      </c>
      <c r="R79" s="62">
        <f t="shared" si="55"/>
        <v>684.86560264392881</v>
      </c>
      <c r="S79" s="62">
        <f ca="1">AVERAGE(OFFSET($R$3,0,0,'Données projet'!$E$9+1,1))-AVERAGE(OFFSET($H$3,0,0,'Données projet'!$E$9+1,1))</f>
        <v>354.90450119887635</v>
      </c>
      <c r="T79" s="62">
        <f t="shared" si="88"/>
        <v>367.95449187183942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215.34240000000008</v>
      </c>
      <c r="AK79" s="14">
        <f t="shared" si="89"/>
        <v>53.101322124397257</v>
      </c>
      <c r="AL79" s="22">
        <f t="shared" si="58"/>
        <v>467.53948269999205</v>
      </c>
      <c r="AM79" s="62">
        <f t="shared" si="59"/>
        <v>736.62906708084142</v>
      </c>
      <c r="AN79" s="62">
        <f ca="1">AVERAGE(OFFSET($AM$3,0,0,'Données projet'!$E$10+1,1))-AVERAGE(OFFSET($H$3,0,0,'Données projet'!$E$10+1,1))</f>
        <v>406.87679146534634</v>
      </c>
      <c r="AO79" s="62">
        <f t="shared" si="90"/>
        <v>252.43382636914751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62.870522503922729</v>
      </c>
      <c r="BJ79" s="62">
        <f t="shared" si="92"/>
        <v>322.87462304389692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20.982589693275497</v>
      </c>
      <c r="BQ79" s="23">
        <f>EXP(-LN(2)/25)*BQ78+(1-EXP(-LN(2)/25))/(LN(2)/25)*Calculateur!BL79*Calculateur!BN79*VLOOKUP('Données projet'!$B$11,Paramètres!$A$1:$I$89,3,0)*0.475*44/12</f>
        <v>3.51571278577181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24.498302479047307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199.99576079505897</v>
      </c>
      <c r="CE79" s="62">
        <f t="shared" si="94"/>
        <v>407.41464279973172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39.73085133290683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3.170787620437792E-5</v>
      </c>
      <c r="CN79" s="24">
        <f t="shared" si="66"/>
        <v>39.730883040783034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-5.1431925385259088E-14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376.68007030857598</v>
      </c>
      <c r="CZ79" s="62">
        <f t="shared" si="96"/>
        <v>532.90758914457626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3.6</v>
      </c>
      <c r="N80" s="14">
        <f>IF('Données projet'!$A$36&gt;35,N79+M80-V79,IF(A80&lt;'Données projet'!$A$36,$K$205^A80,IF(A80='Données projet'!$A$36,'Données projet'!$B$36,N79+M80-V79)))</f>
        <v>222.19999999999993</v>
      </c>
      <c r="O80" s="14">
        <f>N80*VLOOKUP('Données projet'!$B$9,Paramètres!$A$1:$I$89,3,0)*VLOOKUP('Données projet'!$B$9,Paramètres!$A$1:$I$89,5,0)</f>
        <v>194.11391999999998</v>
      </c>
      <c r="P80" s="14">
        <f t="shared" si="87"/>
        <v>48.44834513242396</v>
      </c>
      <c r="Q80" s="22">
        <f t="shared" si="54"/>
        <v>422.46261177230502</v>
      </c>
      <c r="R80" s="62">
        <f t="shared" si="55"/>
        <v>691.97277099657731</v>
      </c>
      <c r="S80" s="62">
        <f ca="1">AVERAGE(OFFSET($R$3,0,0,'Données projet'!$E$9+1,1))-AVERAGE(OFFSET($H$3,0,0,'Données projet'!$E$9+1,1))</f>
        <v>354.90450119887635</v>
      </c>
      <c r="T80" s="62">
        <f t="shared" si="88"/>
        <v>367.95449187183942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220.77120000000011</v>
      </c>
      <c r="AK80" s="14">
        <f t="shared" si="89"/>
        <v>54.28246807807983</v>
      </c>
      <c r="AL80" s="22">
        <f t="shared" si="58"/>
        <v>479.05180523598909</v>
      </c>
      <c r="AM80" s="62">
        <f t="shared" si="59"/>
        <v>748.56196446026138</v>
      </c>
      <c r="AN80" s="62">
        <f ca="1">AVERAGE(OFFSET($AM$3,0,0,'Données projet'!$E$10+1,1))-AVERAGE(OFFSET($H$3,0,0,'Données projet'!$E$10+1,1))</f>
        <v>406.87679146534634</v>
      </c>
      <c r="AO80" s="62">
        <f t="shared" si="90"/>
        <v>252.43382636914751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62.870522503922729</v>
      </c>
      <c r="BJ80" s="62">
        <f t="shared" si="92"/>
        <v>322.87462304389692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20.571133907506368</v>
      </c>
      <c r="BQ80" s="23">
        <f>EXP(-LN(2)/25)*BQ79+(1-EXP(-LN(2)/25))/(LN(2)/25)*Calculateur!BL80*Calculateur!BN80*VLOOKUP('Données projet'!$B$11,Paramètres!$A$1:$I$89,3,0)*0.475*44/12</f>
        <v>3.4195754347615797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23.990709342267948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199.99576079505897</v>
      </c>
      <c r="CE80" s="62">
        <f t="shared" si="94"/>
        <v>407.41464279973172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38.951753571694987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2.2420854281139195E-5</v>
      </c>
      <c r="CN80" s="24">
        <f t="shared" si="66"/>
        <v>38.951775992549265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-5.1431925385259088E-14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376.68007030857598</v>
      </c>
      <c r="CZ80" s="62">
        <f t="shared" si="96"/>
        <v>532.90758914457626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3.6</v>
      </c>
      <c r="N81" s="14">
        <f>IF('Données projet'!$A$36&gt;35,N80+M81-V80,IF(A81&lt;'Données projet'!$A$36,$K$205^A81,IF(A81='Données projet'!$A$36,'Données projet'!$B$36,N80+M81-V80)))</f>
        <v>225.79999999999993</v>
      </c>
      <c r="O81" s="14">
        <f>N81*VLOOKUP('Données projet'!$B$9,Paramètres!$A$1:$I$89,3,0)*VLOOKUP('Données projet'!$B$9,Paramètres!$A$1:$I$89,5,0)</f>
        <v>197.25887999999995</v>
      </c>
      <c r="P81" s="14">
        <f t="shared" si="87"/>
        <v>49.141269519991567</v>
      </c>
      <c r="Q81" s="22">
        <f t="shared" si="54"/>
        <v>429.14692708065189</v>
      </c>
      <c r="R81" s="62">
        <f t="shared" si="55"/>
        <v>699.07036511507818</v>
      </c>
      <c r="S81" s="62">
        <f ca="1">AVERAGE(OFFSET($R$3,0,0,'Données projet'!$E$9+1,1))-AVERAGE(OFFSET($H$3,0,0,'Données projet'!$E$9+1,1))</f>
        <v>354.90450119887635</v>
      </c>
      <c r="T81" s="62">
        <f t="shared" si="88"/>
        <v>367.95449187183942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226.2000000000001</v>
      </c>
      <c r="AK81" s="14">
        <f t="shared" si="89"/>
        <v>55.460237717698156</v>
      </c>
      <c r="AL81" s="22">
        <f t="shared" si="58"/>
        <v>490.55824735832448</v>
      </c>
      <c r="AM81" s="62">
        <f t="shared" si="59"/>
        <v>760.48168539275071</v>
      </c>
      <c r="AN81" s="62">
        <f ca="1">AVERAGE(OFFSET($AM$3,0,0,'Données projet'!$E$10+1,1))-AVERAGE(OFFSET($H$3,0,0,'Données projet'!$E$10+1,1))</f>
        <v>406.87679146534634</v>
      </c>
      <c r="AO81" s="62">
        <f t="shared" si="90"/>
        <v>252.43382636914751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62.870522503922729</v>
      </c>
      <c r="BJ81" s="62">
        <f t="shared" si="92"/>
        <v>322.87462304389692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20.167746518732923</v>
      </c>
      <c r="BQ81" s="23">
        <f>EXP(-LN(2)/25)*BQ80+(1-EXP(-LN(2)/25))/(LN(2)/25)*Calculateur!BL81*Calculateur!BN81*VLOOKUP('Données projet'!$B$11,Paramètres!$A$1:$I$89,3,0)*0.475*44/12</f>
        <v>3.3260669646703676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23.49381348340329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199.99576079505897</v>
      </c>
      <c r="CE81" s="62">
        <f t="shared" si="94"/>
        <v>407.41464279973172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38.187933442377798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1.585393810218896E-5</v>
      </c>
      <c r="CN81" s="24">
        <f t="shared" si="66"/>
        <v>38.1879492963159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-5.1431925385259088E-14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376.68007030857598</v>
      </c>
      <c r="CZ81" s="62">
        <f t="shared" si="96"/>
        <v>532.90758914457626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3.6</v>
      </c>
      <c r="N82" s="14">
        <f>IF('Données projet'!$A$36&gt;35,N81+M82-V81,IF(A82&lt;'Données projet'!$A$36,$K$205^A82,IF(A82='Données projet'!$A$36,'Données projet'!$B$36,N81+M82-V81)))</f>
        <v>229.39999999999992</v>
      </c>
      <c r="O82" s="14">
        <f>N82*VLOOKUP('Données projet'!$B$9,Paramètres!$A$1:$I$89,3,0)*VLOOKUP('Données projet'!$B$9,Paramètres!$A$1:$I$89,5,0)</f>
        <v>200.40383999999997</v>
      </c>
      <c r="P82" s="14">
        <f t="shared" si="87"/>
        <v>49.832909112305636</v>
      </c>
      <c r="Q82" s="22">
        <f t="shared" si="54"/>
        <v>435.82900470393224</v>
      </c>
      <c r="R82" s="62">
        <f t="shared" si="55"/>
        <v>706.15855208510925</v>
      </c>
      <c r="S82" s="62">
        <f ca="1">AVERAGE(OFFSET($R$3,0,0,'Données projet'!$E$9+1,1))-AVERAGE(OFFSET($H$3,0,0,'Données projet'!$E$9+1,1))</f>
        <v>354.90450119887635</v>
      </c>
      <c r="T82" s="62">
        <f t="shared" si="88"/>
        <v>367.95449187183942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231.62880000000007</v>
      </c>
      <c r="AK82" s="14">
        <f t="shared" si="89"/>
        <v>56.63472139815827</v>
      </c>
      <c r="AL82" s="22">
        <f t="shared" si="58"/>
        <v>502.05896643512574</v>
      </c>
      <c r="AM82" s="62">
        <f t="shared" si="59"/>
        <v>772.38851381630275</v>
      </c>
      <c r="AN82" s="62">
        <f ca="1">AVERAGE(OFFSET($AM$3,0,0,'Données projet'!$E$10+1,1))-AVERAGE(OFFSET($H$3,0,0,'Données projet'!$E$10+1,1))</f>
        <v>406.87679146534634</v>
      </c>
      <c r="AO82" s="62">
        <f t="shared" si="90"/>
        <v>252.43382636914751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62.870522503922729</v>
      </c>
      <c r="BJ82" s="62">
        <f t="shared" si="92"/>
        <v>322.87462304389692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19.772269310611314</v>
      </c>
      <c r="BQ82" s="23">
        <f>EXP(-LN(2)/25)*BQ81+(1-EXP(-LN(2)/25))/(LN(2)/25)*Calculateur!BL82*Calculateur!BN82*VLOOKUP('Données projet'!$B$11,Paramètres!$A$1:$I$89,3,0)*0.475*44/12</f>
        <v>3.2351154886111964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23.00738479922251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199.99576079505897</v>
      </c>
      <c r="CE82" s="62">
        <f t="shared" si="94"/>
        <v>407.41464279973172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37.43909135991224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1.1210427140569598E-5</v>
      </c>
      <c r="CN82" s="24">
        <f t="shared" si="66"/>
        <v>37.439102570339379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-5.1431925385259088E-14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376.68007030857598</v>
      </c>
      <c r="CZ82" s="62">
        <f t="shared" si="96"/>
        <v>532.90758914457626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233</v>
      </c>
      <c r="L83" s="13">
        <f>VLOOKUP(A83,'Données projet'!$A$35:$I$55,9,0)</f>
        <v>3.6</v>
      </c>
      <c r="M83" s="13">
        <f t="array" ref="M83">INDEX(L:L,MIN(IF(ISNUMBER(L83:L279),ROW(L83:L279),"")))</f>
        <v>3.6</v>
      </c>
      <c r="N83" s="14">
        <f>IF('Données projet'!$A$36&gt;35,N82+M83-V82,IF(A83&lt;'Données projet'!$A$36,$K$205^A83,IF(A83='Données projet'!$A$36,'Données projet'!$B$36,N82+M83-V82)))</f>
        <v>232.99999999999991</v>
      </c>
      <c r="O83" s="14">
        <f>N83*VLOOKUP('Données projet'!$B$9,Paramètres!$A$1:$I$89,3,0)*VLOOKUP('Données projet'!$B$9,Paramètres!$A$1:$I$89,5,0)</f>
        <v>203.54879999999994</v>
      </c>
      <c r="P83" s="14">
        <f t="shared" si="87"/>
        <v>50.523286400023487</v>
      </c>
      <c r="Q83" s="22">
        <f t="shared" si="54"/>
        <v>442.5088838133741</v>
      </c>
      <c r="R83" s="62">
        <f t="shared" si="55"/>
        <v>713.23749545206022</v>
      </c>
      <c r="S83" s="62">
        <f ca="1">AVERAGE(OFFSET($R$3,0,0,'Données projet'!$E$9+1,1))-AVERAGE(OFFSET($H$3,0,0,'Données projet'!$E$9+1,1))</f>
        <v>354.90450119887635</v>
      </c>
      <c r="T83" s="62">
        <f t="shared" si="88"/>
        <v>367.95449187183942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13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237.05760000000012</v>
      </c>
      <c r="AK83" s="14">
        <f t="shared" si="89"/>
        <v>57.806004997354698</v>
      </c>
      <c r="AL83" s="22">
        <f t="shared" si="58"/>
        <v>513.55411203705955</v>
      </c>
      <c r="AM83" s="62">
        <f t="shared" si="59"/>
        <v>784.28272367574573</v>
      </c>
      <c r="AN83" s="62">
        <f ca="1">AVERAGE(OFFSET($AM$3,0,0,'Données projet'!$E$10+1,1))-AVERAGE(OFFSET($H$3,0,0,'Données projet'!$E$10+1,1))</f>
        <v>406.87679146534634</v>
      </c>
      <c r="AO83" s="62">
        <f t="shared" si="90"/>
        <v>252.43382636914751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62.870522503922729</v>
      </c>
      <c r="BJ83" s="62">
        <f t="shared" si="92"/>
        <v>322.87462304389692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19.384547169323689</v>
      </c>
      <c r="BQ83" s="23">
        <f>EXP(-LN(2)/25)*BQ82+(1-EXP(-LN(2)/25))/(LN(2)/25)*Calculateur!BL83*Calculateur!BN83*VLOOKUP('Données projet'!$B$11,Paramètres!$A$1:$I$89,3,0)*0.475*44/12</f>
        <v>3.1466510854477936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22.531198254771482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199.99576079505897</v>
      </c>
      <c r="CE83" s="62">
        <f t="shared" si="94"/>
        <v>407.41464279973172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36.70493361393526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7.9269690510944799E-6</v>
      </c>
      <c r="CN83" s="24">
        <f t="shared" si="66"/>
        <v>36.704941540904315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-5.1431925385259088E-14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376.68007030857598</v>
      </c>
      <c r="CZ83" s="62">
        <f t="shared" si="96"/>
        <v>532.90758914457626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</v>
      </c>
      <c r="N84" s="14">
        <f>IF('Données projet'!$A$36&gt;35,N83+M84-V83,IF(A84&lt;'Données projet'!$A$36,$K$205^A84,IF(A84='Données projet'!$A$36,'Données projet'!$B$36,N83+M84-V83)))</f>
        <v>222.99999999999991</v>
      </c>
      <c r="O84" s="14">
        <f>N84*VLOOKUP('Données projet'!$B$9,Paramètres!$A$1:$I$89,3,0)*VLOOKUP('Données projet'!$B$9,Paramètres!$A$1:$I$89,5,0)</f>
        <v>194.81279999999995</v>
      </c>
      <c r="P84" s="14">
        <f t="shared" si="87"/>
        <v>48.602440540253859</v>
      </c>
      <c r="Q84" s="22">
        <f t="shared" si="54"/>
        <v>423.9482106076087</v>
      </c>
      <c r="R84" s="62">
        <f t="shared" si="55"/>
        <v>695.06896363111014</v>
      </c>
      <c r="S84" s="62">
        <f ca="1">AVERAGE(OFFSET($R$3,0,0,'Données projet'!$E$9+1,1))-AVERAGE(OFFSET($H$3,0,0,'Données projet'!$E$9+1,1))</f>
        <v>354.90450119887635</v>
      </c>
      <c r="T84" s="62">
        <f t="shared" si="88"/>
        <v>367.95449187183942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223.12368000000012</v>
      </c>
      <c r="AK84" s="14">
        <f t="shared" si="89"/>
        <v>54.793244051140647</v>
      </c>
      <c r="AL84" s="22">
        <f t="shared" si="58"/>
        <v>484.03864272240349</v>
      </c>
      <c r="AM84" s="62">
        <f t="shared" si="59"/>
        <v>755.15939574590493</v>
      </c>
      <c r="AN84" s="62">
        <f ca="1">AVERAGE(OFFSET($AM$3,0,0,'Données projet'!$E$10+1,1))-AVERAGE(OFFSET($H$3,0,0,'Données projet'!$E$10+1,1))</f>
        <v>406.87679146534634</v>
      </c>
      <c r="AO84" s="62">
        <f t="shared" si="90"/>
        <v>252.43382636914751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62.870522503922729</v>
      </c>
      <c r="BJ84" s="62">
        <f t="shared" si="92"/>
        <v>322.87462304389692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19.00442802273956</v>
      </c>
      <c r="BQ84" s="23">
        <f>EXP(-LN(2)/25)*BQ83+(1-EXP(-LN(2)/25))/(LN(2)/25)*Calculateur!BL84*Calculateur!BN84*VLOOKUP('Données projet'!$B$11,Paramètres!$A$1:$I$89,3,0)*0.475*44/12</f>
        <v>3.060605746041035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22.065033768780594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199.99576079505897</v>
      </c>
      <c r="CE84" s="62">
        <f t="shared" si="94"/>
        <v>407.41464279973172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35.985172253564883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5.6052135702847988E-6</v>
      </c>
      <c r="CN84" s="24">
        <f t="shared" si="66"/>
        <v>35.985177858778457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-5.1431925385259088E-14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376.68007030857598</v>
      </c>
      <c r="CZ84" s="62">
        <f t="shared" si="96"/>
        <v>532.90758914457626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</v>
      </c>
      <c r="N85" s="14">
        <f>IF('Données projet'!$A$36&gt;35,N84+M85-V84,IF(A85&lt;'Données projet'!$A$36,$K$205^A85,IF(A85='Données projet'!$A$36,'Données projet'!$B$36,N84+M85-V84)))</f>
        <v>225.99999999999991</v>
      </c>
      <c r="O85" s="14">
        <f>N85*VLOOKUP('Données projet'!$B$9,Paramètres!$A$1:$I$89,3,0)*VLOOKUP('Données projet'!$B$9,Paramètres!$A$1:$I$89,5,0)</f>
        <v>197.43359999999996</v>
      </c>
      <c r="P85" s="14">
        <f t="shared" si="87"/>
        <v>49.179727436837609</v>
      </c>
      <c r="Q85" s="22">
        <f t="shared" si="54"/>
        <v>429.51821195249204</v>
      </c>
      <c r="R85" s="62">
        <f t="shared" si="55"/>
        <v>701.02430358447907</v>
      </c>
      <c r="S85" s="62">
        <f ca="1">AVERAGE(OFFSET($R$3,0,0,'Données projet'!$E$9+1,1))-AVERAGE(OFFSET($H$3,0,0,'Données projet'!$E$9+1,1))</f>
        <v>354.90450119887635</v>
      </c>
      <c r="T85" s="62">
        <f t="shared" si="88"/>
        <v>367.95449187183942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228.19056000000012</v>
      </c>
      <c r="AK85" s="14">
        <f t="shared" si="89"/>
        <v>55.891258634424609</v>
      </c>
      <c r="AL85" s="22">
        <f t="shared" si="58"/>
        <v>494.77583412162312</v>
      </c>
      <c r="AM85" s="62">
        <f t="shared" si="59"/>
        <v>766.28192575361015</v>
      </c>
      <c r="AN85" s="62">
        <f ca="1">AVERAGE(OFFSET($AM$3,0,0,'Données projet'!$E$10+1,1))-AVERAGE(OFFSET($H$3,0,0,'Données projet'!$E$10+1,1))</f>
        <v>406.87679146534634</v>
      </c>
      <c r="AO85" s="62">
        <f t="shared" si="90"/>
        <v>252.43382636914751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62.870522503922729</v>
      </c>
      <c r="BJ85" s="62">
        <f t="shared" si="92"/>
        <v>322.87462304389692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18.63176278077016</v>
      </c>
      <c r="BQ85" s="23">
        <f>EXP(-LN(2)/25)*BQ84+(1-EXP(-LN(2)/25))/(LN(2)/25)*Calculateur!BL85*Calculateur!BN85*VLOOKUP('Données projet'!$B$11,Paramètres!$A$1:$I$89,3,0)*0.475*44/12</f>
        <v>2.9769133209652816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21.608676101735441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199.99576079505897</v>
      </c>
      <c r="CE85" s="62">
        <f t="shared" si="94"/>
        <v>407.41464279973172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35.279524974460287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3.96348452554724E-6</v>
      </c>
      <c r="CN85" s="24">
        <f t="shared" si="66"/>
        <v>35.279528937944811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-5.1431925385259088E-14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376.68007030857598</v>
      </c>
      <c r="CZ85" s="62">
        <f t="shared" si="96"/>
        <v>532.90758914457626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</v>
      </c>
      <c r="N86" s="14">
        <f>IF('Données projet'!$A$36&gt;35,N85+M86-V85,IF(A86&lt;'Données projet'!$A$36,$K$205^A86,IF(A86='Données projet'!$A$36,'Données projet'!$B$36,N85+M86-V85)))</f>
        <v>228.99999999999991</v>
      </c>
      <c r="O86" s="14">
        <f>N86*VLOOKUP('Données projet'!$B$9,Paramètres!$A$1:$I$89,3,0)*VLOOKUP('Données projet'!$B$9,Paramètres!$A$1:$I$89,5,0)</f>
        <v>200.05439999999993</v>
      </c>
      <c r="P86" s="14">
        <f t="shared" si="87"/>
        <v>49.756123009618186</v>
      </c>
      <c r="Q86" s="22">
        <f t="shared" si="54"/>
        <v>435.0866609084182</v>
      </c>
      <c r="R86" s="62">
        <f t="shared" si="55"/>
        <v>706.97140638552173</v>
      </c>
      <c r="S86" s="62">
        <f ca="1">AVERAGE(OFFSET($R$3,0,0,'Données projet'!$E$9+1,1))-AVERAGE(OFFSET($H$3,0,0,'Données projet'!$E$9+1,1))</f>
        <v>354.90450119887635</v>
      </c>
      <c r="T86" s="62">
        <f t="shared" si="88"/>
        <v>367.95449187183942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233.25744000000009</v>
      </c>
      <c r="AK86" s="14">
        <f t="shared" si="89"/>
        <v>56.9864386904733</v>
      </c>
      <c r="AL86" s="22">
        <f t="shared" si="58"/>
        <v>505.50808871924113</v>
      </c>
      <c r="AM86" s="62">
        <f t="shared" si="59"/>
        <v>777.39283419634467</v>
      </c>
      <c r="AN86" s="62">
        <f ca="1">AVERAGE(OFFSET($AM$3,0,0,'Données projet'!$E$10+1,1))-AVERAGE(OFFSET($H$3,0,0,'Données projet'!$E$10+1,1))</f>
        <v>406.87679146534634</v>
      </c>
      <c r="AO86" s="62">
        <f t="shared" si="90"/>
        <v>252.43382636914751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62.870522503922729</v>
      </c>
      <c r="BJ86" s="62">
        <f t="shared" si="92"/>
        <v>322.87462304389692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18.266405276892428</v>
      </c>
      <c r="BQ86" s="23">
        <f>EXP(-LN(2)/25)*BQ85+(1-EXP(-LN(2)/25))/(LN(2)/25)*Calculateur!BL86*Calculateur!BN86*VLOOKUP('Données projet'!$B$11,Paramètres!$A$1:$I$89,3,0)*0.475*44/12</f>
        <v>2.8955094696544181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21.161914746546845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199.99576079505897</v>
      </c>
      <c r="CE86" s="62">
        <f t="shared" si="94"/>
        <v>407.41464279973172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34.587715008096588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2.8026067851423994E-6</v>
      </c>
      <c r="CN86" s="24">
        <f t="shared" si="66"/>
        <v>34.587717810703374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-5.1431925385259088E-14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376.68007030857598</v>
      </c>
      <c r="CZ86" s="62">
        <f t="shared" si="96"/>
        <v>532.90758914457626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</v>
      </c>
      <c r="N87" s="14">
        <f>IF('Données projet'!$A$36&gt;35,N86+M87-V86,IF(A87&lt;'Données projet'!$A$36,$K$205^A87,IF(A87='Données projet'!$A$36,'Données projet'!$B$36,N86+M87-V86)))</f>
        <v>231.99999999999991</v>
      </c>
      <c r="O87" s="14">
        <f>N87*VLOOKUP('Données projet'!$B$9,Paramètres!$A$1:$I$89,3,0)*VLOOKUP('Données projet'!$B$9,Paramètres!$A$1:$I$89,5,0)</f>
        <v>202.67519999999993</v>
      </c>
      <c r="P87" s="14">
        <f t="shared" si="87"/>
        <v>50.33164028531364</v>
      </c>
      <c r="Q87" s="22">
        <f t="shared" si="54"/>
        <v>440.65358016358778</v>
      </c>
      <c r="R87" s="62">
        <f t="shared" si="55"/>
        <v>712.91041068813809</v>
      </c>
      <c r="S87" s="62">
        <f ca="1">AVERAGE(OFFSET($R$3,0,0,'Données projet'!$E$9+1,1))-AVERAGE(OFFSET($H$3,0,0,'Données projet'!$E$9+1,1))</f>
        <v>354.90450119887635</v>
      </c>
      <c r="T87" s="62">
        <f t="shared" si="88"/>
        <v>367.95449187183942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238.32432000000011</v>
      </c>
      <c r="AK87" s="14">
        <f t="shared" si="89"/>
        <v>58.078852882738808</v>
      </c>
      <c r="AL87" s="22">
        <f t="shared" si="58"/>
        <v>516.23552610410366</v>
      </c>
      <c r="AM87" s="62">
        <f t="shared" si="59"/>
        <v>788.49235662865397</v>
      </c>
      <c r="AN87" s="62">
        <f ca="1">AVERAGE(OFFSET($AM$3,0,0,'Données projet'!$E$10+1,1))-AVERAGE(OFFSET($H$3,0,0,'Données projet'!$E$10+1,1))</f>
        <v>406.87679146534634</v>
      </c>
      <c r="AO87" s="62">
        <f t="shared" si="90"/>
        <v>252.43382636914751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62.870522503922729</v>
      </c>
      <c r="BJ87" s="62">
        <f t="shared" si="92"/>
        <v>322.87462304389692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17.908212210819663</v>
      </c>
      <c r="BQ87" s="23">
        <f>EXP(-LN(2)/25)*BQ86+(1-EXP(-LN(2)/25))/(LN(2)/25)*Calculateur!BL87*Calculateur!BN87*VLOOKUP('Données projet'!$B$11,Paramètres!$A$1:$I$89,3,0)*0.475*44/12</f>
        <v>2.816331610938493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20.724543821758157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199.99576079505897</v>
      </c>
      <c r="CE87" s="62">
        <f t="shared" si="94"/>
        <v>407.41464279973172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33.909471013210869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1.98174226277362E-6</v>
      </c>
      <c r="CN87" s="24">
        <f t="shared" si="66"/>
        <v>33.909472994953134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-5.1431925385259088E-14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376.68007030857598</v>
      </c>
      <c r="CZ87" s="62">
        <f t="shared" si="96"/>
        <v>532.90758914457626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235</v>
      </c>
      <c r="L88" s="13">
        <f>VLOOKUP(A88,'Données projet'!$A$35:$I$55,9,0)</f>
        <v>3</v>
      </c>
      <c r="M88" s="13">
        <f t="array" ref="M88">INDEX(L:L,MIN(IF(ISNUMBER(L88:L284),ROW(L88:L284),"")))</f>
        <v>3</v>
      </c>
      <c r="N88" s="14">
        <f>IF('Données projet'!$A$36&gt;35,N87+M88-V87,IF(A88&lt;'Données projet'!$A$36,$K$205^A88,IF(A88='Données projet'!$A$36,'Données projet'!$B$36,N87+M88-V87)))</f>
        <v>234.99999999999991</v>
      </c>
      <c r="O88" s="14">
        <f>N88*VLOOKUP('Données projet'!$B$9,Paramètres!$A$1:$I$89,3,0)*VLOOKUP('Données projet'!$B$9,Paramètres!$A$1:$I$89,5,0)</f>
        <v>205.29599999999996</v>
      </c>
      <c r="P88" s="14">
        <f t="shared" si="87"/>
        <v>50.906291934375353</v>
      </c>
      <c r="Q88" s="22">
        <f t="shared" si="54"/>
        <v>446.21899178570357</v>
      </c>
      <c r="R88" s="62">
        <f t="shared" si="55"/>
        <v>718.84145251398513</v>
      </c>
      <c r="S88" s="62">
        <f ca="1">AVERAGE(OFFSET($R$3,0,0,'Données projet'!$E$9+1,1))-AVERAGE(OFFSET($H$3,0,0,'Données projet'!$E$9+1,1))</f>
        <v>354.90450119887635</v>
      </c>
      <c r="T88" s="62">
        <f t="shared" si="88"/>
        <v>367.95449187183942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12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243.39120000000017</v>
      </c>
      <c r="AK88" s="14">
        <f t="shared" si="89"/>
        <v>59.168566788241577</v>
      </c>
      <c r="AL88" s="22">
        <f t="shared" si="58"/>
        <v>526.95826048952097</v>
      </c>
      <c r="AM88" s="62">
        <f t="shared" si="59"/>
        <v>799.58072121780242</v>
      </c>
      <c r="AN88" s="62">
        <f ca="1">AVERAGE(OFFSET($AM$3,0,0,'Données projet'!$E$10+1,1))-AVERAGE(OFFSET($H$3,0,0,'Données projet'!$E$10+1,1))</f>
        <v>406.87679146534634</v>
      </c>
      <c r="AO88" s="62">
        <f t="shared" si="90"/>
        <v>252.43382636914751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62.870522503922729</v>
      </c>
      <c r="BJ88" s="62">
        <f t="shared" si="92"/>
        <v>322.87462304389692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17.557043092296389</v>
      </c>
      <c r="BQ88" s="23">
        <f>EXP(-LN(2)/25)*BQ87+(1-EXP(-LN(2)/25))/(LN(2)/25)*Calculateur!BL88*Calculateur!BN88*VLOOKUP('Données projet'!$B$11,Paramètres!$A$1:$I$89,3,0)*0.475*44/12</f>
        <v>2.7393188749329371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20.296361967229327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199.99576079505897</v>
      </c>
      <c r="CE88" s="62">
        <f t="shared" si="94"/>
        <v>407.41464279973172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33.244526969376871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1.4013033925711997E-6</v>
      </c>
      <c r="CN88" s="24">
        <f t="shared" si="66"/>
        <v>33.244528370680264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-5.1431925385259088E-14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376.68007030857598</v>
      </c>
      <c r="CZ88" s="62">
        <f t="shared" si="96"/>
        <v>532.90758914457626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2.6</v>
      </c>
      <c r="N89" s="14">
        <f>IF('Données projet'!$A$36&gt;35,N88+M89-V88,IF(A89&lt;'Données projet'!$A$36,$K$205^A89,IF(A89='Données projet'!$A$36,'Données projet'!$B$36,N88+M89-V88)))</f>
        <v>225.59999999999991</v>
      </c>
      <c r="O89" s="14">
        <f>N89*VLOOKUP('Données projet'!$B$9,Paramètres!$A$1:$I$89,3,0)*VLOOKUP('Données projet'!$B$9,Paramètres!$A$1:$I$89,5,0)</f>
        <v>197.08415999999994</v>
      </c>
      <c r="P89" s="14">
        <f t="shared" si="87"/>
        <v>49.102807637925878</v>
      </c>
      <c r="Q89" s="22">
        <f t="shared" si="54"/>
        <v>428.77563530272073</v>
      </c>
      <c r="R89" s="62">
        <f t="shared" si="55"/>
        <v>701.75738336812537</v>
      </c>
      <c r="S89" s="62">
        <f ca="1">AVERAGE(OFFSET($R$3,0,0,'Données projet'!$E$9+1,1))-AVERAGE(OFFSET($H$3,0,0,'Données projet'!$E$9+1,1))</f>
        <v>354.90450119887635</v>
      </c>
      <c r="T89" s="62">
        <f t="shared" si="88"/>
        <v>367.95449187183942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229.27632000000011</v>
      </c>
      <c r="AK89" s="14">
        <f t="shared" si="89"/>
        <v>56.126176307517476</v>
      </c>
      <c r="AL89" s="22">
        <f t="shared" si="58"/>
        <v>497.07601440225977</v>
      </c>
      <c r="AM89" s="62">
        <f t="shared" si="59"/>
        <v>770.05776246766447</v>
      </c>
      <c r="AN89" s="62">
        <f ca="1">AVERAGE(OFFSET($AM$3,0,0,'Données projet'!$E$10+1,1))-AVERAGE(OFFSET($H$3,0,0,'Données projet'!$E$10+1,1))</f>
        <v>406.87679146534634</v>
      </c>
      <c r="AO89" s="62">
        <f t="shared" si="90"/>
        <v>252.43382636914751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62.870522503922729</v>
      </c>
      <c r="BJ89" s="62">
        <f t="shared" si="92"/>
        <v>322.87462304389692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17.212760185995343</v>
      </c>
      <c r="BQ89" s="23">
        <f>EXP(-LN(2)/25)*BQ88+(1-EXP(-LN(2)/25))/(LN(2)/25)*Calculateur!BL89*Calculateur!BN89*VLOOKUP('Données projet'!$B$11,Paramètres!$A$1:$I$89,3,0)*0.475*44/12</f>
        <v>2.6644120562433771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19.877172242238721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199.99576079505897</v>
      </c>
      <c r="CE89" s="62">
        <f t="shared" si="94"/>
        <v>407.41464279973172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32.592622072666636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9.9087113138680999E-7</v>
      </c>
      <c r="CN89" s="24">
        <f t="shared" si="66"/>
        <v>32.592623063537765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-5.1431925385259088E-14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376.68007030857598</v>
      </c>
      <c r="CZ89" s="62">
        <f t="shared" si="96"/>
        <v>532.90758914457626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2.6</v>
      </c>
      <c r="N90" s="14">
        <f>IF('Données projet'!$A$36&gt;35,N89+M90-V89,IF(A90&lt;'Données projet'!$A$36,$K$205^A90,IF(A90='Données projet'!$A$36,'Données projet'!$B$36,N89+M90-V89)))</f>
        <v>228.1999999999999</v>
      </c>
      <c r="O90" s="14">
        <f>N90*VLOOKUP('Données projet'!$B$9,Paramètres!$A$1:$I$89,3,0)*VLOOKUP('Données projet'!$B$9,Paramètres!$A$1:$I$89,5,0)</f>
        <v>199.35551999999996</v>
      </c>
      <c r="P90" s="14">
        <f t="shared" si="87"/>
        <v>49.602503932783179</v>
      </c>
      <c r="Q90" s="22">
        <f t="shared" si="54"/>
        <v>433.60189168293056</v>
      </c>
      <c r="R90" s="62">
        <f t="shared" si="55"/>
        <v>706.93669425340545</v>
      </c>
      <c r="S90" s="62">
        <f ca="1">AVERAGE(OFFSET($R$3,0,0,'Données projet'!$E$9+1,1))-AVERAGE(OFFSET($H$3,0,0,'Données projet'!$E$9+1,1))</f>
        <v>354.90450119887635</v>
      </c>
      <c r="T90" s="62">
        <f t="shared" si="88"/>
        <v>367.95449187183942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234.16224000000011</v>
      </c>
      <c r="AK90" s="14">
        <f t="shared" si="89"/>
        <v>57.181713578143096</v>
      </c>
      <c r="AL90" s="22">
        <f t="shared" si="58"/>
        <v>507.42405248193273</v>
      </c>
      <c r="AM90" s="62">
        <f t="shared" si="59"/>
        <v>780.75885505240763</v>
      </c>
      <c r="AN90" s="62">
        <f ca="1">AVERAGE(OFFSET($AM$3,0,0,'Données projet'!$E$10+1,1))-AVERAGE(OFFSET($H$3,0,0,'Données projet'!$E$10+1,1))</f>
        <v>406.87679146534634</v>
      </c>
      <c r="AO90" s="62">
        <f t="shared" si="90"/>
        <v>252.43382636914751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62.870522503922729</v>
      </c>
      <c r="BJ90" s="62">
        <f t="shared" si="92"/>
        <v>322.87462304389692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16.875228457495023</v>
      </c>
      <c r="BQ90" s="23">
        <f>EXP(-LN(2)/25)*BQ89+(1-EXP(-LN(2)/25))/(LN(2)/25)*Calculateur!BL90*Calculateur!BN90*VLOOKUP('Données projet'!$B$11,Paramètres!$A$1:$I$89,3,0)*0.475*44/12</f>
        <v>2.5915535684500615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19.466782025945086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199.99576079505897</v>
      </c>
      <c r="CE90" s="62">
        <f t="shared" si="94"/>
        <v>407.41464279973172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31.953500633358168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7.0065169628559984E-7</v>
      </c>
      <c r="CN90" s="24">
        <f t="shared" si="66"/>
        <v>31.953501334009864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-5.1431925385259088E-14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376.68007030857598</v>
      </c>
      <c r="CZ90" s="62">
        <f t="shared" si="96"/>
        <v>532.90758914457626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2.6</v>
      </c>
      <c r="N91" s="14">
        <f>IF('Données projet'!$A$36&gt;35,N90+M91-V90,IF(A91&lt;'Données projet'!$A$36,$K$205^A91,IF(A91='Données projet'!$A$36,'Données projet'!$B$36,N90+M91-V90)))</f>
        <v>230.7999999999999</v>
      </c>
      <c r="O91" s="14">
        <f>N91*VLOOKUP('Données projet'!$B$9,Paramètres!$A$1:$I$89,3,0)*VLOOKUP('Données projet'!$B$9,Paramètres!$A$1:$I$89,5,0)</f>
        <v>201.62687999999994</v>
      </c>
      <c r="P91" s="14">
        <f t="shared" si="87"/>
        <v>50.101537951964936</v>
      </c>
      <c r="Q91" s="22">
        <f t="shared" si="54"/>
        <v>438.42699459967213</v>
      </c>
      <c r="R91" s="62">
        <f t="shared" si="55"/>
        <v>712.10872696886577</v>
      </c>
      <c r="S91" s="62">
        <f ca="1">AVERAGE(OFFSET($R$3,0,0,'Données projet'!$E$9+1,1))-AVERAGE(OFFSET($H$3,0,0,'Données projet'!$E$9+1,1))</f>
        <v>354.90450119887635</v>
      </c>
      <c r="T91" s="62">
        <f t="shared" si="88"/>
        <v>367.95449187183942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239.04816000000008</v>
      </c>
      <c r="AK91" s="14">
        <f t="shared" si="89"/>
        <v>58.234690128947342</v>
      </c>
      <c r="AL91" s="22">
        <f t="shared" si="58"/>
        <v>517.76763064125009</v>
      </c>
      <c r="AM91" s="62">
        <f t="shared" si="59"/>
        <v>791.44936301044379</v>
      </c>
      <c r="AN91" s="62">
        <f ca="1">AVERAGE(OFFSET($AM$3,0,0,'Données projet'!$E$10+1,1))-AVERAGE(OFFSET($H$3,0,0,'Données projet'!$E$10+1,1))</f>
        <v>406.87679146534634</v>
      </c>
      <c r="AO91" s="62">
        <f t="shared" si="90"/>
        <v>252.43382636914751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62.870522503922729</v>
      </c>
      <c r="BJ91" s="62">
        <f t="shared" si="92"/>
        <v>322.87462304389692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16.544315520316569</v>
      </c>
      <c r="BQ91" s="23">
        <f>EXP(-LN(2)/25)*BQ90+(1-EXP(-LN(2)/25))/(LN(2)/25)*Calculateur!BL91*Calculateur!BN91*VLOOKUP('Données projet'!$B$11,Paramètres!$A$1:$I$89,3,0)*0.475*44/12</f>
        <v>2.5206873998369153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19.065002920153486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199.99576079505897</v>
      </c>
      <c r="CE91" s="62">
        <f t="shared" si="94"/>
        <v>407.41464279973172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31.326911975648951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4.9543556569340499E-7</v>
      </c>
      <c r="CN91" s="24">
        <f t="shared" si="66"/>
        <v>31.326912471084515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-5.1431925385259088E-14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376.68007030857598</v>
      </c>
      <c r="CZ91" s="62">
        <f t="shared" si="96"/>
        <v>532.90758914457626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2.6</v>
      </c>
      <c r="N92" s="14">
        <f>IF('Données projet'!$A$36&gt;35,N91+M92-V91,IF(A92&lt;'Données projet'!$A$36,$K$205^A92,IF(A92='Données projet'!$A$36,'Données projet'!$B$36,N91+M92-V91)))</f>
        <v>233.39999999999989</v>
      </c>
      <c r="O92" s="14">
        <f>N92*VLOOKUP('Données projet'!$B$9,Paramètres!$A$1:$I$89,3,0)*VLOOKUP('Données projet'!$B$9,Paramètres!$A$1:$I$89,5,0)</f>
        <v>203.89823999999993</v>
      </c>
      <c r="P92" s="14">
        <f t="shared" si="87"/>
        <v>50.59991801943017</v>
      </c>
      <c r="Q92" s="22">
        <f t="shared" si="54"/>
        <v>443.25095855050739</v>
      </c>
      <c r="R92" s="62">
        <f t="shared" si="55"/>
        <v>717.27360226203098</v>
      </c>
      <c r="S92" s="62">
        <f ca="1">AVERAGE(OFFSET($R$3,0,0,'Données projet'!$E$9+1,1))-AVERAGE(OFFSET($H$3,0,0,'Données projet'!$E$9+1,1))</f>
        <v>354.90450119887635</v>
      </c>
      <c r="T92" s="62">
        <f t="shared" si="88"/>
        <v>367.95449187183942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243.93408000000005</v>
      </c>
      <c r="AK92" s="14">
        <f t="shared" si="89"/>
        <v>59.28516432961765</v>
      </c>
      <c r="AL92" s="22">
        <f t="shared" si="58"/>
        <v>528.10685054075077</v>
      </c>
      <c r="AM92" s="62">
        <f t="shared" si="59"/>
        <v>802.1294942522743</v>
      </c>
      <c r="AN92" s="62">
        <f ca="1">AVERAGE(OFFSET($AM$3,0,0,'Données projet'!$E$10+1,1))-AVERAGE(OFFSET($H$3,0,0,'Données projet'!$E$10+1,1))</f>
        <v>406.87679146534634</v>
      </c>
      <c r="AO92" s="62">
        <f t="shared" si="90"/>
        <v>252.43382636914751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62.870522503922729</v>
      </c>
      <c r="BJ92" s="62">
        <f t="shared" si="92"/>
        <v>322.87462304389692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16.219891583999221</v>
      </c>
      <c r="BQ92" s="23">
        <f>EXP(-LN(2)/25)*BQ91+(1-EXP(-LN(2)/25))/(LN(2)/25)*Calculateur!BL92*Calculateur!BN92*VLOOKUP('Données projet'!$B$11,Paramètres!$A$1:$I$89,3,0)*0.475*44/12</f>
        <v>2.4517590703311853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18.671650654330406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199.99576079505897</v>
      </c>
      <c r="CE92" s="62">
        <f t="shared" si="94"/>
        <v>407.41464279973172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30.712610339336067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3.5032584814279992E-7</v>
      </c>
      <c r="CN92" s="24">
        <f t="shared" si="66"/>
        <v>30.712610689661915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-5.1431925385259088E-14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376.68007030857598</v>
      </c>
      <c r="CZ92" s="62">
        <f t="shared" si="96"/>
        <v>532.90758914457626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236</v>
      </c>
      <c r="L93" s="13">
        <f>VLOOKUP(A93,'Données projet'!$A$35:$I$55,9,0)</f>
        <v>2.6</v>
      </c>
      <c r="M93" s="13">
        <f t="array" ref="M93">INDEX(L:L,MIN(IF(ISNUMBER(L93:L289),ROW(L93:L289),"")))</f>
        <v>2.6</v>
      </c>
      <c r="N93" s="14">
        <f>IF('Données projet'!$A$36&gt;35,N92+M93-V92,IF(A93&lt;'Données projet'!$A$36,$K$205^A93,IF(A93='Données projet'!$A$36,'Données projet'!$B$36,N92+M93-V92)))</f>
        <v>235.99999999999989</v>
      </c>
      <c r="O93" s="14">
        <f>N93*VLOOKUP('Données projet'!$B$9,Paramètres!$A$1:$I$89,3,0)*VLOOKUP('Données projet'!$B$9,Paramètres!$A$1:$I$89,5,0)</f>
        <v>206.16959999999992</v>
      </c>
      <c r="P93" s="14">
        <f t="shared" si="87"/>
        <v>51.097652263007333</v>
      </c>
      <c r="Q93" s="22">
        <f t="shared" si="54"/>
        <v>448.07379769140431</v>
      </c>
      <c r="R93" s="62">
        <f t="shared" si="55"/>
        <v>722.43143869563198</v>
      </c>
      <c r="S93" s="62">
        <f ca="1">AVERAGE(OFFSET($R$3,0,0,'Données projet'!$E$9+1,1))-AVERAGE(OFFSET($H$3,0,0,'Données projet'!$E$9+1,1))</f>
        <v>354.90450119887635</v>
      </c>
      <c r="T93" s="62">
        <f t="shared" si="88"/>
        <v>367.95449187183942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236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248.82000000000005</v>
      </c>
      <c r="AK93" s="14">
        <f t="shared" si="89"/>
        <v>60.333192077890068</v>
      </c>
      <c r="AL93" s="22">
        <f t="shared" si="58"/>
        <v>538.44180953565865</v>
      </c>
      <c r="AM93" s="62">
        <f t="shared" si="59"/>
        <v>812.79945053988627</v>
      </c>
      <c r="AN93" s="62">
        <f ca="1">AVERAGE(OFFSET($AM$3,0,0,'Données projet'!$E$10+1,1))-AVERAGE(OFFSET($H$3,0,0,'Données projet'!$E$10+1,1))</f>
        <v>406.87679146534634</v>
      </c>
      <c r="AO93" s="62">
        <f t="shared" si="90"/>
        <v>252.43382636914751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62.870522503922729</v>
      </c>
      <c r="BJ93" s="62">
        <f t="shared" si="92"/>
        <v>322.87462304389692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15.901829403193995</v>
      </c>
      <c r="BQ93" s="23">
        <f>EXP(-LN(2)/25)*BQ92+(1-EXP(-LN(2)/25))/(LN(2)/25)*Calculateur!BL93*Calculateur!BN93*VLOOKUP('Données projet'!$B$11,Paramètres!$A$1:$I$89,3,0)*0.475*44/12</f>
        <v>2.3847155896205732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18.286544992814569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199.99576079505897</v>
      </c>
      <c r="CE93" s="62">
        <f t="shared" si="94"/>
        <v>407.41464279973172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30.110354783424278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2.477177828467025E-7</v>
      </c>
      <c r="CN93" s="24">
        <f t="shared" si="66"/>
        <v>30.11035503114206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-5.1431925385259088E-14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376.68007030857598</v>
      </c>
      <c r="CZ93" s="62">
        <f t="shared" si="96"/>
        <v>532.90758914457626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-9.9316821433603781E-14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354.90450119887635</v>
      </c>
      <c r="T94" s="62">
        <f t="shared" si="88"/>
        <v>367.95449187183942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234.34320000000005</v>
      </c>
      <c r="AK94" s="14">
        <f t="shared" si="89"/>
        <v>57.220758006491664</v>
      </c>
      <c r="AL94" s="22">
        <f t="shared" si="58"/>
        <v>507.80722686130639</v>
      </c>
      <c r="AM94" s="62">
        <f t="shared" si="59"/>
        <v>782.49405370415138</v>
      </c>
      <c r="AN94" s="62">
        <f ca="1">AVERAGE(OFFSET($AM$3,0,0,'Données projet'!$E$10+1,1))-AVERAGE(OFFSET($H$3,0,0,'Données projet'!$E$10+1,1))</f>
        <v>406.87679146534634</v>
      </c>
      <c r="AO94" s="62">
        <f t="shared" si="90"/>
        <v>252.43382636914751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62.870522503922729</v>
      </c>
      <c r="BJ94" s="62">
        <f t="shared" si="92"/>
        <v>322.87462304389692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15.590004227755584</v>
      </c>
      <c r="BQ94" s="23">
        <f>EXP(-LN(2)/25)*BQ93+(1-EXP(-LN(2)/25))/(LN(2)/25)*Calculateur!BL94*Calculateur!BN94*VLOOKUP('Données projet'!$B$11,Paramètres!$A$1:$I$89,3,0)*0.475*44/12</f>
        <v>2.3195054164156561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17.909509644171241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199.99576079505897</v>
      </c>
      <c r="CE94" s="62">
        <f t="shared" si="94"/>
        <v>407.41464279973172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29.519909091624303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1.7516292407139996E-7</v>
      </c>
      <c r="CN94" s="24">
        <f t="shared" si="66"/>
        <v>29.519909266787227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-5.1431925385259088E-14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376.68007030857598</v>
      </c>
      <c r="CZ94" s="62">
        <f t="shared" si="96"/>
        <v>532.90758914457626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-9.9316821433603781E-14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354.90450119887635</v>
      </c>
      <c r="T95" s="62">
        <f t="shared" si="88"/>
        <v>367.95449187183942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238.86720000000005</v>
      </c>
      <c r="AK95" s="14">
        <f t="shared" si="89"/>
        <v>58.195735973104156</v>
      </c>
      <c r="AL95" s="22">
        <f t="shared" si="58"/>
        <v>517.3846134864898</v>
      </c>
      <c r="AM95" s="62">
        <f t="shared" si="59"/>
        <v>792.39491552960158</v>
      </c>
      <c r="AN95" s="62">
        <f ca="1">AVERAGE(OFFSET($AM$3,0,0,'Données projet'!$E$10+1,1))-AVERAGE(OFFSET($H$3,0,0,'Données projet'!$E$10+1,1))</f>
        <v>406.87679146534634</v>
      </c>
      <c r="AO95" s="62">
        <f t="shared" si="90"/>
        <v>252.43382636914751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62.870522503922729</v>
      </c>
      <c r="BJ95" s="62">
        <f t="shared" si="92"/>
        <v>322.87462304389692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15.284293753812943</v>
      </c>
      <c r="BQ95" s="23">
        <f>EXP(-LN(2)/25)*BQ94+(1-EXP(-LN(2)/25))/(LN(2)/25)*Calculateur!BL95*Calculateur!BN95*VLOOKUP('Données projet'!$B$11,Paramètres!$A$1:$I$89,3,0)*0.475*44/12</f>
        <v>2.2560784188262812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17.540372172639223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199.99576079505897</v>
      </c>
      <c r="CE95" s="62">
        <f t="shared" si="94"/>
        <v>407.41464279973172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28.941041679704213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1.2385889142335125E-7</v>
      </c>
      <c r="CN95" s="24">
        <f t="shared" si="66"/>
        <v>28.941041803563106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-5.1431925385259088E-14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376.68007030857598</v>
      </c>
      <c r="CZ95" s="62">
        <f t="shared" si="96"/>
        <v>532.90758914457626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-9.9316821433603781E-14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354.90450119887635</v>
      </c>
      <c r="T96" s="62">
        <f t="shared" si="88"/>
        <v>367.95449187183942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243.39120000000003</v>
      </c>
      <c r="AK96" s="14">
        <f t="shared" si="89"/>
        <v>59.168566788241527</v>
      </c>
      <c r="AL96" s="22">
        <f t="shared" si="58"/>
        <v>526.95826048952074</v>
      </c>
      <c r="AM96" s="62">
        <f t="shared" si="59"/>
        <v>802.28642616135676</v>
      </c>
      <c r="AN96" s="62">
        <f ca="1">AVERAGE(OFFSET($AM$3,0,0,'Données projet'!$E$10+1,1))-AVERAGE(OFFSET($H$3,0,0,'Données projet'!$E$10+1,1))</f>
        <v>406.87679146534634</v>
      </c>
      <c r="AO96" s="62">
        <f t="shared" si="90"/>
        <v>252.43382636914751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62.870522503922729</v>
      </c>
      <c r="BJ96" s="62">
        <f t="shared" si="92"/>
        <v>322.87462304389692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14.984578075799341</v>
      </c>
      <c r="BQ96" s="23">
        <f>EXP(-LN(2)/25)*BQ95+(1-EXP(-LN(2)/25))/(LN(2)/25)*Calculateur!BL96*Calculateur!BN96*VLOOKUP('Données projet'!$B$11,Paramètres!$A$1:$I$89,3,0)*0.475*44/12</f>
        <v>2.194385835821469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17.178963911620809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199.99576079505897</v>
      </c>
      <c r="CE96" s="62">
        <f t="shared" si="94"/>
        <v>407.41464279973172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28.373525504657618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8.7581462035699981E-8</v>
      </c>
      <c r="CN96" s="24">
        <f t="shared" si="66"/>
        <v>28.37352559223908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-5.1431925385259088E-14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376.68007030857598</v>
      </c>
      <c r="CZ96" s="62">
        <f t="shared" si="96"/>
        <v>532.90758914457626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-9.9316821433603781E-14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354.90450119887635</v>
      </c>
      <c r="T97" s="62">
        <f t="shared" si="88"/>
        <v>367.95449187183942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247.91520000000003</v>
      </c>
      <c r="AK97" s="14">
        <f t="shared" si="89"/>
        <v>60.139294964297406</v>
      </c>
      <c r="AL97" s="22">
        <f t="shared" si="58"/>
        <v>536.52824539615131</v>
      </c>
      <c r="AM97" s="62">
        <f t="shared" si="59"/>
        <v>812.16876047338974</v>
      </c>
      <c r="AN97" s="62">
        <f ca="1">AVERAGE(OFFSET($AM$3,0,0,'Données projet'!$E$10+1,1))-AVERAGE(OFFSET($H$3,0,0,'Données projet'!$E$10+1,1))</f>
        <v>406.87679146534634</v>
      </c>
      <c r="AO97" s="62">
        <f t="shared" si="90"/>
        <v>252.43382636914751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62.870522503922729</v>
      </c>
      <c r="BJ97" s="62">
        <f t="shared" si="92"/>
        <v>322.87462304389692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14.690739639423073</v>
      </c>
      <c r="BQ97" s="23">
        <f>EXP(-LN(2)/25)*BQ96+(1-EXP(-LN(2)/25))/(LN(2)/25)*Calculateur!BL97*Calculateur!BN97*VLOOKUP('Données projet'!$B$11,Paramètres!$A$1:$I$89,3,0)*0.475*44/12</f>
        <v>2.1343802397431952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16.825119879166269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199.99576079505897</v>
      </c>
      <c r="CE97" s="62">
        <f t="shared" si="94"/>
        <v>407.41464279973172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27.817137975653001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6.1929445711675624E-8</v>
      </c>
      <c r="CN97" s="24">
        <f t="shared" si="66"/>
        <v>27.817138037582446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-5.1431925385259088E-14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376.68007030857598</v>
      </c>
      <c r="CZ97" s="62">
        <f t="shared" si="96"/>
        <v>532.90758914457626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-9.9316821433603781E-14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354.90450119887635</v>
      </c>
      <c r="T98" s="62">
        <f t="shared" si="88"/>
        <v>367.95449187183942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252.43920000000006</v>
      </c>
      <c r="AK98" s="14">
        <f t="shared" si="89"/>
        <v>61.107963296116274</v>
      </c>
      <c r="AL98" s="22">
        <f t="shared" si="58"/>
        <v>546.09464274073594</v>
      </c>
      <c r="AM98" s="62">
        <f t="shared" si="59"/>
        <v>822.04208865950181</v>
      </c>
      <c r="AN98" s="62">
        <f ca="1">AVERAGE(OFFSET($AM$3,0,0,'Données projet'!$E$10+1,1))-AVERAGE(OFFSET($H$3,0,0,'Données projet'!$E$10+1,1))</f>
        <v>406.87679146534634</v>
      </c>
      <c r="AO98" s="62">
        <f t="shared" si="90"/>
        <v>252.43382636914751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62.870522503922729</v>
      </c>
      <c r="BJ98" s="62">
        <f t="shared" si="92"/>
        <v>322.87462304389692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14.402663195560395</v>
      </c>
      <c r="BQ98" s="23">
        <f>EXP(-LN(2)/25)*BQ97+(1-EXP(-LN(2)/25))/(LN(2)/25)*Calculateur!BL98*Calculateur!BN98*VLOOKUP('Données projet'!$B$11,Paramètres!$A$1:$I$89,3,0)*0.475*44/12</f>
        <v>2.0760154998452389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16.478678695405634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199.99576079505897</v>
      </c>
      <c r="CE98" s="62">
        <f t="shared" si="94"/>
        <v>407.41464279973172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27.271660866729281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4.379073101784999E-8</v>
      </c>
      <c r="CN98" s="24">
        <f t="shared" si="66"/>
        <v>27.271660910520012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-5.1431925385259088E-14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376.68007030857598</v>
      </c>
      <c r="CZ98" s="62">
        <f t="shared" si="96"/>
        <v>532.90758914457626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-9.9316821433603781E-14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354.90450119887635</v>
      </c>
      <c r="T99" s="62">
        <f t="shared" si="88"/>
        <v>367.95449187183942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237.78144000000006</v>
      </c>
      <c r="AK99" s="14">
        <f t="shared" si="89"/>
        <v>57.96193879691095</v>
      </c>
      <c r="AL99" s="22">
        <f t="shared" si="58"/>
        <v>515.08638473795338</v>
      </c>
      <c r="AM99" s="62">
        <f t="shared" si="59"/>
        <v>791.33543693434081</v>
      </c>
      <c r="AN99" s="62">
        <f ca="1">AVERAGE(OFFSET($AM$3,0,0,'Données projet'!$E$10+1,1))-AVERAGE(OFFSET($H$3,0,0,'Données projet'!$E$10+1,1))</f>
        <v>406.87679146534634</v>
      </c>
      <c r="AO99" s="62">
        <f t="shared" si="90"/>
        <v>252.43382636914751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62.870522503922729</v>
      </c>
      <c r="BJ99" s="62">
        <f t="shared" si="92"/>
        <v>322.87462304389692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14.120235755052581</v>
      </c>
      <c r="BQ99" s="23">
        <f>EXP(-LN(2)/25)*BQ98+(1-EXP(-LN(2)/25))/(LN(2)/25)*Calculateur!BL99*Calculateur!BN99*VLOOKUP('Données projet'!$B$11,Paramètres!$A$1:$I$89,3,0)*0.475*44/12</f>
        <v>2.0192467468290607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16.139482501881641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199.99576079505897</v>
      </c>
      <c r="CE99" s="62">
        <f t="shared" si="94"/>
        <v>407.41464279973172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26.736880231203372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3.0964722855837812E-8</v>
      </c>
      <c r="CN99" s="24">
        <f t="shared" si="66"/>
        <v>26.736880262168096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-5.1431925385259088E-14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376.68007030857598</v>
      </c>
      <c r="CZ99" s="62">
        <f t="shared" si="96"/>
        <v>532.90758914457626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-9.9316821433603781E-14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354.90450119887635</v>
      </c>
      <c r="T100" s="62">
        <f t="shared" si="88"/>
        <v>367.95449187183942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242.12448000000006</v>
      </c>
      <c r="AK100" s="14">
        <f t="shared" si="89"/>
        <v>58.896387987806008</v>
      </c>
      <c r="AL100" s="22">
        <f t="shared" si="58"/>
        <v>524.2780117454289</v>
      </c>
      <c r="AM100" s="62">
        <f t="shared" si="59"/>
        <v>800.82343802481171</v>
      </c>
      <c r="AN100" s="62">
        <f ca="1">AVERAGE(OFFSET($AM$3,0,0,'Données projet'!$E$10+1,1))-AVERAGE(OFFSET($H$3,0,0,'Données projet'!$E$10+1,1))</f>
        <v>406.87679146534634</v>
      </c>
      <c r="AO100" s="62">
        <f t="shared" si="90"/>
        <v>252.43382636914751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62.870522503922729</v>
      </c>
      <c r="BJ100" s="62">
        <f t="shared" si="92"/>
        <v>322.87462304389692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13.843346544389398</v>
      </c>
      <c r="BQ100" s="23">
        <f>EXP(-LN(2)/25)*BQ99+(1-EXP(-LN(2)/25))/(LN(2)/25)*Calculateur!BL100*Calculateur!BN100*VLOOKUP('Données projet'!$B$11,Paramètres!$A$1:$I$89,3,0)*0.475*44/12</f>
        <v>1.9640303383494486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15.807376882738847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199.99576079505897</v>
      </c>
      <c r="CE100" s="62">
        <f t="shared" si="94"/>
        <v>407.41464279973172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26.212586317756145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2.1895365508924995E-8</v>
      </c>
      <c r="CN100" s="24">
        <f t="shared" si="66"/>
        <v>26.212586339651509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-5.1431925385259088E-14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376.68007030857598</v>
      </c>
      <c r="CZ100" s="62">
        <f t="shared" si="96"/>
        <v>532.90758914457626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-9.9316821433603781E-14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354.90450119887635</v>
      </c>
      <c r="T101" s="62">
        <f t="shared" si="88"/>
        <v>367.95449187183942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246.46752000000009</v>
      </c>
      <c r="AK101" s="14">
        <f t="shared" si="89"/>
        <v>59.828888074217033</v>
      </c>
      <c r="AL101" s="22">
        <f t="shared" si="58"/>
        <v>533.4662440625948</v>
      </c>
      <c r="AM101" s="62">
        <f t="shared" si="59"/>
        <v>810.30290299722617</v>
      </c>
      <c r="AN101" s="62">
        <f ca="1">AVERAGE(OFFSET($AM$3,0,0,'Données projet'!$E$10+1,1))-AVERAGE(OFFSET($H$3,0,0,'Données projet'!$E$10+1,1))</f>
        <v>406.87679146534634</v>
      </c>
      <c r="AO101" s="62">
        <f t="shared" si="90"/>
        <v>252.43382636914751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62.870522503922729</v>
      </c>
      <c r="BJ101" s="62">
        <f t="shared" si="92"/>
        <v>322.87462304389692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13.571886962261576</v>
      </c>
      <c r="BQ101" s="23">
        <f>EXP(-LN(2)/25)*BQ100+(1-EXP(-LN(2)/25))/(LN(2)/25)*Calculateur!BL101*Calculateur!BN101*VLOOKUP('Données projet'!$B$11,Paramètres!$A$1:$I$89,3,0)*0.475*44/12</f>
        <v>1.9103238254634163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15.482210787724993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199.99576079505897</v>
      </c>
      <c r="CE101" s="62">
        <f t="shared" si="94"/>
        <v>407.41464279973172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25.698573488163905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1.5482361427918906E-8</v>
      </c>
      <c r="CN101" s="24">
        <f t="shared" si="66"/>
        <v>25.698573503646266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-5.1431925385259088E-14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376.68007030857598</v>
      </c>
      <c r="CZ101" s="62">
        <f t="shared" si="96"/>
        <v>532.90758914457626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-9.9316821433603781E-14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354.90450119887635</v>
      </c>
      <c r="T102" s="62">
        <f t="shared" si="88"/>
        <v>367.95449187183942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250.81056000000007</v>
      </c>
      <c r="AK102" s="14">
        <f t="shared" si="89"/>
        <v>60.75947736410874</v>
      </c>
      <c r="AL102" s="22">
        <f t="shared" si="58"/>
        <v>542.65114840915612</v>
      </c>
      <c r="AM102" s="62">
        <f t="shared" si="59"/>
        <v>819.77398776356631</v>
      </c>
      <c r="AN102" s="62">
        <f ca="1">AVERAGE(OFFSET($AM$3,0,0,'Données projet'!$E$10+1,1))-AVERAGE(OFFSET($H$3,0,0,'Données projet'!$E$10+1,1))</f>
        <v>406.87679146534634</v>
      </c>
      <c r="AO102" s="62">
        <f t="shared" si="90"/>
        <v>252.43382636914751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62.870522503922729</v>
      </c>
      <c r="BJ102" s="62">
        <f t="shared" si="92"/>
        <v>322.87462304389692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13.305750536965286</v>
      </c>
      <c r="BQ102" s="23">
        <f>EXP(-LN(2)/25)*BQ101+(1-EXP(-LN(2)/25))/(LN(2)/25)*Calculateur!BL102*Calculateur!BN102*VLOOKUP('Données projet'!$B$11,Paramètres!$A$1:$I$89,3,0)*0.475*44/12</f>
        <v>1.8580859199965554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15.163836456961842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199.99576079505897</v>
      </c>
      <c r="CE102" s="62">
        <f t="shared" si="94"/>
        <v>407.41464279973172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25.194640136643102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1.0947682754462498E-8</v>
      </c>
      <c r="CN102" s="24">
        <f t="shared" si="66"/>
        <v>25.194640147590786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-5.1431925385259088E-14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376.68007030857598</v>
      </c>
      <c r="CZ102" s="62">
        <f t="shared" si="96"/>
        <v>532.90758914457626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-9.9316821433603781E-14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354.90450119887635</v>
      </c>
      <c r="T103" s="62">
        <f t="shared" si="88"/>
        <v>367.95449187183942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255.1536000000001</v>
      </c>
      <c r="AK103" s="14">
        <f t="shared" si="89"/>
        <v>61.688192762754426</v>
      </c>
      <c r="AL103" s="22">
        <f t="shared" si="58"/>
        <v>551.83278906179737</v>
      </c>
      <c r="AM103" s="62">
        <f t="shared" si="59"/>
        <v>829.23684424550652</v>
      </c>
      <c r="AN103" s="62">
        <f ca="1">AVERAGE(OFFSET($AM$3,0,0,'Données projet'!$E$10+1,1))-AVERAGE(OFFSET($H$3,0,0,'Données projet'!$E$10+1,1))</f>
        <v>406.87679146534634</v>
      </c>
      <c r="AO103" s="62">
        <f t="shared" si="90"/>
        <v>252.43382636914751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62.870522503922729</v>
      </c>
      <c r="BJ103" s="62">
        <f t="shared" si="92"/>
        <v>322.87462304389692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13.044832884641865</v>
      </c>
      <c r="BQ103" s="23">
        <f>EXP(-LN(2)/25)*BQ102+(1-EXP(-LN(2)/25))/(LN(2)/25)*Calculateur!BL103*Calculateur!BN103*VLOOKUP('Données projet'!$B$11,Paramètres!$A$1:$I$89,3,0)*0.475*44/12</f>
        <v>1.8072764628017577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14.852109347443623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199.99576079505897</v>
      </c>
      <c r="CE103" s="62">
        <f t="shared" si="94"/>
        <v>407.41464279973172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24.700588610776627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7.741180713959453E-9</v>
      </c>
      <c r="CN103" s="24">
        <f t="shared" si="66"/>
        <v>24.700588618517809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-5.1431925385259088E-14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376.68007030857598</v>
      </c>
      <c r="CZ103" s="62">
        <f t="shared" si="96"/>
        <v>532.90758914457626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-9.9316821433603781E-14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354.90450119887635</v>
      </c>
      <c r="T104" s="62">
        <f t="shared" si="88"/>
        <v>367.95449187183942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240.13392000000007</v>
      </c>
      <c r="AK104" s="14">
        <f t="shared" si="89"/>
        <v>58.468343087048616</v>
      </c>
      <c r="AL104" s="22">
        <f t="shared" si="58"/>
        <v>520.06560820994309</v>
      </c>
      <c r="AM104" s="62">
        <f t="shared" si="59"/>
        <v>797.74600075701755</v>
      </c>
      <c r="AN104" s="62">
        <f ca="1">AVERAGE(OFFSET($AM$3,0,0,'Données projet'!$E$10+1,1))-AVERAGE(OFFSET($H$3,0,0,'Données projet'!$E$10+1,1))</f>
        <v>406.87679146534634</v>
      </c>
      <c r="AO104" s="62">
        <f t="shared" si="90"/>
        <v>252.43382636914751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62.870522503922729</v>
      </c>
      <c r="BJ104" s="62">
        <f t="shared" si="92"/>
        <v>322.87462304389692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12.789031668336452</v>
      </c>
      <c r="BQ104" s="23">
        <f>EXP(-LN(2)/25)*BQ103+(1-EXP(-LN(2)/25))/(LN(2)/25)*Calculateur!BL104*Calculateur!BN104*VLOOKUP('Données projet'!$B$11,Paramètres!$A$1:$I$89,3,0)*0.475*44/12</f>
        <v>1.757856392885905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14.546888061222358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199.99576079505897</v>
      </c>
      <c r="CE104" s="62">
        <f t="shared" si="94"/>
        <v>407.41464279973172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24.216225133990719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5.4738413772312488E-9</v>
      </c>
      <c r="CN104" s="24">
        <f t="shared" si="66"/>
        <v>24.216225139464559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-5.1431925385259088E-14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376.68007030857598</v>
      </c>
      <c r="CZ104" s="62">
        <f t="shared" si="96"/>
        <v>532.90758914457626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-9.9316821433603781E-14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354.90450119887635</v>
      </c>
      <c r="T105" s="62">
        <f t="shared" si="88"/>
        <v>367.95449187183942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244.11504000000008</v>
      </c>
      <c r="AK105" s="14">
        <f t="shared" si="89"/>
        <v>59.324023461759062</v>
      </c>
      <c r="AL105" s="22">
        <f t="shared" si="58"/>
        <v>528.48970219589717</v>
      </c>
      <c r="AM105" s="62">
        <f t="shared" si="59"/>
        <v>806.44163827088005</v>
      </c>
      <c r="AN105" s="62">
        <f ca="1">AVERAGE(OFFSET($AM$3,0,0,'Données projet'!$E$10+1,1))-AVERAGE(OFFSET($H$3,0,0,'Données projet'!$E$10+1,1))</f>
        <v>406.87679146534634</v>
      </c>
      <c r="AO105" s="62">
        <f t="shared" si="90"/>
        <v>252.43382636914751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62.870522503922729</v>
      </c>
      <c r="BJ105" s="62">
        <f t="shared" si="92"/>
        <v>322.87462304389692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12.538246557859454</v>
      </c>
      <c r="BQ105" s="23">
        <f>EXP(-LN(2)/25)*BQ104+(1-EXP(-LN(2)/25))/(LN(2)/25)*Calculateur!BL105*Calculateur!BN105*VLOOKUP('Données projet'!$B$11,Paramètres!$A$1:$I$89,3,0)*0.475*44/12</f>
        <v>1.7097877173807898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14.248034275240244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199.99576079505897</v>
      </c>
      <c r="CE105" s="62">
        <f t="shared" si="94"/>
        <v>407.41464279973172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23.741359729552034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3.8705903569797265E-9</v>
      </c>
      <c r="CN105" s="24">
        <f t="shared" si="66"/>
        <v>23.741359733422623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-5.1431925385259088E-14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376.68007030857598</v>
      </c>
      <c r="CZ105" s="62">
        <f t="shared" si="96"/>
        <v>532.90758914457626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-9.9316821433603781E-14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354.90450119887635</v>
      </c>
      <c r="T106" s="62">
        <f t="shared" si="88"/>
        <v>367.95449187183942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248.09616</v>
      </c>
      <c r="AK106" s="14">
        <f t="shared" si="89"/>
        <v>60.178080967364686</v>
      </c>
      <c r="AL106" s="22">
        <f t="shared" si="58"/>
        <v>536.91096968482668</v>
      </c>
      <c r="AM106" s="62">
        <f t="shared" si="59"/>
        <v>815.12973861458931</v>
      </c>
      <c r="AN106" s="62">
        <f ca="1">AVERAGE(OFFSET($AM$3,0,0,'Données projet'!$E$10+1,1))-AVERAGE(OFFSET($H$3,0,0,'Données projet'!$E$10+1,1))</f>
        <v>406.87679146534634</v>
      </c>
      <c r="AO106" s="62">
        <f t="shared" si="90"/>
        <v>252.43382636914751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62.870522503922729</v>
      </c>
      <c r="BJ106" s="62">
        <f t="shared" si="92"/>
        <v>322.87462304389692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12.292379190435096</v>
      </c>
      <c r="BQ106" s="23">
        <f>EXP(-LN(2)/25)*BQ105+(1-EXP(-LN(2)/25))/(LN(2)/25)*Calculateur!BL106*Calculateur!BN106*VLOOKUP('Données projet'!$B$11,Paramètres!$A$1:$I$89,3,0)*0.475*44/12</f>
        <v>1.6630334823351838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13.955412672770279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199.99576079505897</v>
      </c>
      <c r="CE106" s="62">
        <f t="shared" si="94"/>
        <v>407.41464279973172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23.275806146055093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2.7369206886156244E-9</v>
      </c>
      <c r="CN106" s="24">
        <f t="shared" si="66"/>
        <v>23.275806148792014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-5.1431925385259088E-14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376.68007030857598</v>
      </c>
      <c r="CZ106" s="62">
        <f t="shared" si="96"/>
        <v>532.90758914457626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-9.9316821433603781E-14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354.90450119887635</v>
      </c>
      <c r="T107" s="62">
        <f t="shared" si="88"/>
        <v>367.95449187183942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252.07728</v>
      </c>
      <c r="AK107" s="14">
        <f t="shared" si="89"/>
        <v>61.030544652154987</v>
      </c>
      <c r="AL107" s="22">
        <f t="shared" si="58"/>
        <v>545.32946126916988</v>
      </c>
      <c r="AM107" s="62">
        <f t="shared" si="59"/>
        <v>823.81043410023085</v>
      </c>
      <c r="AN107" s="62">
        <f ca="1">AVERAGE(OFFSET($AM$3,0,0,'Données projet'!$E$10+1,1))-AVERAGE(OFFSET($H$3,0,0,'Données projet'!$E$10+1,1))</f>
        <v>406.87679146534634</v>
      </c>
      <c r="AO107" s="62">
        <f t="shared" si="90"/>
        <v>252.43382636914751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62.870522503922729</v>
      </c>
      <c r="BJ107" s="62">
        <f t="shared" si="92"/>
        <v>322.87462304389692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12.051333132121641</v>
      </c>
      <c r="BQ107" s="23">
        <f>EXP(-LN(2)/25)*BQ106+(1-EXP(-LN(2)/25))/(LN(2)/25)*Calculateur!BL107*Calculateur!BN107*VLOOKUP('Données projet'!$B$11,Paramètres!$A$1:$I$89,3,0)*0.475*44/12</f>
        <v>1.6175577443055982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13.668890876427239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199.99576079505897</v>
      </c>
      <c r="CE107" s="62">
        <f t="shared" si="94"/>
        <v>407.41464279973172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22.819381784370879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1.9352951784898633E-9</v>
      </c>
      <c r="CN107" s="24">
        <f t="shared" si="66"/>
        <v>22.819381786306174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-5.1431925385259088E-14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376.68007030857598</v>
      </c>
      <c r="CZ107" s="62">
        <f t="shared" si="96"/>
        <v>532.90758914457626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-9.9316821433603781E-14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354.90450119887635</v>
      </c>
      <c r="T108" s="62">
        <f t="shared" si="88"/>
        <v>367.95449187183942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256.05840000000001</v>
      </c>
      <c r="AK108" s="14">
        <f t="shared" si="89"/>
        <v>61.881442594256484</v>
      </c>
      <c r="AL108" s="22">
        <f t="shared" si="58"/>
        <v>553.74522585166335</v>
      </c>
      <c r="AM108" s="62">
        <f t="shared" si="59"/>
        <v>832.48385393253511</v>
      </c>
      <c r="AN108" s="62">
        <f ca="1">AVERAGE(OFFSET($AM$3,0,0,'Données projet'!$E$10+1,1))-AVERAGE(OFFSET($H$3,0,0,'Données projet'!$E$10+1,1))</f>
        <v>406.87679146534634</v>
      </c>
      <c r="AO108" s="62">
        <f t="shared" si="90"/>
        <v>252.43382636914751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62.870522503922729</v>
      </c>
      <c r="BJ108" s="62">
        <f t="shared" si="92"/>
        <v>322.87462304389692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11.815013839988136</v>
      </c>
      <c r="BQ108" s="23">
        <f>EXP(-LN(2)/25)*BQ107+(1-EXP(-LN(2)/25))/(LN(2)/25)*Calculateur!BL108*Calculateur!BN108*VLOOKUP('Données projet'!$B$11,Paramètres!$A$1:$I$89,3,0)*0.475*44/12</f>
        <v>1.5733255427238968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13.388339382712033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199.99576079505897</v>
      </c>
      <c r="CE108" s="62">
        <f t="shared" si="94"/>
        <v>407.41464279973172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22.371907626027923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1.3684603443078122E-9</v>
      </c>
      <c r="CN108" s="24">
        <f t="shared" si="66"/>
        <v>22.371907627396382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-5.1431925385259088E-14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376.68007030857598</v>
      </c>
      <c r="CZ108" s="62">
        <f t="shared" si="96"/>
        <v>532.90758914457626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-9.9316821433603781E-14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354.90450119887635</v>
      </c>
      <c r="T109" s="62">
        <f t="shared" si="88"/>
        <v>367.95449187183942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241.76255999999995</v>
      </c>
      <c r="AK109" s="14">
        <f t="shared" si="89"/>
        <v>58.818592205643363</v>
      </c>
      <c r="AL109" s="22">
        <f t="shared" si="58"/>
        <v>523.5121734248288</v>
      </c>
      <c r="AM109" s="62">
        <f t="shared" si="59"/>
        <v>802.50398701295785</v>
      </c>
      <c r="AN109" s="62">
        <f ca="1">AVERAGE(OFFSET($AM$3,0,0,'Données projet'!$E$10+1,1))-AVERAGE(OFFSET($H$3,0,0,'Données projet'!$E$10+1,1))</f>
        <v>406.87679146534634</v>
      </c>
      <c r="AO109" s="62">
        <f t="shared" si="90"/>
        <v>252.43382636914751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62.870522503922729</v>
      </c>
      <c r="BJ109" s="62">
        <f t="shared" si="92"/>
        <v>322.87462304389692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11.583328625032834</v>
      </c>
      <c r="BQ109" s="23">
        <f>EXP(-LN(2)/25)*BQ108+(1-EXP(-LN(2)/25))/(LN(2)/25)*Calculateur!BL109*Calculateur!BN109*VLOOKUP('Données projet'!$B$11,Paramètres!$A$1:$I$89,3,0)*0.475*44/12</f>
        <v>1.5303028730205175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13.113631498053351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199.99576079505897</v>
      </c>
      <c r="CE109" s="62">
        <f t="shared" si="94"/>
        <v>407.41464279973172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21.933208162997783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9.6764758924493163E-10</v>
      </c>
      <c r="CN109" s="24">
        <f t="shared" si="66"/>
        <v>21.933208163965432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-5.1431925385259088E-14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376.68007030857598</v>
      </c>
      <c r="CZ109" s="62">
        <f t="shared" si="96"/>
        <v>532.90758914457626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-9.9316821433603781E-14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354.90450119887635</v>
      </c>
      <c r="T110" s="62">
        <f t="shared" si="88"/>
        <v>367.95449187183942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245.56271999999998</v>
      </c>
      <c r="AK110" s="14">
        <f t="shared" si="89"/>
        <v>59.634776048276898</v>
      </c>
      <c r="AL110" s="22">
        <f t="shared" si="58"/>
        <v>531.55230561741564</v>
      </c>
      <c r="AM110" s="62">
        <f t="shared" si="59"/>
        <v>810.79291251028928</v>
      </c>
      <c r="AN110" s="62">
        <f ca="1">AVERAGE(OFFSET($AM$3,0,0,'Données projet'!$E$10+1,1))-AVERAGE(OFFSET($H$3,0,0,'Données projet'!$E$10+1,1))</f>
        <v>406.87679146534634</v>
      </c>
      <c r="AO110" s="62">
        <f t="shared" si="90"/>
        <v>252.43382636914751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62.870522503922729</v>
      </c>
      <c r="BJ110" s="62">
        <f t="shared" si="92"/>
        <v>322.87462304389692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11.356186615828777</v>
      </c>
      <c r="BQ110" s="23">
        <f>EXP(-LN(2)/25)*BQ109+(1-EXP(-LN(2)/25))/(LN(2)/25)*Calculateur!BL110*Calculateur!BN110*VLOOKUP('Données projet'!$B$11,Paramètres!$A$1:$I$89,3,0)*0.475*44/12</f>
        <v>1.4884566604826408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12.844643276311418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199.99576079505897</v>
      </c>
      <c r="CE110" s="62">
        <f t="shared" si="94"/>
        <v>407.41464279973172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21.503111328857415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6.842301721539061E-10</v>
      </c>
      <c r="CN110" s="24">
        <f t="shared" si="66"/>
        <v>21.503111329541646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-5.1431925385259088E-14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376.68007030857598</v>
      </c>
      <c r="CZ110" s="62">
        <f t="shared" si="96"/>
        <v>532.90758914457626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-9.9316821433603781E-14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354.90450119887635</v>
      </c>
      <c r="T111" s="62">
        <f t="shared" si="88"/>
        <v>367.95449187183942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249.36287999999993</v>
      </c>
      <c r="AK111" s="14">
        <f t="shared" si="89"/>
        <v>60.449490938742557</v>
      </c>
      <c r="AL111" s="22">
        <f t="shared" si="58"/>
        <v>539.58987938497648</v>
      </c>
      <c r="AM111" s="62">
        <f t="shared" si="59"/>
        <v>819.07496357497575</v>
      </c>
      <c r="AN111" s="62">
        <f ca="1">AVERAGE(OFFSET($AM$3,0,0,'Données projet'!$E$10+1,1))-AVERAGE(OFFSET($H$3,0,0,'Données projet'!$E$10+1,1))</f>
        <v>406.87679146534634</v>
      </c>
      <c r="AO111" s="62">
        <f t="shared" si="90"/>
        <v>252.43382636914751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62.870522503922729</v>
      </c>
      <c r="BJ111" s="62">
        <f t="shared" si="92"/>
        <v>322.87462304389692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11.133498722882267</v>
      </c>
      <c r="BQ111" s="23">
        <f>EXP(-LN(2)/25)*BQ110+(1-EXP(-LN(2)/25))/(LN(2)/25)*Calculateur!BL111*Calculateur!BN111*VLOOKUP('Données projet'!$B$11,Paramètres!$A$1:$I$89,3,0)*0.475*44/12</f>
        <v>1.4477547348272091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12.581253457709476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199.99576079505897</v>
      </c>
      <c r="CE111" s="62">
        <f t="shared" si="94"/>
        <v>407.41464279973172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21.081448431301371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4.8382379462246581E-10</v>
      </c>
      <c r="CN111" s="24">
        <f t="shared" si="66"/>
        <v>21.081448431785194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-5.1431925385259088E-14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376.68007030857598</v>
      </c>
      <c r="CZ111" s="62">
        <f t="shared" si="96"/>
        <v>532.90758914457626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-9.9316821433603781E-14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354.90450119887635</v>
      </c>
      <c r="T112" s="62">
        <f t="shared" si="88"/>
        <v>367.95449187183942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253.16303999999994</v>
      </c>
      <c r="AK112" s="14">
        <f t="shared" si="89"/>
        <v>61.262761848635037</v>
      </c>
      <c r="AL112" s="22">
        <f t="shared" si="58"/>
        <v>547.62493821970588</v>
      </c>
      <c r="AM112" s="62">
        <f t="shared" si="59"/>
        <v>827.35025857229516</v>
      </c>
      <c r="AN112" s="62">
        <f ca="1">AVERAGE(OFFSET($AM$3,0,0,'Données projet'!$E$10+1,1))-AVERAGE(OFFSET($H$3,0,0,'Données projet'!$E$10+1,1))</f>
        <v>406.87679146534634</v>
      </c>
      <c r="AO112" s="62">
        <f t="shared" si="90"/>
        <v>252.43382636914751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62.870522503922729</v>
      </c>
      <c r="BJ112" s="62">
        <f t="shared" si="92"/>
        <v>322.87462304389692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10.915177603690235</v>
      </c>
      <c r="BQ112" s="23">
        <f>EXP(-LN(2)/25)*BQ111+(1-EXP(-LN(2)/25))/(LN(2)/25)*Calculateur!BL112*Calculateur!BN112*VLOOKUP('Données projet'!$B$11,Paramètres!$A$1:$I$89,3,0)*0.475*44/12</f>
        <v>1.4081658054692465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12.323343409159483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199.99576079505897</v>
      </c>
      <c r="CE112" s="62">
        <f t="shared" si="94"/>
        <v>407.41464279973172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20.668054085977431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3.4211508607695305E-10</v>
      </c>
      <c r="CN112" s="24">
        <f t="shared" si="66"/>
        <v>20.668054086319547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-5.1431925385259088E-14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376.68007030857598</v>
      </c>
      <c r="CZ112" s="62">
        <f t="shared" si="96"/>
        <v>532.90758914457626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-9.9316821433603781E-14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354.90450119887635</v>
      </c>
      <c r="T113" s="62">
        <f t="shared" si="88"/>
        <v>367.95449187183942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256.96319999999992</v>
      </c>
      <c r="AK113" s="14">
        <f t="shared" si="89"/>
        <v>62.074612956838024</v>
      </c>
      <c r="AL113" s="22">
        <f t="shared" si="58"/>
        <v>555.65752423315928</v>
      </c>
      <c r="AM113" s="62">
        <f t="shared" si="59"/>
        <v>835.61891318800508</v>
      </c>
      <c r="AN113" s="62">
        <f ca="1">AVERAGE(OFFSET($AM$3,0,0,'Données projet'!$E$10+1,1))-AVERAGE(OFFSET($H$3,0,0,'Données projet'!$E$10+1,1))</f>
        <v>406.87679146534634</v>
      </c>
      <c r="AO113" s="62">
        <f t="shared" si="90"/>
        <v>252.43382636914751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62.870522503922729</v>
      </c>
      <c r="BJ113" s="62">
        <f t="shared" si="92"/>
        <v>322.87462304389692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10.701137628482824</v>
      </c>
      <c r="BQ113" s="23">
        <f>EXP(-LN(2)/25)*BQ112+(1-EXP(-LN(2)/25))/(LN(2)/25)*Calculateur!BL113*Calculateur!BN113*VLOOKUP('Données projet'!$B$11,Paramètres!$A$1:$I$89,3,0)*0.475*44/12</f>
        <v>1.3696594374664686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12.070797065949293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199.99576079505897</v>
      </c>
      <c r="CE113" s="62">
        <f t="shared" si="94"/>
        <v>407.41464279973172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20.26276615161964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2.4191189731123291E-10</v>
      </c>
      <c r="CN113" s="24">
        <f t="shared" si="66"/>
        <v>20.262766151861552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-5.1431925385259088E-14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376.68007030857598</v>
      </c>
      <c r="CZ113" s="62">
        <f t="shared" si="96"/>
        <v>532.90758914457626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-9.9316821433603781E-14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354.90450119887635</v>
      </c>
      <c r="T114" s="62">
        <f t="shared" si="88"/>
        <v>367.95449187183942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243.21023999999997</v>
      </c>
      <c r="AK114" s="14">
        <f t="shared" si="89"/>
        <v>59.129694216846737</v>
      </c>
      <c r="AL114" s="22">
        <f t="shared" si="58"/>
        <v>526.57538542767463</v>
      </c>
      <c r="AM114" s="62">
        <f t="shared" si="59"/>
        <v>806.76874772229826</v>
      </c>
      <c r="AN114" s="62">
        <f ca="1">AVERAGE(OFFSET($AM$3,0,0,'Données projet'!$E$10+1,1))-AVERAGE(OFFSET($H$3,0,0,'Données projet'!$E$10+1,1))</f>
        <v>406.87679146534634</v>
      </c>
      <c r="AO114" s="62">
        <f t="shared" si="90"/>
        <v>252.43382636914751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62.870522503922729</v>
      </c>
      <c r="BJ114" s="62">
        <f t="shared" si="92"/>
        <v>322.87462304389692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10.491294846637738</v>
      </c>
      <c r="BQ114" s="23">
        <f>EXP(-LN(2)/25)*BQ113+(1-EXP(-LN(2)/25))/(LN(2)/25)*Calculateur!BL114*Calculateur!BN114*VLOOKUP('Données projet'!$B$11,Paramètres!$A$1:$I$89,3,0)*0.475*44/12</f>
        <v>1.3322060281216885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11.823500874759427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199.99576079505897</v>
      </c>
      <c r="CE114" s="62">
        <f t="shared" si="94"/>
        <v>407.41464279973172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19.865425666453376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1.7105754303847652E-10</v>
      </c>
      <c r="CN114" s="24">
        <f t="shared" si="66"/>
        <v>19.865425666624432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-5.1431925385259088E-14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376.68007030857598</v>
      </c>
      <c r="CZ114" s="62">
        <f t="shared" si="96"/>
        <v>532.90758914457626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-9.9316821433603781E-14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354.90450119887635</v>
      </c>
      <c r="T115" s="62">
        <f t="shared" si="88"/>
        <v>367.95449187183942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246.64847999999998</v>
      </c>
      <c r="AK115" s="14">
        <f t="shared" si="89"/>
        <v>59.867700517050096</v>
      </c>
      <c r="AL115" s="22">
        <f t="shared" si="58"/>
        <v>533.84901440052897</v>
      </c>
      <c r="AM115" s="62">
        <f t="shared" si="59"/>
        <v>814.27032581609978</v>
      </c>
      <c r="AN115" s="62">
        <f ca="1">AVERAGE(OFFSET($AM$3,0,0,'Données projet'!$E$10+1,1))-AVERAGE(OFFSET($H$3,0,0,'Données projet'!$E$10+1,1))</f>
        <v>406.87679146534634</v>
      </c>
      <c r="AO115" s="62">
        <f t="shared" si="90"/>
        <v>252.43382636914751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62.870522503922729</v>
      </c>
      <c r="BJ115" s="62">
        <f t="shared" si="92"/>
        <v>322.87462304389692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10.285566953753174</v>
      </c>
      <c r="BQ115" s="23">
        <f>EXP(-LN(2)/25)*BQ114+(1-EXP(-LN(2)/25))/(LN(2)/25)*Calculateur!BL115*Calculateur!BN115*VLOOKUP('Données projet'!$B$11,Paramètres!$A$1:$I$89,3,0)*0.475*44/12</f>
        <v>1.2957767842250307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11.581343737978205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199.99576079505897</v>
      </c>
      <c r="CE115" s="62">
        <f t="shared" si="94"/>
        <v>407.41464279973172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19.475876785847454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1.2095594865561645E-10</v>
      </c>
      <c r="CN115" s="24">
        <f t="shared" si="66"/>
        <v>19.47587678596841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-5.1431925385259088E-14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376.68007030857598</v>
      </c>
      <c r="CZ115" s="62">
        <f t="shared" si="96"/>
        <v>532.90758914457626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-9.9316821433603781E-14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354.90450119887635</v>
      </c>
      <c r="T116" s="62">
        <f t="shared" si="88"/>
        <v>367.95449187183942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250.08671999999999</v>
      </c>
      <c r="AK116" s="14">
        <f t="shared" si="89"/>
        <v>60.604510260306157</v>
      </c>
      <c r="AL116" s="22">
        <f t="shared" si="58"/>
        <v>541.12055937003322</v>
      </c>
      <c r="AM116" s="62">
        <f t="shared" si="59"/>
        <v>821.7658654989209</v>
      </c>
      <c r="AN116" s="62">
        <f ca="1">AVERAGE(OFFSET($AM$3,0,0,'Données projet'!$E$10+1,1))-AVERAGE(OFFSET($H$3,0,0,'Données projet'!$E$10+1,1))</f>
        <v>406.87679146534634</v>
      </c>
      <c r="AO116" s="62">
        <f t="shared" si="90"/>
        <v>252.43382636914751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62.870522503922729</v>
      </c>
      <c r="BJ116" s="62">
        <f t="shared" si="92"/>
        <v>322.87462304389692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10.083873259366451</v>
      </c>
      <c r="BQ116" s="23">
        <f>EXP(-LN(2)/25)*BQ115+(1-EXP(-LN(2)/25))/(LN(2)/25)*Calculateur!BL116*Calculateur!BN116*VLOOKUP('Données projet'!$B$11,Paramètres!$A$1:$I$89,3,0)*0.475*44/12</f>
        <v>1.2603436999184576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11.344216959284909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199.99576079505897</v>
      </c>
      <c r="CE116" s="62">
        <f t="shared" si="94"/>
        <v>407.41464279973172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19.09396672118886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8.5528771519238262E-11</v>
      </c>
      <c r="CN116" s="24">
        <f t="shared" si="66"/>
        <v>19.093966721274388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-5.1431925385259088E-14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376.68007030857598</v>
      </c>
      <c r="CZ116" s="62">
        <f t="shared" si="96"/>
        <v>532.90758914457626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-9.9316821433603781E-14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354.90450119887635</v>
      </c>
      <c r="T117" s="62">
        <f t="shared" si="88"/>
        <v>367.95449187183942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253.52495999999999</v>
      </c>
      <c r="AK117" s="14">
        <f t="shared" si="89"/>
        <v>61.340141798422209</v>
      </c>
      <c r="AL117" s="22">
        <f t="shared" si="58"/>
        <v>548.39005229891859</v>
      </c>
      <c r="AM117" s="62">
        <f t="shared" si="59"/>
        <v>829.25546733362398</v>
      </c>
      <c r="AN117" s="62">
        <f ca="1">AVERAGE(OFFSET($AM$3,0,0,'Données projet'!$E$10+1,1))-AVERAGE(OFFSET($H$3,0,0,'Données projet'!$E$10+1,1))</f>
        <v>406.87679146534634</v>
      </c>
      <c r="AO117" s="62">
        <f t="shared" si="90"/>
        <v>252.43382636914751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62.870522503922729</v>
      </c>
      <c r="BJ117" s="62">
        <f t="shared" si="92"/>
        <v>322.87462304389692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9.8861346553056464</v>
      </c>
      <c r="BQ117" s="23">
        <f>EXP(-LN(2)/25)*BQ116+(1-EXP(-LN(2)/25))/(LN(2)/25)*Calculateur!BL117*Calculateur!BN117*VLOOKUP('Données projet'!$B$11,Paramètres!$A$1:$I$89,3,0)*0.475*44/12</f>
        <v>1.2258795351655927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11.112014190471239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199.99576079505897</v>
      </c>
      <c r="CE117" s="62">
        <f t="shared" si="94"/>
        <v>407.41464279973172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18.719545679956081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6.0477974327808227E-11</v>
      </c>
      <c r="CN117" s="24">
        <f t="shared" si="66"/>
        <v>18.719545680016559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-5.1431925385259088E-14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376.68007030857598</v>
      </c>
      <c r="CZ117" s="62">
        <f t="shared" si="96"/>
        <v>532.90758914457626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-9.9316821433603781E-14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354.90450119887635</v>
      </c>
      <c r="T118" s="62">
        <f t="shared" si="88"/>
        <v>367.95449187183942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256.96320000000003</v>
      </c>
      <c r="AK118" s="14">
        <f t="shared" si="89"/>
        <v>62.074612956838024</v>
      </c>
      <c r="AL118" s="22">
        <f t="shared" si="58"/>
        <v>555.65752423315951</v>
      </c>
      <c r="AM118" s="62">
        <f t="shared" si="59"/>
        <v>836.73922977625671</v>
      </c>
      <c r="AN118" s="62">
        <f ca="1">AVERAGE(OFFSET($AM$3,0,0,'Données projet'!$E$10+1,1))-AVERAGE(OFFSET($H$3,0,0,'Données projet'!$E$10+1,1))</f>
        <v>406.87679146534634</v>
      </c>
      <c r="AO118" s="62">
        <f t="shared" si="90"/>
        <v>252.43382636914751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62.870522503922729</v>
      </c>
      <c r="BJ118" s="62">
        <f t="shared" si="92"/>
        <v>322.87462304389692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9.6922735846618338</v>
      </c>
      <c r="BQ118" s="23">
        <f>EXP(-LN(2)/25)*BQ117+(1-EXP(-LN(2)/25))/(LN(2)/25)*Calculateur!BL118*Calculateur!BN118*VLOOKUP('Données projet'!$B$11,Paramètres!$A$1:$I$89,3,0)*0.475*44/12</f>
        <v>1.1923577948102866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10.88463137947212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199.99576079505897</v>
      </c>
      <c r="CE118" s="62">
        <f t="shared" si="94"/>
        <v>407.41464279973172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18.352466806967595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4.2764385759619131E-11</v>
      </c>
      <c r="CN118" s="24">
        <f t="shared" si="66"/>
        <v>18.352466807010359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-5.1431925385259088E-14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376.68007030857598</v>
      </c>
      <c r="CZ118" s="62">
        <f t="shared" si="96"/>
        <v>532.90758914457626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-9.9316821433603781E-14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354.90450119887635</v>
      </c>
      <c r="T119" s="62">
        <f t="shared" si="88"/>
        <v>367.95449187183942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243.93407999999999</v>
      </c>
      <c r="AK119" s="14">
        <f t="shared" si="89"/>
        <v>59.285164329617594</v>
      </c>
      <c r="AL119" s="22">
        <f t="shared" si="58"/>
        <v>528.10685054075066</v>
      </c>
      <c r="AM119" s="62">
        <f t="shared" si="59"/>
        <v>809.40109443547215</v>
      </c>
      <c r="AN119" s="62">
        <f ca="1">AVERAGE(OFFSET($AM$3,0,0,'Données projet'!$E$10+1,1))-AVERAGE(OFFSET($H$3,0,0,'Données projet'!$E$10+1,1))</f>
        <v>406.87679146534634</v>
      </c>
      <c r="AO119" s="62">
        <f t="shared" si="90"/>
        <v>252.43382636914751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62.870522503922729</v>
      </c>
      <c r="BJ119" s="62">
        <f t="shared" si="92"/>
        <v>322.87462304389692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9.5022140113697695</v>
      </c>
      <c r="BQ119" s="23">
        <f>EXP(-LN(2)/25)*BQ118+(1-EXP(-LN(2)/25))/(LN(2)/25)*Calculateur!BL119*Calculateur!BN119*VLOOKUP('Données projet'!$B$11,Paramètres!$A$1:$I$89,3,0)*0.475*44/12</f>
        <v>1.1597527082078281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10.661966719577597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199.99576079505897</v>
      </c>
      <c r="CE119" s="62">
        <f t="shared" si="94"/>
        <v>407.41464279973172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17.992586126782406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3.0238987163904113E-11</v>
      </c>
      <c r="CN119" s="24">
        <f t="shared" si="66"/>
        <v>17.992586126812647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-5.1431925385259088E-14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376.68007030857598</v>
      </c>
      <c r="CZ119" s="62">
        <f t="shared" si="96"/>
        <v>532.90758914457626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-9.9316821433603781E-14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354.90450119887635</v>
      </c>
      <c r="T120" s="62">
        <f t="shared" si="88"/>
        <v>367.95449187183942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247.19136000000003</v>
      </c>
      <c r="AK120" s="14">
        <f t="shared" si="89"/>
        <v>59.984117969781565</v>
      </c>
      <c r="AL120" s="22">
        <f t="shared" si="58"/>
        <v>534.99729079736949</v>
      </c>
      <c r="AM120" s="62">
        <f t="shared" si="59"/>
        <v>816.50038597847913</v>
      </c>
      <c r="AN120" s="62">
        <f ca="1">AVERAGE(OFFSET($AM$3,0,0,'Données projet'!$E$10+1,1))-AVERAGE(OFFSET($H$3,0,0,'Données projet'!$E$10+1,1))</f>
        <v>406.87679146534634</v>
      </c>
      <c r="AO120" s="62">
        <f t="shared" si="90"/>
        <v>252.43382636914751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62.870522503922729</v>
      </c>
      <c r="BJ120" s="62">
        <f t="shared" si="92"/>
        <v>322.87462304389692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9.3158813903850692</v>
      </c>
      <c r="BQ120" s="23">
        <f>EXP(-LN(2)/25)*BQ119+(1-EXP(-LN(2)/25))/(LN(2)/25)*Calculateur!BL120*Calculateur!BN120*VLOOKUP('Données projet'!$B$11,Paramètres!$A$1:$I$89,3,0)*0.475*44/12</f>
        <v>1.1280392094131406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10.44392059979821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199.99576079505897</v>
      </c>
      <c r="CE120" s="62">
        <f t="shared" si="94"/>
        <v>407.41464279973172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17.639762487230108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2.1382192879809566E-11</v>
      </c>
      <c r="CN120" s="24">
        <f t="shared" si="66"/>
        <v>17.639762487251492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-5.1431925385259088E-14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376.68007030857598</v>
      </c>
      <c r="CZ120" s="62">
        <f t="shared" si="96"/>
        <v>532.90758914457626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-9.9316821433603781E-14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354.90450119887635</v>
      </c>
      <c r="T121" s="62">
        <f t="shared" si="88"/>
        <v>367.95449187183942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250.44864000000007</v>
      </c>
      <c r="AK121" s="14">
        <f t="shared" si="89"/>
        <v>60.682000328890055</v>
      </c>
      <c r="AL121" s="22">
        <f t="shared" si="58"/>
        <v>541.88586523948368</v>
      </c>
      <c r="AM121" s="62">
        <f t="shared" si="59"/>
        <v>823.59418860408414</v>
      </c>
      <c r="AN121" s="62">
        <f ca="1">AVERAGE(OFFSET($AM$3,0,0,'Données projet'!$E$10+1,1))-AVERAGE(OFFSET($H$3,0,0,'Données projet'!$E$10+1,1))</f>
        <v>406.87679146534634</v>
      </c>
      <c r="AO121" s="62">
        <f t="shared" si="90"/>
        <v>252.43382636914751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62.870522503922729</v>
      </c>
      <c r="BJ121" s="62">
        <f t="shared" si="92"/>
        <v>322.87462304389692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9.1332026384462033</v>
      </c>
      <c r="BQ121" s="23">
        <f>EXP(-LN(2)/25)*BQ120+(1-EXP(-LN(2)/25))/(LN(2)/25)*Calculateur!BL121*Calculateur!BN121*VLOOKUP('Données projet'!$B$11,Paramètres!$A$1:$I$89,3,0)*0.475*44/12</f>
        <v>1.0971929179107345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10.230395556356937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199.99576079505897</v>
      </c>
      <c r="CE121" s="62">
        <f t="shared" si="94"/>
        <v>407.41464279973172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17.293857504048262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1.5119493581952057E-11</v>
      </c>
      <c r="CN121" s="24">
        <f t="shared" si="66"/>
        <v>17.293857504063382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-5.1431925385259088E-14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376.68007030857598</v>
      </c>
      <c r="CZ121" s="62">
        <f t="shared" si="96"/>
        <v>532.90758914457626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-9.9316821433603781E-14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354.90450119887635</v>
      </c>
      <c r="T122" s="62">
        <f t="shared" si="88"/>
        <v>367.95449187183942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253.70592000000005</v>
      </c>
      <c r="AK122" s="14">
        <f t="shared" si="89"/>
        <v>61.378826950685919</v>
      </c>
      <c r="AL122" s="22">
        <f t="shared" si="58"/>
        <v>548.77260093911138</v>
      </c>
      <c r="AM122" s="62">
        <f t="shared" si="59"/>
        <v>830.68259223704058</v>
      </c>
      <c r="AN122" s="62">
        <f ca="1">AVERAGE(OFFSET($AM$3,0,0,'Données projet'!$E$10+1,1))-AVERAGE(OFFSET($H$3,0,0,'Données projet'!$E$10+1,1))</f>
        <v>406.87679146534634</v>
      </c>
      <c r="AO122" s="62">
        <f t="shared" si="90"/>
        <v>252.43382636914751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62.870522503922729</v>
      </c>
      <c r="BJ122" s="62">
        <f t="shared" si="92"/>
        <v>322.87462304389692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8.9541061054098208</v>
      </c>
      <c r="BQ122" s="23">
        <f>EXP(-LN(2)/25)*BQ121+(1-EXP(-LN(2)/25))/(LN(2)/25)*Calculateur!BL122*Calculateur!BN122*VLOOKUP('Données projet'!$B$11,Paramètres!$A$1:$I$89,3,0)*0.475*44/12</f>
        <v>1.0671901198715976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10.021296225281418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199.99576079505897</v>
      </c>
      <c r="CE122" s="62">
        <f t="shared" si="94"/>
        <v>407.41464279973172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16.954735506605402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1.0691096439904783E-11</v>
      </c>
      <c r="CN122" s="24">
        <f t="shared" si="66"/>
        <v>16.954735506616093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-5.1431925385259088E-14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376.68007030857598</v>
      </c>
      <c r="CZ122" s="62">
        <f t="shared" si="96"/>
        <v>532.90758914457626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-9.9316821433603781E-14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354.90450119887635</v>
      </c>
      <c r="T123" s="62">
        <f t="shared" si="88"/>
        <v>367.95449187183942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256.96320000000009</v>
      </c>
      <c r="AK123" s="14">
        <f t="shared" si="89"/>
        <v>62.074612956838024</v>
      </c>
      <c r="AL123" s="22">
        <f t="shared" si="58"/>
        <v>555.65752423315973</v>
      </c>
      <c r="AM123" s="62">
        <f t="shared" si="59"/>
        <v>837.76568497663629</v>
      </c>
      <c r="AN123" s="62">
        <f ca="1">AVERAGE(OFFSET($AM$3,0,0,'Données projet'!$E$10+1,1))-AVERAGE(OFFSET($H$3,0,0,'Données projet'!$E$10+1,1))</f>
        <v>406.87679146534634</v>
      </c>
      <c r="AO123" s="62">
        <f t="shared" si="90"/>
        <v>252.43382636914751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62.870522503922729</v>
      </c>
      <c r="BJ123" s="62">
        <f t="shared" si="92"/>
        <v>322.87462304389692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8.778521546148184</v>
      </c>
      <c r="BQ123" s="23">
        <f>EXP(-LN(2)/25)*BQ122+(1-EXP(-LN(2)/25))/(LN(2)/25)*Calculateur!BL123*Calculateur!BN123*VLOOKUP('Données projet'!$B$11,Paramètres!$A$1:$I$89,3,0)*0.475*44/12</f>
        <v>1.0380077499226195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9.8165292960708044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199.99576079505897</v>
      </c>
      <c r="CE123" s="62">
        <f t="shared" si="94"/>
        <v>407.41464279973172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16.622263484688403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7.5597467909760283E-12</v>
      </c>
      <c r="CN123" s="24">
        <f t="shared" si="66"/>
        <v>16.622263484695964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-5.1431925385259088E-14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376.68007030857598</v>
      </c>
      <c r="CZ123" s="62">
        <f t="shared" si="96"/>
        <v>532.90758914457626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-9.9316821433603781E-14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354.90450119887635</v>
      </c>
      <c r="T124" s="62">
        <f t="shared" si="88"/>
        <v>367.95449187183942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1.0286385077051818E-13</v>
      </c>
      <c r="AK124" s="14">
        <f t="shared" si="89"/>
        <v>1.5402366592183556E-12</v>
      </c>
      <c r="AL124" s="22">
        <f t="shared" si="58"/>
        <v>2.8617333882306215E-12</v>
      </c>
      <c r="AM124" s="62">
        <f t="shared" si="59"/>
        <v>282.30289239218723</v>
      </c>
      <c r="AN124" s="62">
        <f ca="1">AVERAGE(OFFSET($AM$3,0,0,'Données projet'!$E$10+1,1))-AVERAGE(OFFSET($H$3,0,0,'Données projet'!$E$10+1,1))</f>
        <v>406.87679146534634</v>
      </c>
      <c r="AO124" s="62">
        <f t="shared" si="90"/>
        <v>252.43382636914751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62.870522503922729</v>
      </c>
      <c r="BJ124" s="62">
        <f t="shared" si="92"/>
        <v>322.87462304389692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8.6063800929976608</v>
      </c>
      <c r="BQ124" s="23">
        <f>EXP(-LN(2)/25)*BQ123+(1-EXP(-LN(2)/25))/(LN(2)/25)*Calculateur!BL124*Calculateur!BN124*VLOOKUP('Données projet'!$B$11,Paramètres!$A$1:$I$89,3,0)*0.475*44/12</f>
        <v>1.0096233734145303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9.6160034664121916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199.99576079505897</v>
      </c>
      <c r="CE124" s="62">
        <f t="shared" si="94"/>
        <v>407.41464279973172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16.296311036333289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5.3455482199523914E-12</v>
      </c>
      <c r="CN124" s="24">
        <f t="shared" si="66"/>
        <v>16.296311036338636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-5.1431925385259088E-14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376.68007030857598</v>
      </c>
      <c r="CZ124" s="62">
        <f t="shared" si="96"/>
        <v>532.90758914457626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-9.9316821433603781E-14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354.90450119887635</v>
      </c>
      <c r="T125" s="62">
        <f t="shared" si="88"/>
        <v>367.95449187183942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1.0286385077051818E-13</v>
      </c>
      <c r="AK125" s="14">
        <f t="shared" si="89"/>
        <v>1.5402366592183556E-12</v>
      </c>
      <c r="AL125" s="22">
        <f t="shared" si="58"/>
        <v>2.8617333882306215E-12</v>
      </c>
      <c r="AM125" s="62">
        <f t="shared" si="59"/>
        <v>282.49424588214464</v>
      </c>
      <c r="AN125" s="62">
        <f ca="1">AVERAGE(OFFSET($AM$3,0,0,'Données projet'!$E$10+1,1))-AVERAGE(OFFSET($H$3,0,0,'Données projet'!$E$10+1,1))</f>
        <v>406.87679146534634</v>
      </c>
      <c r="AO125" s="62">
        <f t="shared" si="90"/>
        <v>252.43382636914751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62.870522503922729</v>
      </c>
      <c r="BJ125" s="62">
        <f t="shared" si="92"/>
        <v>322.87462304389692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8.4376142287475009</v>
      </c>
      <c r="BQ125" s="23">
        <f>EXP(-LN(2)/25)*BQ124+(1-EXP(-LN(2)/25))/(LN(2)/25)*Calculateur!BL125*Calculateur!BN125*VLOOKUP('Données projet'!$B$11,Paramètres!$A$1:$I$89,3,0)*0.475*44/12</f>
        <v>0.98201516917472431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9.4196293979222254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199.99576079505897</v>
      </c>
      <c r="CE125" s="62">
        <f t="shared" si="94"/>
        <v>407.41464279973172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15.976750316679055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3.7798733954880142E-12</v>
      </c>
      <c r="CN125" s="24">
        <f t="shared" si="66"/>
        <v>15.976750316682836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-5.1431925385259088E-14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376.68007030857598</v>
      </c>
      <c r="CZ125" s="62">
        <f t="shared" si="96"/>
        <v>532.90758914457626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-9.9316821433603781E-14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354.90450119887635</v>
      </c>
      <c r="T126" s="62">
        <f t="shared" si="88"/>
        <v>367.95449187183942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1.0286385077051818E-13</v>
      </c>
      <c r="AK126" s="14">
        <f t="shared" si="89"/>
        <v>1.5402366592183556E-12</v>
      </c>
      <c r="AL126" s="22">
        <f t="shared" si="58"/>
        <v>2.8617333882306215E-12</v>
      </c>
      <c r="AM126" s="62">
        <f t="shared" si="59"/>
        <v>282.68227981685351</v>
      </c>
      <c r="AN126" s="62">
        <f ca="1">AVERAGE(OFFSET($AM$3,0,0,'Données projet'!$E$10+1,1))-AVERAGE(OFFSET($H$3,0,0,'Données projet'!$E$10+1,1))</f>
        <v>406.87679146534634</v>
      </c>
      <c r="AO126" s="62">
        <f t="shared" si="90"/>
        <v>252.43382636914751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62.870522503922729</v>
      </c>
      <c r="BJ126" s="62">
        <f t="shared" si="92"/>
        <v>322.87462304389692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8.2721577601582741</v>
      </c>
      <c r="BQ126" s="23">
        <f>EXP(-LN(2)/25)*BQ125+(1-EXP(-LN(2)/25))/(LN(2)/25)*Calculateur!BL126*Calculateur!BN126*VLOOKUP('Données projet'!$B$11,Paramètres!$A$1:$I$89,3,0)*0.475*44/12</f>
        <v>0.95516191273170814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9.2273196728899816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199.99576079505897</v>
      </c>
      <c r="CE126" s="62">
        <f t="shared" si="94"/>
        <v>407.41464279973172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15.663455987824447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2.6727741099761957E-12</v>
      </c>
      <c r="CN126" s="24">
        <f t="shared" si="66"/>
        <v>15.66345598782712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-5.1431925385259088E-14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376.68007030857598</v>
      </c>
      <c r="CZ126" s="62">
        <f t="shared" si="96"/>
        <v>532.90758914457626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-9.9316821433603781E-14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354.90450119887635</v>
      </c>
      <c r="T127" s="62">
        <f t="shared" si="88"/>
        <v>367.95449187183942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1.0286385077051818E-13</v>
      </c>
      <c r="AK127" s="14">
        <f t="shared" si="89"/>
        <v>1.5402366592183556E-12</v>
      </c>
      <c r="AL127" s="22">
        <f t="shared" si="58"/>
        <v>2.8617333882306215E-12</v>
      </c>
      <c r="AM127" s="62">
        <f t="shared" si="59"/>
        <v>282.86705178317618</v>
      </c>
      <c r="AN127" s="62">
        <f ca="1">AVERAGE(OFFSET($AM$3,0,0,'Données projet'!$E$10+1,1))-AVERAGE(OFFSET($H$3,0,0,'Données projet'!$E$10+1,1))</f>
        <v>406.87679146534634</v>
      </c>
      <c r="AO127" s="62">
        <f t="shared" si="90"/>
        <v>252.43382636914751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62.870522503922729</v>
      </c>
      <c r="BJ127" s="62">
        <f t="shared" si="92"/>
        <v>322.87462304389692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8.1099457919995999</v>
      </c>
      <c r="BQ127" s="23">
        <f>EXP(-LN(2)/25)*BQ126+(1-EXP(-LN(2)/25))/(LN(2)/25)*Calculateur!BL127*Calculateur!BN127*VLOOKUP('Données projet'!$B$11,Paramètres!$A$1:$I$89,3,0)*0.475*44/12</f>
        <v>0.92904295999827768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9.0389887519978771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199.99576079505897</v>
      </c>
      <c r="CE127" s="62">
        <f t="shared" si="94"/>
        <v>407.41464279973172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15.356305169668007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1.8899366977440071E-12</v>
      </c>
      <c r="CN127" s="24">
        <f t="shared" si="66"/>
        <v>15.356305169669897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-5.1431925385259088E-14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376.68007030857598</v>
      </c>
      <c r="CZ127" s="62">
        <f t="shared" si="96"/>
        <v>532.90758914457626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-9.9316821433603781E-14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354.90450119887635</v>
      </c>
      <c r="T128" s="62">
        <f t="shared" si="88"/>
        <v>367.95449187183942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1.0286385077051818E-13</v>
      </c>
      <c r="AK128" s="14">
        <f t="shared" si="89"/>
        <v>1.5402366592183556E-12</v>
      </c>
      <c r="AL128" s="22">
        <f t="shared" si="58"/>
        <v>2.8617333882306215E-12</v>
      </c>
      <c r="AM128" s="62">
        <f t="shared" si="59"/>
        <v>283.04861836897135</v>
      </c>
      <c r="AN128" s="62">
        <f ca="1">AVERAGE(OFFSET($AM$3,0,0,'Données projet'!$E$10+1,1))-AVERAGE(OFFSET($H$3,0,0,'Données projet'!$E$10+1,1))</f>
        <v>406.87679146534634</v>
      </c>
      <c r="AO128" s="62">
        <f t="shared" si="90"/>
        <v>252.43382636914751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62.870522503922729</v>
      </c>
      <c r="BJ128" s="62">
        <f t="shared" si="92"/>
        <v>322.87462304389692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7.9509147015969868</v>
      </c>
      <c r="BQ128" s="23">
        <f>EXP(-LN(2)/25)*BQ127+(1-EXP(-LN(2)/25))/(LN(2)/25)*Calculateur!BL128*Calculateur!BN128*VLOOKUP('Données projet'!$B$11,Paramètres!$A$1:$I$89,3,0)*0.475*44/12</f>
        <v>0.90363823140087884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8.8545529329978656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199.99576079505897</v>
      </c>
      <c r="CE128" s="62">
        <f t="shared" si="94"/>
        <v>407.41464279973172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15.055177391712114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1.3363870549880978E-12</v>
      </c>
      <c r="CN128" s="24">
        <f t="shared" si="66"/>
        <v>15.05517739171345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-5.1431925385259088E-14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376.68007030857598</v>
      </c>
      <c r="CZ128" s="62">
        <f t="shared" si="96"/>
        <v>532.90758914457626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-9.9316821433603781E-14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354.90450119887635</v>
      </c>
      <c r="T129" s="62">
        <f t="shared" si="88"/>
        <v>367.95449187183942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1.0286385077051818E-13</v>
      </c>
      <c r="AK129" s="14">
        <f t="shared" si="89"/>
        <v>1.5402366592183556E-12</v>
      </c>
      <c r="AL129" s="22">
        <f t="shared" si="58"/>
        <v>2.8617333882306215E-12</v>
      </c>
      <c r="AM129" s="62">
        <f t="shared" si="59"/>
        <v>283.22703518042505</v>
      </c>
      <c r="AN129" s="62">
        <f ca="1">AVERAGE(OFFSET($AM$3,0,0,'Données projet'!$E$10+1,1))-AVERAGE(OFFSET($H$3,0,0,'Données projet'!$E$10+1,1))</f>
        <v>406.87679146534634</v>
      </c>
      <c r="AO129" s="62">
        <f t="shared" si="90"/>
        <v>252.43382636914751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62.870522503922729</v>
      </c>
      <c r="BJ129" s="62">
        <f t="shared" si="92"/>
        <v>322.87462304389692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7.7950021138777821</v>
      </c>
      <c r="BQ129" s="23">
        <f>EXP(-LN(2)/25)*BQ128+(1-EXP(-LN(2)/25))/(LN(2)/25)*Calculateur!BL129*Calculateur!BN129*VLOOKUP('Données projet'!$B$11,Paramètres!$A$1:$I$89,3,0)*0.475*44/12</f>
        <v>0.8789281964429525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8.6739303103207348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199.99576079505897</v>
      </c>
      <c r="CE129" s="62">
        <f t="shared" si="94"/>
        <v>407.41464279973172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14.759954545812127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9.4496834887200354E-13</v>
      </c>
      <c r="CN129" s="24">
        <f t="shared" si="66"/>
        <v>14.759954545813072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-5.1431925385259088E-14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376.68007030857598</v>
      </c>
      <c r="CZ129" s="62">
        <f t="shared" si="96"/>
        <v>532.90758914457626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-9.9316821433603781E-14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354.90450119887635</v>
      </c>
      <c r="T130" s="62">
        <f t="shared" si="88"/>
        <v>367.95449187183942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1.0286385077051818E-13</v>
      </c>
      <c r="AK130" s="14">
        <f t="shared" si="89"/>
        <v>1.5402366592183556E-12</v>
      </c>
      <c r="AL130" s="22">
        <f t="shared" si="58"/>
        <v>2.8617333882306215E-12</v>
      </c>
      <c r="AM130" s="62">
        <f t="shared" si="59"/>
        <v>283.40235685908027</v>
      </c>
      <c r="AN130" s="62">
        <f ca="1">AVERAGE(OFFSET($AM$3,0,0,'Données projet'!$E$10+1,1))-AVERAGE(OFFSET($H$3,0,0,'Données projet'!$E$10+1,1))</f>
        <v>406.87679146534634</v>
      </c>
      <c r="AO130" s="62">
        <f t="shared" si="90"/>
        <v>252.43382636914751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62.870522503922729</v>
      </c>
      <c r="BJ130" s="62">
        <f t="shared" si="92"/>
        <v>322.87462304389692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7.6421468769064624</v>
      </c>
      <c r="BQ130" s="23">
        <f>EXP(-LN(2)/25)*BQ129+(1-EXP(-LN(2)/25))/(LN(2)/25)*Calculateur!BL130*Calculateur!BN130*VLOOKUP('Données projet'!$B$11,Paramètres!$A$1:$I$89,3,0)*0.475*44/12</f>
        <v>0.85489385869039491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8.4970407355968582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199.99576079505897</v>
      </c>
      <c r="CE130" s="62">
        <f t="shared" si="94"/>
        <v>407.41464279973172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14.470520839852083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6.6819352749404892E-13</v>
      </c>
      <c r="CN130" s="24">
        <f t="shared" si="66"/>
        <v>14.470520839852751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-5.1431925385259088E-14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376.68007030857598</v>
      </c>
      <c r="CZ130" s="62">
        <f t="shared" si="96"/>
        <v>532.90758914457626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-9.9316821433603781E-14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354.90450119887635</v>
      </c>
      <c r="T131" s="62">
        <f t="shared" si="88"/>
        <v>367.95449187183942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1.0286385077051818E-13</v>
      </c>
      <c r="AK131" s="14">
        <f t="shared" si="89"/>
        <v>1.5402366592183556E-12</v>
      </c>
      <c r="AL131" s="22">
        <f t="shared" si="58"/>
        <v>2.8617333882306215E-12</v>
      </c>
      <c r="AM131" s="62">
        <f t="shared" si="59"/>
        <v>283.57463709857137</v>
      </c>
      <c r="AN131" s="62">
        <f ca="1">AVERAGE(OFFSET($AM$3,0,0,'Données projet'!$E$10+1,1))-AVERAGE(OFFSET($H$3,0,0,'Données projet'!$E$10+1,1))</f>
        <v>406.87679146534634</v>
      </c>
      <c r="AO131" s="62">
        <f t="shared" si="90"/>
        <v>252.43382636914751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62.870522503922729</v>
      </c>
      <c r="BJ131" s="62">
        <f t="shared" si="92"/>
        <v>322.87462304389692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7.4922890378996616</v>
      </c>
      <c r="BQ131" s="23">
        <f>EXP(-LN(2)/25)*BQ130+(1-EXP(-LN(2)/25))/(LN(2)/25)*Calculateur!BL131*Calculateur!BN131*VLOOKUP('Données projet'!$B$11,Paramètres!$A$1:$I$89,3,0)*0.475*44/12</f>
        <v>0.83151674116759189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8.3238057790672535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199.99576079505897</v>
      </c>
      <c r="CE131" s="62">
        <f t="shared" si="94"/>
        <v>407.41464279973172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14.186762752328788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4.7248417443600177E-13</v>
      </c>
      <c r="CN131" s="24">
        <f t="shared" si="66"/>
        <v>14.18676275232926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-5.1431925385259088E-14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376.68007030857598</v>
      </c>
      <c r="CZ131" s="62">
        <f t="shared" si="96"/>
        <v>532.90758914457626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-9.9316821433603781E-14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354.90450119887635</v>
      </c>
      <c r="T132" s="62">
        <f t="shared" si="88"/>
        <v>367.95449187183942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1.0286385077051818E-13</v>
      </c>
      <c r="AK132" s="14">
        <f t="shared" si="89"/>
        <v>1.5402366592183556E-12</v>
      </c>
      <c r="AL132" s="22">
        <f t="shared" ref="AL132:AL153" si="112">(AJ132+AK132)*0.475*44/12</f>
        <v>2.8617333882306215E-12</v>
      </c>
      <c r="AM132" s="62">
        <f t="shared" ref="AM132:AM195" si="113">AL132+(AD132+AE132)*44/12</f>
        <v>283.7439286610682</v>
      </c>
      <c r="AN132" s="62">
        <f ca="1">AVERAGE(OFFSET($AM$3,0,0,'Données projet'!$E$10+1,1))-AVERAGE(OFFSET($H$3,0,0,'Données projet'!$E$10+1,1))</f>
        <v>406.87679146534634</v>
      </c>
      <c r="AO132" s="62">
        <f t="shared" si="90"/>
        <v>252.43382636914751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62.870522503922729</v>
      </c>
      <c r="BJ132" s="62">
        <f t="shared" si="92"/>
        <v>322.87462304389692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7.3453698197115278</v>
      </c>
      <c r="BQ132" s="23">
        <f>EXP(-LN(2)/25)*BQ131+(1-EXP(-LN(2)/25))/(LN(2)/25)*Calculateur!BL132*Calculateur!BN132*VLOOKUP('Données projet'!$B$11,Paramètres!$A$1:$I$89,3,0)*0.475*44/12</f>
        <v>0.80877887215279909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8.1541486918643269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199.99576079505897</v>
      </c>
      <c r="CE132" s="62">
        <f t="shared" si="94"/>
        <v>407.41464279973172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13.908568987826479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3.3409676374702446E-13</v>
      </c>
      <c r="CN132" s="24">
        <f t="shared" ref="CN132:CN153" si="120">SUM(CK132:CM132)</f>
        <v>13.908568987826813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-5.1431925385259088E-14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376.68007030857598</v>
      </c>
      <c r="CZ132" s="62">
        <f t="shared" si="96"/>
        <v>532.90758914457626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-9.9316821433603781E-14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354.90450119887635</v>
      </c>
      <c r="T133" s="62">
        <f t="shared" ref="T133:T196" si="142">$T$3</f>
        <v>367.95449187183942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1.0286385077051818E-13</v>
      </c>
      <c r="AK133" s="14">
        <f t="shared" ref="AK133:AK153" si="143">EXP(-1.0587+0.8836*LN(AJ133)+0.284)</f>
        <v>1.5402366592183556E-12</v>
      </c>
      <c r="AL133" s="22">
        <f t="shared" si="112"/>
        <v>2.8617333882306215E-12</v>
      </c>
      <c r="AM133" s="62">
        <f t="shared" si="113"/>
        <v>283.91028339343495</v>
      </c>
      <c r="AN133" s="62">
        <f ca="1">AVERAGE(OFFSET($AM$3,0,0,'Données projet'!$E$10+1,1))-AVERAGE(OFFSET($H$3,0,0,'Données projet'!$E$10+1,1))</f>
        <v>406.87679146534634</v>
      </c>
      <c r="AO133" s="62">
        <f t="shared" ref="AO133:AO196" si="144">$AO$3</f>
        <v>252.43382636914751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62.870522503922729</v>
      </c>
      <c r="BJ133" s="62">
        <f t="shared" ref="BJ133:BJ196" si="146">$BJ$3</f>
        <v>322.87462304389692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7.2013315977801886</v>
      </c>
      <c r="BQ133" s="23">
        <f>EXP(-LN(2)/25)*BQ132+(1-EXP(-LN(2)/25))/(LN(2)/25)*Calculateur!BL133*Calculateur!BN133*VLOOKUP('Données projet'!$B$11,Paramètres!$A$1:$I$89,3,0)*0.475*44/12</f>
        <v>0.7866627713619484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7.9879943691421369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199.99576079505897</v>
      </c>
      <c r="CE133" s="62">
        <f t="shared" ref="CE133:CE196" si="148">$CE$3</f>
        <v>407.41464279973172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13.635830433364619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2.3624208721800089E-13</v>
      </c>
      <c r="CN133" s="24">
        <f t="shared" si="120"/>
        <v>13.635830433364855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-5.1431925385259088E-14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376.68007030857598</v>
      </c>
      <c r="CZ133" s="62">
        <f t="shared" ref="CZ133:CZ196" si="150">$CZ$3</f>
        <v>532.90758914457626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-9.9316821433603781E-14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354.90450119887635</v>
      </c>
      <c r="T134" s="62">
        <f t="shared" si="142"/>
        <v>367.95449187183942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1.0286385077051818E-13</v>
      </c>
      <c r="AK134" s="14">
        <f t="shared" si="143"/>
        <v>1.5402366592183556E-12</v>
      </c>
      <c r="AL134" s="22">
        <f t="shared" si="112"/>
        <v>2.8617333882306215E-12</v>
      </c>
      <c r="AM134" s="62">
        <f t="shared" si="113"/>
        <v>284.07375224310857</v>
      </c>
      <c r="AN134" s="62">
        <f ca="1">AVERAGE(OFFSET($AM$3,0,0,'Données projet'!$E$10+1,1))-AVERAGE(OFFSET($H$3,0,0,'Données projet'!$E$10+1,1))</f>
        <v>406.87679146534634</v>
      </c>
      <c r="AO134" s="62">
        <f t="shared" si="144"/>
        <v>252.43382636914751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62.870522503922729</v>
      </c>
      <c r="BJ134" s="62">
        <f t="shared" si="146"/>
        <v>322.87462304389692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7.0601178775262827</v>
      </c>
      <c r="BQ134" s="23">
        <f>EXP(-LN(2)/25)*BQ133+(1-EXP(-LN(2)/25))/(LN(2)/25)*Calculateur!BL134*Calculateur!BN134*VLOOKUP('Données projet'!$B$11,Paramètres!$A$1:$I$89,3,0)*0.475*44/12</f>
        <v>0.76515143651025874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7.8252693140365412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199.99576079505897</v>
      </c>
      <c r="CE134" s="62">
        <f t="shared" si="148"/>
        <v>407.41464279973172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13.368440115601665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1.6704838187351223E-13</v>
      </c>
      <c r="CN134" s="24">
        <f t="shared" si="120"/>
        <v>13.368440115601832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-5.1431925385259088E-14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376.68007030857598</v>
      </c>
      <c r="CZ134" s="62">
        <f t="shared" si="150"/>
        <v>532.90758914457626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-9.9316821433603781E-14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354.90450119887635</v>
      </c>
      <c r="T135" s="62">
        <f t="shared" si="142"/>
        <v>367.95449187183942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1.0286385077051818E-13</v>
      </c>
      <c r="AK135" s="14">
        <f t="shared" si="143"/>
        <v>1.5402366592183556E-12</v>
      </c>
      <c r="AL135" s="22">
        <f t="shared" si="112"/>
        <v>2.8617333882306215E-12</v>
      </c>
      <c r="AM135" s="62">
        <f t="shared" si="113"/>
        <v>284.234385273702</v>
      </c>
      <c r="AN135" s="62">
        <f ca="1">AVERAGE(OFFSET($AM$3,0,0,'Données projet'!$E$10+1,1))-AVERAGE(OFFSET($H$3,0,0,'Données projet'!$E$10+1,1))</f>
        <v>406.87679146534634</v>
      </c>
      <c r="AO135" s="62">
        <f t="shared" si="144"/>
        <v>252.43382636914751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62.870522503922729</v>
      </c>
      <c r="BJ135" s="62">
        <f t="shared" si="146"/>
        <v>322.87462304389692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6.921673272194691</v>
      </c>
      <c r="BQ135" s="23">
        <f>EXP(-LN(2)/25)*BQ134+(1-EXP(-LN(2)/25))/(LN(2)/25)*Calculateur!BL135*Calculateur!BN135*VLOOKUP('Données projet'!$B$11,Paramètres!$A$1:$I$89,3,0)*0.475*44/12</f>
        <v>0.7442283302413204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7.6659016024360112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199.99576079505897</v>
      </c>
      <c r="CE135" s="62">
        <f t="shared" si="148"/>
        <v>407.41464279973172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13.106293158878051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1.1812104360900044E-13</v>
      </c>
      <c r="CN135" s="24">
        <f t="shared" si="120"/>
        <v>13.106293158878168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-5.1431925385259088E-14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376.68007030857598</v>
      </c>
      <c r="CZ135" s="62">
        <f t="shared" si="150"/>
        <v>532.90758914457626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-9.9316821433603781E-14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354.90450119887635</v>
      </c>
      <c r="T136" s="62">
        <f t="shared" si="142"/>
        <v>367.95449187183942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1.0286385077051818E-13</v>
      </c>
      <c r="AK136" s="14">
        <f t="shared" si="143"/>
        <v>1.5402366592183556E-12</v>
      </c>
      <c r="AL136" s="22">
        <f t="shared" si="112"/>
        <v>2.8617333882306215E-12</v>
      </c>
      <c r="AM136" s="62">
        <f t="shared" si="113"/>
        <v>284.39223168033624</v>
      </c>
      <c r="AN136" s="62">
        <f ca="1">AVERAGE(OFFSET($AM$3,0,0,'Données projet'!$E$10+1,1))-AVERAGE(OFFSET($H$3,0,0,'Données projet'!$E$10+1,1))</f>
        <v>406.87679146534634</v>
      </c>
      <c r="AO136" s="62">
        <f t="shared" si="144"/>
        <v>252.43382636914751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62.870522503922729</v>
      </c>
      <c r="BJ136" s="62">
        <f t="shared" si="146"/>
        <v>322.87462304389692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6.7859434811307811</v>
      </c>
      <c r="BQ136" s="23">
        <f>EXP(-LN(2)/25)*BQ135+(1-EXP(-LN(2)/25))/(LN(2)/25)*Calculateur!BL136*Calculateur!BN136*VLOOKUP('Données projet'!$B$11,Paramètres!$A$1:$I$89,3,0)*0.475*44/12</f>
        <v>0.72387736741360453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7.5098208485443854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199.99576079505897</v>
      </c>
      <c r="CE136" s="62">
        <f t="shared" si="148"/>
        <v>407.41464279973172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12.849286744081933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8.3524190936756116E-14</v>
      </c>
      <c r="CN136" s="24">
        <f t="shared" si="120"/>
        <v>12.849286744082017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-5.1431925385259088E-14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376.68007030857598</v>
      </c>
      <c r="CZ136" s="62">
        <f t="shared" si="150"/>
        <v>532.90758914457626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-9.9316821433603781E-14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354.90450119887635</v>
      </c>
      <c r="T137" s="62">
        <f t="shared" si="142"/>
        <v>367.95449187183942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1.0286385077051818E-13</v>
      </c>
      <c r="AK137" s="14">
        <f t="shared" si="143"/>
        <v>1.5402366592183556E-12</v>
      </c>
      <c r="AL137" s="22">
        <f t="shared" si="112"/>
        <v>2.8617333882306215E-12</v>
      </c>
      <c r="AM137" s="62">
        <f t="shared" si="113"/>
        <v>284.54733980470712</v>
      </c>
      <c r="AN137" s="62">
        <f ca="1">AVERAGE(OFFSET($AM$3,0,0,'Données projet'!$E$10+1,1))-AVERAGE(OFFSET($H$3,0,0,'Données projet'!$E$10+1,1))</f>
        <v>406.87679146534634</v>
      </c>
      <c r="AO137" s="62">
        <f t="shared" si="144"/>
        <v>252.43382636914751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62.870522503922729</v>
      </c>
      <c r="BJ137" s="62">
        <f t="shared" si="146"/>
        <v>322.87462304389692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6.652875268482636</v>
      </c>
      <c r="BQ137" s="23">
        <f>EXP(-LN(2)/25)*BQ136+(1-EXP(-LN(2)/25))/(LN(2)/25)*Calculateur!BL137*Calculateur!BN137*VLOOKUP('Données projet'!$B$11,Paramètres!$A$1:$I$89,3,0)*0.475*44/12</f>
        <v>0.70408290273462326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7.3569581712172596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199.99576079505897</v>
      </c>
      <c r="CE137" s="62">
        <f t="shared" si="148"/>
        <v>407.41464279973172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12.597320068321531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5.9060521804500221E-14</v>
      </c>
      <c r="CN137" s="24">
        <f t="shared" si="120"/>
        <v>12.59732006832159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-5.1431925385259088E-14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376.68007030857598</v>
      </c>
      <c r="CZ137" s="62">
        <f t="shared" si="150"/>
        <v>532.90758914457626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-9.9316821433603781E-14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354.90450119887635</v>
      </c>
      <c r="T138" s="62">
        <f t="shared" si="142"/>
        <v>367.95449187183942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1.0286385077051818E-13</v>
      </c>
      <c r="AK138" s="14">
        <f t="shared" si="143"/>
        <v>1.5402366592183556E-12</v>
      </c>
      <c r="AL138" s="22">
        <f t="shared" si="112"/>
        <v>2.8617333882306215E-12</v>
      </c>
      <c r="AM138" s="62">
        <f t="shared" si="113"/>
        <v>284.69975714988999</v>
      </c>
      <c r="AN138" s="62">
        <f ca="1">AVERAGE(OFFSET($AM$3,0,0,'Données projet'!$E$10+1,1))-AVERAGE(OFFSET($H$3,0,0,'Données projet'!$E$10+1,1))</f>
        <v>406.87679146534634</v>
      </c>
      <c r="AO138" s="62">
        <f t="shared" si="144"/>
        <v>252.43382636914751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62.870522503922729</v>
      </c>
      <c r="BJ138" s="62">
        <f t="shared" si="146"/>
        <v>322.87462304389692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6.5224164423209254</v>
      </c>
      <c r="BQ138" s="23">
        <f>EXP(-LN(2)/25)*BQ137+(1-EXP(-LN(2)/25))/(LN(2)/25)*Calculateur!BL138*Calculateur!BN138*VLOOKUP('Données projet'!$B$11,Paramètres!$A$1:$I$89,3,0)*0.475*44/12</f>
        <v>0.68482971873323428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7.2072461610541598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199.99576079505897</v>
      </c>
      <c r="CE138" s="62">
        <f t="shared" si="148"/>
        <v>407.41464279973172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12.350294305388294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4.1762095468378058E-14</v>
      </c>
      <c r="CN138" s="24">
        <f t="shared" si="120"/>
        <v>12.350294305388337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-5.1431925385259088E-14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376.68007030857598</v>
      </c>
      <c r="CZ138" s="62">
        <f t="shared" si="150"/>
        <v>532.90758914457626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-9.9316821433603781E-14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354.90450119887635</v>
      </c>
      <c r="T139" s="62">
        <f t="shared" si="142"/>
        <v>367.95449187183942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1.0286385077051818E-13</v>
      </c>
      <c r="AK139" s="14">
        <f t="shared" si="143"/>
        <v>1.5402366592183556E-12</v>
      </c>
      <c r="AL139" s="22">
        <f t="shared" si="112"/>
        <v>2.8617333882306215E-12</v>
      </c>
      <c r="AM139" s="62">
        <f t="shared" si="113"/>
        <v>284.84953039488806</v>
      </c>
      <c r="AN139" s="62">
        <f ca="1">AVERAGE(OFFSET($AM$3,0,0,'Données projet'!$E$10+1,1))-AVERAGE(OFFSET($H$3,0,0,'Données projet'!$E$10+1,1))</f>
        <v>406.87679146534634</v>
      </c>
      <c r="AO139" s="62">
        <f t="shared" si="144"/>
        <v>252.43382636914751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62.870522503922729</v>
      </c>
      <c r="BJ139" s="62">
        <f t="shared" si="146"/>
        <v>322.87462304389692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6.3945158341682191</v>
      </c>
      <c r="BQ139" s="23">
        <f>EXP(-LN(2)/25)*BQ138+(1-EXP(-LN(2)/25))/(LN(2)/25)*Calculateur!BL139*Calculateur!BN139*VLOOKUP('Données projet'!$B$11,Paramètres!$A$1:$I$89,3,0)*0.475*44/12</f>
        <v>0.66610301406084427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7.0606188482290637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199.99576079505897</v>
      </c>
      <c r="CE139" s="62">
        <f t="shared" si="148"/>
        <v>407.41464279973172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12.10811256699534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2.9530260902250111E-14</v>
      </c>
      <c r="CN139" s="24">
        <f t="shared" si="120"/>
        <v>12.10811256699537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-5.1431925385259088E-14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376.68007030857598</v>
      </c>
      <c r="CZ139" s="62">
        <f t="shared" si="150"/>
        <v>532.90758914457626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-9.9316821433603781E-14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354.90450119887635</v>
      </c>
      <c r="T140" s="62">
        <f t="shared" si="142"/>
        <v>367.95449187183942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1.0286385077051818E-13</v>
      </c>
      <c r="AK140" s="14">
        <f t="shared" si="143"/>
        <v>1.5402366592183556E-12</v>
      </c>
      <c r="AL140" s="22">
        <f t="shared" si="112"/>
        <v>2.8617333882306215E-12</v>
      </c>
      <c r="AM140" s="62">
        <f t="shared" si="113"/>
        <v>284.99670540892822</v>
      </c>
      <c r="AN140" s="62">
        <f ca="1">AVERAGE(OFFSET($AM$3,0,0,'Données projet'!$E$10+1,1))-AVERAGE(OFFSET($H$3,0,0,'Données projet'!$E$10+1,1))</f>
        <v>406.87679146534634</v>
      </c>
      <c r="AO140" s="62">
        <f t="shared" si="144"/>
        <v>252.43382636914751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62.870522503922729</v>
      </c>
      <c r="BJ140" s="62">
        <f t="shared" si="146"/>
        <v>322.87462304389692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6.2691232789297198</v>
      </c>
      <c r="BQ140" s="23">
        <f>EXP(-LN(2)/25)*BQ139+(1-EXP(-LN(2)/25))/(LN(2)/25)*Calculateur!BL140*Calculateur!BN140*VLOOKUP('Données projet'!$B$11,Paramètres!$A$1:$I$89,3,0)*0.475*44/12</f>
        <v>0.64788839211251537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6.9170116710422356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199.99576079505897</v>
      </c>
      <c r="CE140" s="62">
        <f t="shared" si="148"/>
        <v>407.41464279973172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11.870679864775997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2.0881047734189029E-14</v>
      </c>
      <c r="CN140" s="24">
        <f t="shared" si="120"/>
        <v>11.870679864776019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-5.1431925385259088E-14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376.68007030857598</v>
      </c>
      <c r="CZ140" s="62">
        <f t="shared" si="150"/>
        <v>532.90758914457626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-9.9316821433603781E-14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354.90450119887635</v>
      </c>
      <c r="T141" s="62">
        <f t="shared" si="142"/>
        <v>367.95449187183942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1.0286385077051818E-13</v>
      </c>
      <c r="AK141" s="14">
        <f t="shared" si="143"/>
        <v>1.5402366592183556E-12</v>
      </c>
      <c r="AL141" s="22">
        <f t="shared" si="112"/>
        <v>2.8617333882306215E-12</v>
      </c>
      <c r="AM141" s="62">
        <f t="shared" si="113"/>
        <v>285.14132726550878</v>
      </c>
      <c r="AN141" s="62">
        <f ca="1">AVERAGE(OFFSET($AM$3,0,0,'Données projet'!$E$10+1,1))-AVERAGE(OFFSET($H$3,0,0,'Données projet'!$E$10+1,1))</f>
        <v>406.87679146534634</v>
      </c>
      <c r="AO141" s="62">
        <f t="shared" si="144"/>
        <v>252.43382636914751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62.870522503922729</v>
      </c>
      <c r="BJ141" s="62">
        <f t="shared" si="146"/>
        <v>322.87462304389692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6.1461895952175407</v>
      </c>
      <c r="BQ141" s="23">
        <f>EXP(-LN(2)/25)*BQ140+(1-EXP(-LN(2)/25))/(LN(2)/25)*Calculateur!BL141*Calculateur!BN141*VLOOKUP('Données projet'!$B$11,Paramètres!$A$1:$I$89,3,0)*0.475*44/12</f>
        <v>0.63017184995922881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6.7763614451767697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199.99576079505897</v>
      </c>
      <c r="CE141" s="62">
        <f t="shared" si="148"/>
        <v>407.41464279973172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11.637903073027527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1.4765130451125055E-14</v>
      </c>
      <c r="CN141" s="24">
        <f t="shared" si="120"/>
        <v>11.637903073027541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-5.1431925385259088E-14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376.68007030857598</v>
      </c>
      <c r="CZ141" s="62">
        <f t="shared" si="150"/>
        <v>532.90758914457626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-9.9316821433603781E-14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354.90450119887635</v>
      </c>
      <c r="T142" s="62">
        <f t="shared" si="142"/>
        <v>367.95449187183942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1.0286385077051818E-13</v>
      </c>
      <c r="AK142" s="14">
        <f t="shared" si="143"/>
        <v>1.5402366592183556E-12</v>
      </c>
      <c r="AL142" s="22">
        <f t="shared" si="112"/>
        <v>2.8617333882306215E-12</v>
      </c>
      <c r="AM142" s="62">
        <f t="shared" si="113"/>
        <v>285.28344025620373</v>
      </c>
      <c r="AN142" s="62">
        <f ca="1">AVERAGE(OFFSET($AM$3,0,0,'Données projet'!$E$10+1,1))-AVERAGE(OFFSET($H$3,0,0,'Données projet'!$E$10+1,1))</f>
        <v>406.87679146534634</v>
      </c>
      <c r="AO142" s="62">
        <f t="shared" si="144"/>
        <v>252.43382636914751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62.870522503922729</v>
      </c>
      <c r="BJ142" s="62">
        <f t="shared" si="146"/>
        <v>322.87462304389692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6.0256665660608144</v>
      </c>
      <c r="BQ142" s="23">
        <f>EXP(-LN(2)/25)*BQ141+(1-EXP(-LN(2)/25))/(LN(2)/25)*Calculateur!BL142*Calculateur!BN142*VLOOKUP('Données projet'!$B$11,Paramètres!$A$1:$I$89,3,0)*0.475*44/12</f>
        <v>0.61293976758279634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6.6386063336436107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199.99576079505897</v>
      </c>
      <c r="CE142" s="62">
        <f t="shared" si="148"/>
        <v>407.41464279973172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11.40969089218542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1.0440523867094514E-14</v>
      </c>
      <c r="CN142" s="24">
        <f t="shared" si="120"/>
        <v>11.409690892185431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-5.1431925385259088E-14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376.68007030857598</v>
      </c>
      <c r="CZ142" s="62">
        <f t="shared" si="150"/>
        <v>532.90758914457626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-9.9316821433603781E-14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354.90450119887635</v>
      </c>
      <c r="T143" s="62">
        <f t="shared" si="142"/>
        <v>367.95449187183942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1.0286385077051818E-13</v>
      </c>
      <c r="AK143" s="14">
        <f t="shared" si="143"/>
        <v>1.5402366592183556E-12</v>
      </c>
      <c r="AL143" s="22">
        <f t="shared" si="112"/>
        <v>2.8617333882306215E-12</v>
      </c>
      <c r="AM143" s="62">
        <f t="shared" si="113"/>
        <v>285.4230879042272</v>
      </c>
      <c r="AN143" s="62">
        <f ca="1">AVERAGE(OFFSET($AM$3,0,0,'Données projet'!$E$10+1,1))-AVERAGE(OFFSET($H$3,0,0,'Données projet'!$E$10+1,1))</f>
        <v>406.87679146534634</v>
      </c>
      <c r="AO143" s="62">
        <f t="shared" si="144"/>
        <v>252.43382636914751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62.870522503922729</v>
      </c>
      <c r="BJ143" s="62">
        <f t="shared" si="146"/>
        <v>322.87462304389692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5.907506919994062</v>
      </c>
      <c r="BQ143" s="23">
        <f>EXP(-LN(2)/25)*BQ142+(1-EXP(-LN(2)/25))/(LN(2)/25)*Calculateur!BL143*Calculateur!BN143*VLOOKUP('Données projet'!$B$11,Paramètres!$A$1:$I$89,3,0)*0.475*44/12</f>
        <v>0.59617889740514329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6.5036858173992051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199.99576079505897</v>
      </c>
      <c r="CE143" s="62">
        <f t="shared" si="148"/>
        <v>407.41464279973172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11.185953813013942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7.3825652255625277E-15</v>
      </c>
      <c r="CN143" s="24">
        <f t="shared" si="120"/>
        <v>11.185953813013949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-5.1431925385259088E-14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376.68007030857598</v>
      </c>
      <c r="CZ143" s="62">
        <f t="shared" si="150"/>
        <v>532.90758914457626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-9.9316821433603781E-14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354.90450119887635</v>
      </c>
      <c r="T144" s="62">
        <f t="shared" si="142"/>
        <v>367.95449187183942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1.0286385077051818E-13</v>
      </c>
      <c r="AK144" s="14">
        <f t="shared" si="143"/>
        <v>1.5402366592183556E-12</v>
      </c>
      <c r="AL144" s="22">
        <f t="shared" si="112"/>
        <v>2.8617333882306215E-12</v>
      </c>
      <c r="AM144" s="62">
        <f t="shared" si="113"/>
        <v>285.56031297776286</v>
      </c>
      <c r="AN144" s="62">
        <f ca="1">AVERAGE(OFFSET($AM$3,0,0,'Données projet'!$E$10+1,1))-AVERAGE(OFFSET($H$3,0,0,'Données projet'!$E$10+1,1))</f>
        <v>406.87679146534634</v>
      </c>
      <c r="AO144" s="62">
        <f t="shared" si="144"/>
        <v>252.43382636914751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62.870522503922729</v>
      </c>
      <c r="BJ144" s="62">
        <f t="shared" si="146"/>
        <v>322.87462304389692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5.7916643125164109</v>
      </c>
      <c r="BQ144" s="23">
        <f>EXP(-LN(2)/25)*BQ143+(1-EXP(-LN(2)/25))/(LN(2)/25)*Calculateur!BL144*Calculateur!BN144*VLOOKUP('Données projet'!$B$11,Paramètres!$A$1:$I$89,3,0)*0.475*44/12</f>
        <v>0.57987635410391403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6.3715406666203247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199.99576079505897</v>
      </c>
      <c r="CE144" s="62">
        <f t="shared" si="148"/>
        <v>407.41464279973172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10.966604081498874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5.2202619335472572E-15</v>
      </c>
      <c r="CN144" s="24">
        <f t="shared" si="120"/>
        <v>10.966604081498879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-5.1431925385259088E-14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376.68007030857598</v>
      </c>
      <c r="CZ144" s="62">
        <f t="shared" si="150"/>
        <v>532.90758914457626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-9.9316821433603781E-14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354.90450119887635</v>
      </c>
      <c r="T145" s="62">
        <f t="shared" si="142"/>
        <v>367.95449187183942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1.0286385077051818E-13</v>
      </c>
      <c r="AK145" s="14">
        <f t="shared" si="143"/>
        <v>1.5402366592183556E-12</v>
      </c>
      <c r="AL145" s="22">
        <f t="shared" si="112"/>
        <v>2.8617333882306215E-12</v>
      </c>
      <c r="AM145" s="62">
        <f t="shared" si="113"/>
        <v>285.69515750306192</v>
      </c>
      <c r="AN145" s="62">
        <f ca="1">AVERAGE(OFFSET($AM$3,0,0,'Données projet'!$E$10+1,1))-AVERAGE(OFFSET($H$3,0,0,'Données projet'!$E$10+1,1))</f>
        <v>406.87679146534634</v>
      </c>
      <c r="AO145" s="62">
        <f t="shared" si="144"/>
        <v>252.43382636914751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62.870522503922729</v>
      </c>
      <c r="BJ145" s="62">
        <f t="shared" si="146"/>
        <v>322.87462304389692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5.6780933079143825</v>
      </c>
      <c r="BQ145" s="23">
        <f>EXP(-LN(2)/25)*BQ144+(1-EXP(-LN(2)/25))/(LN(2)/25)*Calculateur!BL145*Calculateur!BN145*VLOOKUP('Données projet'!$B$11,Paramètres!$A$1:$I$89,3,0)*0.475*44/12</f>
        <v>0.56401960470657031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6.2421129126209527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199.99576079505897</v>
      </c>
      <c r="CE145" s="62">
        <f t="shared" si="148"/>
        <v>407.41464279973172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10.75155566442869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3.6912826127812638E-15</v>
      </c>
      <c r="CN145" s="24">
        <f t="shared" si="120"/>
        <v>10.751555664428693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-5.1431925385259088E-14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376.68007030857598</v>
      </c>
      <c r="CZ145" s="62">
        <f t="shared" si="150"/>
        <v>532.90758914457626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-9.9316821433603781E-14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354.90450119887635</v>
      </c>
      <c r="T146" s="62">
        <f t="shared" si="142"/>
        <v>367.95449187183942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1.0286385077051818E-13</v>
      </c>
      <c r="AK146" s="14">
        <f t="shared" si="143"/>
        <v>1.5402366592183556E-12</v>
      </c>
      <c r="AL146" s="22">
        <f t="shared" si="112"/>
        <v>2.8617333882306215E-12</v>
      </c>
      <c r="AM146" s="62">
        <f t="shared" si="113"/>
        <v>285.82766277731429</v>
      </c>
      <c r="AN146" s="62">
        <f ca="1">AVERAGE(OFFSET($AM$3,0,0,'Données projet'!$E$10+1,1))-AVERAGE(OFFSET($H$3,0,0,'Données projet'!$E$10+1,1))</f>
        <v>406.87679146534634</v>
      </c>
      <c r="AO146" s="62">
        <f t="shared" si="144"/>
        <v>252.43382636914751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62.870522503922729</v>
      </c>
      <c r="BJ146" s="62">
        <f t="shared" si="146"/>
        <v>322.87462304389692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5.5667493614411274</v>
      </c>
      <c r="BQ146" s="23">
        <f>EXP(-LN(2)/25)*BQ145+(1-EXP(-LN(2)/25))/(LN(2)/25)*Calculateur!BL146*Calculateur!BN146*VLOOKUP('Données projet'!$B$11,Paramètres!$A$1:$I$89,3,0)*0.475*44/12</f>
        <v>0.54859645895536724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6.1153458203964943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199.99576079505897</v>
      </c>
      <c r="CE146" s="62">
        <f t="shared" si="148"/>
        <v>407.41464279973172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10.54072421565067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2.6101309667736286E-15</v>
      </c>
      <c r="CN146" s="24">
        <f t="shared" si="120"/>
        <v>10.540724215650672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-5.1431925385259088E-14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376.68007030857598</v>
      </c>
      <c r="CZ146" s="62">
        <f t="shared" si="150"/>
        <v>532.90758914457626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-9.9316821433603781E-14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354.90450119887635</v>
      </c>
      <c r="T147" s="62">
        <f t="shared" si="142"/>
        <v>367.95449187183942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1.0286385077051818E-13</v>
      </c>
      <c r="AK147" s="14">
        <f t="shared" si="143"/>
        <v>1.5402366592183556E-12</v>
      </c>
      <c r="AL147" s="22">
        <f t="shared" si="112"/>
        <v>2.8617333882306215E-12</v>
      </c>
      <c r="AM147" s="62">
        <f t="shared" si="113"/>
        <v>285.95786938129572</v>
      </c>
      <c r="AN147" s="62">
        <f ca="1">AVERAGE(OFFSET($AM$3,0,0,'Données projet'!$E$10+1,1))-AVERAGE(OFFSET($H$3,0,0,'Données projet'!$E$10+1,1))</f>
        <v>406.87679146534634</v>
      </c>
      <c r="AO147" s="62">
        <f t="shared" si="144"/>
        <v>252.43382636914751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62.870522503922729</v>
      </c>
      <c r="BJ147" s="62">
        <f t="shared" si="146"/>
        <v>322.87462304389692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5.4575888018451115</v>
      </c>
      <c r="BQ147" s="23">
        <f>EXP(-LN(2)/25)*BQ146+(1-EXP(-LN(2)/25))/(LN(2)/25)*Calculateur!BL147*Calculateur!BN147*VLOOKUP('Données projet'!$B$11,Paramètres!$A$1:$I$89,3,0)*0.475*44/12</f>
        <v>0.53359505993579881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5.9911838617809101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199.99576079505897</v>
      </c>
      <c r="CE147" s="62">
        <f t="shared" si="148"/>
        <v>407.41464279973172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10.3340270429887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1.8456413063906319E-15</v>
      </c>
      <c r="CN147" s="24">
        <f t="shared" si="120"/>
        <v>10.334027042988701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-5.1431925385259088E-14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376.68007030857598</v>
      </c>
      <c r="CZ147" s="62">
        <f t="shared" si="150"/>
        <v>532.90758914457626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-9.9316821433603781E-14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354.90450119887635</v>
      </c>
      <c r="T148" s="62">
        <f t="shared" si="142"/>
        <v>367.95449187183942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1.0286385077051818E-13</v>
      </c>
      <c r="AK148" s="14">
        <f t="shared" si="143"/>
        <v>1.5402366592183556E-12</v>
      </c>
      <c r="AL148" s="22">
        <f t="shared" si="112"/>
        <v>2.8617333882306215E-12</v>
      </c>
      <c r="AM148" s="62">
        <f t="shared" si="113"/>
        <v>286.08581719179642</v>
      </c>
      <c r="AN148" s="62">
        <f ca="1">AVERAGE(OFFSET($AM$3,0,0,'Données projet'!$E$10+1,1))-AVERAGE(OFFSET($H$3,0,0,'Données projet'!$E$10+1,1))</f>
        <v>406.87679146534634</v>
      </c>
      <c r="AO148" s="62">
        <f t="shared" si="144"/>
        <v>252.43382636914751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62.870522503922729</v>
      </c>
      <c r="BJ148" s="62">
        <f t="shared" si="146"/>
        <v>322.87462304389692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5.3505688142414058</v>
      </c>
      <c r="BQ148" s="23">
        <f>EXP(-LN(2)/25)*BQ147+(1-EXP(-LN(2)/25))/(LN(2)/25)*Calculateur!BL148*Calculateur!BN148*VLOOKUP('Données projet'!$B$11,Paramètres!$A$1:$I$89,3,0)*0.475*44/12</f>
        <v>0.51900387496130973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5.869572689202716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199.99576079505897</v>
      </c>
      <c r="CE148" s="62">
        <f t="shared" si="148"/>
        <v>407.41464279973172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10.131383075809804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1.3050654833868143E-15</v>
      </c>
      <c r="CN148" s="24">
        <f t="shared" si="120"/>
        <v>10.131383075809806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-5.1431925385259088E-14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376.68007030857598</v>
      </c>
      <c r="CZ148" s="62">
        <f t="shared" si="150"/>
        <v>532.90758914457626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-9.9316821433603781E-14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354.90450119887635</v>
      </c>
      <c r="T149" s="62">
        <f t="shared" si="142"/>
        <v>367.95449187183942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1.0286385077051818E-13</v>
      </c>
      <c r="AK149" s="14">
        <f t="shared" si="143"/>
        <v>1.5402366592183556E-12</v>
      </c>
      <c r="AL149" s="22">
        <f t="shared" si="112"/>
        <v>2.8617333882306215E-12</v>
      </c>
      <c r="AM149" s="62">
        <f t="shared" si="113"/>
        <v>286.21154539383349</v>
      </c>
      <c r="AN149" s="62">
        <f ca="1">AVERAGE(OFFSET($AM$3,0,0,'Données projet'!$E$10+1,1))-AVERAGE(OFFSET($H$3,0,0,'Données projet'!$E$10+1,1))</f>
        <v>406.87679146534634</v>
      </c>
      <c r="AO149" s="62">
        <f t="shared" si="144"/>
        <v>252.43382636914751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62.870522503922729</v>
      </c>
      <c r="BJ149" s="62">
        <f t="shared" si="146"/>
        <v>322.87462304389692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5.2456474233188626</v>
      </c>
      <c r="BQ149" s="23">
        <f>EXP(-LN(2)/25)*BQ148+(1-EXP(-LN(2)/25))/(LN(2)/25)*Calculateur!BL149*Calculateur!BN149*VLOOKUP('Données projet'!$B$11,Paramètres!$A$1:$I$89,3,0)*0.475*44/12</f>
        <v>0.50481168670726517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5.750459110026128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199.99576079505897</v>
      </c>
      <c r="CE149" s="62">
        <f t="shared" si="148"/>
        <v>407.41464279973172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9.9327128332266721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9.2282065319531596E-16</v>
      </c>
      <c r="CN149" s="24">
        <f t="shared" si="120"/>
        <v>9.9327128332266739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-5.1431925385259088E-14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376.68007030857598</v>
      </c>
      <c r="CZ149" s="62">
        <f t="shared" si="150"/>
        <v>532.90758914457626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-9.9316821433603781E-14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354.90450119887635</v>
      </c>
      <c r="T150" s="62">
        <f t="shared" si="142"/>
        <v>367.95449187183942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1.0286385077051818E-13</v>
      </c>
      <c r="AK150" s="14">
        <f t="shared" si="143"/>
        <v>1.5402366592183556E-12</v>
      </c>
      <c r="AL150" s="22">
        <f t="shared" si="112"/>
        <v>2.8617333882306215E-12</v>
      </c>
      <c r="AM150" s="62">
        <f t="shared" si="113"/>
        <v>286.33509249265126</v>
      </c>
      <c r="AN150" s="62">
        <f ca="1">AVERAGE(OFFSET($AM$3,0,0,'Données projet'!$E$10+1,1))-AVERAGE(OFFSET($H$3,0,0,'Données projet'!$E$10+1,1))</f>
        <v>406.87679146534634</v>
      </c>
      <c r="AO150" s="62">
        <f t="shared" si="144"/>
        <v>252.43382636914751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62.870522503922729</v>
      </c>
      <c r="BJ150" s="62">
        <f t="shared" si="146"/>
        <v>322.87462304389692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5.1427834768765806</v>
      </c>
      <c r="BQ150" s="23">
        <f>EXP(-LN(2)/25)*BQ149+(1-EXP(-LN(2)/25))/(LN(2)/25)*Calculateur!BL150*Calculateur!BN150*VLOOKUP('Données projet'!$B$11,Paramètres!$A$1:$I$89,3,0)*0.475*44/12</f>
        <v>0.49100758458736216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5.6337910614639428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199.99576079505897</v>
      </c>
      <c r="CE150" s="62">
        <f t="shared" si="148"/>
        <v>407.41464279973172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9.7379383929237129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6.5253274169340715E-16</v>
      </c>
      <c r="CN150" s="24">
        <f t="shared" si="120"/>
        <v>9.7379383929237129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-5.1431925385259088E-14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376.68007030857598</v>
      </c>
      <c r="CZ150" s="62">
        <f t="shared" si="150"/>
        <v>532.90758914457626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-9.9316821433603781E-14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354.90450119887635</v>
      </c>
      <c r="T151" s="62">
        <f t="shared" si="142"/>
        <v>367.95449187183942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1.0286385077051818E-13</v>
      </c>
      <c r="AK151" s="14">
        <f t="shared" si="143"/>
        <v>1.5402366592183556E-12</v>
      </c>
      <c r="AL151" s="22">
        <f t="shared" si="112"/>
        <v>2.8617333882306215E-12</v>
      </c>
      <c r="AM151" s="62">
        <f t="shared" si="113"/>
        <v>286.45649632551454</v>
      </c>
      <c r="AN151" s="62">
        <f ca="1">AVERAGE(OFFSET($AM$3,0,0,'Données projet'!$E$10+1,1))-AVERAGE(OFFSET($H$3,0,0,'Données projet'!$E$10+1,1))</f>
        <v>406.87679146534634</v>
      </c>
      <c r="AO151" s="62">
        <f t="shared" si="144"/>
        <v>252.43382636914751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62.870522503922729</v>
      </c>
      <c r="BJ151" s="62">
        <f t="shared" si="146"/>
        <v>322.87462304389692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5.04193662968322</v>
      </c>
      <c r="BQ151" s="23">
        <f>EXP(-LN(2)/25)*BQ150+(1-EXP(-LN(2)/25))/(LN(2)/25)*Calculateur!BL151*Calculateur!BN151*VLOOKUP('Données projet'!$B$11,Paramètres!$A$1:$I$89,3,0)*0.475*44/12</f>
        <v>0.47758095636585407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5.5195175860490737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199.99576079505897</v>
      </c>
      <c r="CE151" s="62">
        <f t="shared" si="148"/>
        <v>407.41464279973172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9.5469833605944157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4.6141032659765798E-16</v>
      </c>
      <c r="CN151" s="24">
        <f t="shared" si="120"/>
        <v>9.5469833605944157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-5.1431925385259088E-14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376.68007030857598</v>
      </c>
      <c r="CZ151" s="62">
        <f t="shared" si="150"/>
        <v>532.90758914457626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-9.9316821433603781E-14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354.90450119887635</v>
      </c>
      <c r="T152" s="62">
        <f t="shared" si="142"/>
        <v>367.95449187183942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1.0286385077051818E-13</v>
      </c>
      <c r="AK152" s="14">
        <f t="shared" si="143"/>
        <v>1.5402366592183556E-12</v>
      </c>
      <c r="AL152" s="22">
        <f t="shared" si="112"/>
        <v>2.8617333882306215E-12</v>
      </c>
      <c r="AM152" s="62">
        <f t="shared" si="113"/>
        <v>286.57579407329592</v>
      </c>
      <c r="AN152" s="62">
        <f ca="1">AVERAGE(OFFSET($AM$3,0,0,'Données projet'!$E$10+1,1))-AVERAGE(OFFSET($H$3,0,0,'Données projet'!$E$10+1,1))</f>
        <v>406.87679146534634</v>
      </c>
      <c r="AO152" s="62">
        <f t="shared" si="144"/>
        <v>252.43382636914751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62.870522503922729</v>
      </c>
      <c r="BJ152" s="62">
        <f t="shared" si="146"/>
        <v>322.87462304389692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4.9430673276528179</v>
      </c>
      <c r="BQ152" s="23">
        <f>EXP(-LN(2)/25)*BQ151+(1-EXP(-LN(2)/25))/(LN(2)/25)*Calculateur!BL152*Calculateur!BN152*VLOOKUP('Données projet'!$B$11,Paramètres!$A$1:$I$89,3,0)*0.475*44/12</f>
        <v>0.46452147999913884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5.4075888076519565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199.99576079505897</v>
      </c>
      <c r="CE152" s="62">
        <f t="shared" si="148"/>
        <v>407.41464279973172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9.359772839978028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3.2626637084670358E-16</v>
      </c>
      <c r="CN152" s="24">
        <f t="shared" si="120"/>
        <v>9.359772839978028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-5.1431925385259088E-14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376.68007030857598</v>
      </c>
      <c r="CZ152" s="62">
        <f t="shared" si="150"/>
        <v>532.90758914457626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-9.9316821433603781E-14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354.90450119887635</v>
      </c>
      <c r="T153" s="62">
        <f t="shared" si="142"/>
        <v>367.95449187183942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1.0286385077051818E-13</v>
      </c>
      <c r="AK153" s="14">
        <f t="shared" si="143"/>
        <v>1.5402366592183556E-12</v>
      </c>
      <c r="AL153" s="22">
        <f t="shared" si="112"/>
        <v>2.8617333882306215E-12</v>
      </c>
      <c r="AM153" s="62">
        <f t="shared" si="113"/>
        <v>286.69302227186319</v>
      </c>
      <c r="AN153" s="62">
        <f ca="1">AVERAGE(OFFSET($AM$3,0,0,'Données projet'!$E$10+1,1))-AVERAGE(OFFSET($H$3,0,0,'Données projet'!$E$10+1,1))</f>
        <v>406.87679146534634</v>
      </c>
      <c r="AO153" s="62">
        <f t="shared" si="144"/>
        <v>252.43382636914751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62.870522503922729</v>
      </c>
      <c r="BJ153" s="62">
        <f t="shared" si="146"/>
        <v>322.87462304389692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4.8461367923309124</v>
      </c>
      <c r="BQ153" s="23">
        <f>EXP(-LN(2)/25)*BQ152+(1-EXP(-LN(2)/25))/(LN(2)/25)*Calculateur!BL153*Calculateur!BN153*VLOOKUP('Données projet'!$B$11,Paramètres!$A$1:$I$89,3,0)*0.475*44/12</f>
        <v>0.45181911570043942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5.2979559080313514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199.99576079505897</v>
      </c>
      <c r="CE153" s="62">
        <f t="shared" si="148"/>
        <v>407.41464279973172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9.1762334034837849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2.3070516329882899E-16</v>
      </c>
      <c r="CN153" s="24">
        <f t="shared" si="120"/>
        <v>9.1762334034837849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-5.1431925385259088E-14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376.68007030857598</v>
      </c>
      <c r="CZ153" s="62">
        <f t="shared" si="150"/>
        <v>532.90758914457626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-9.9316821433603781E-14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354.90450119887635</v>
      </c>
      <c r="T154" s="62">
        <f t="shared" si="142"/>
        <v>367.95449187183942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1.0286385077051818E-13</v>
      </c>
      <c r="AK154" s="14">
        <f t="shared" ref="AK154:AK203" si="164">EXP(-1.0587+0.8836*LN(AJ154)+0.284)</f>
        <v>1.5402366592183556E-12</v>
      </c>
      <c r="AL154" s="22">
        <f t="shared" ref="AL154:AL203" si="165">(AJ154+AK154)*0.475*44/12</f>
        <v>2.8617333882306215E-12</v>
      </c>
      <c r="AM154" s="62">
        <f t="shared" si="113"/>
        <v>286.8082168232682</v>
      </c>
      <c r="AN154" s="62">
        <f ca="1">AVERAGE(OFFSET($AM$3,0,0,'Données projet'!$E$10+1,1))-AVERAGE(OFFSET($H$3,0,0,'Données projet'!$E$10+1,1))</f>
        <v>406.87679146534634</v>
      </c>
      <c r="AO154" s="62">
        <f t="shared" si="144"/>
        <v>252.43382636914751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62.870522503922729</v>
      </c>
      <c r="BJ154" s="62">
        <f t="shared" si="146"/>
        <v>322.87462304389692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4.7511070056848803</v>
      </c>
      <c r="BQ154" s="23">
        <f>EXP(-LN(2)/25)*BQ153+(1-EXP(-LN(2)/25))/(LN(2)/25)*Calculateur!BL154*Calculateur!BN154*VLOOKUP('Données projet'!$B$11,Paramètres!$A$1:$I$89,3,0)*0.475*44/12</f>
        <v>0.43946409822147625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5.1905711039063567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199.99576079505897</v>
      </c>
      <c r="CE154" s="62">
        <f t="shared" si="148"/>
        <v>407.41464279973172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8.9962930633911906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1.6313318542335179E-16</v>
      </c>
      <c r="CN154" s="24">
        <f t="shared" ref="CN154:CN203" si="172">SUM(CK154:CM154)</f>
        <v>8.9962930633911906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-5.1431925385259088E-14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376.68007030857598</v>
      </c>
      <c r="CZ154" s="62">
        <f t="shared" si="150"/>
        <v>532.90758914457626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-9.9316821433603781E-14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354.90450119887635</v>
      </c>
      <c r="T155" s="62">
        <f t="shared" si="142"/>
        <v>367.95449187183942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1.0286385077051818E-13</v>
      </c>
      <c r="AK155" s="14">
        <f t="shared" si="164"/>
        <v>1.5402366592183556E-12</v>
      </c>
      <c r="AL155" s="22">
        <f t="shared" si="165"/>
        <v>2.8617333882306215E-12</v>
      </c>
      <c r="AM155" s="62">
        <f t="shared" si="113"/>
        <v>286.92141300674274</v>
      </c>
      <c r="AN155" s="62">
        <f ca="1">AVERAGE(OFFSET($AM$3,0,0,'Données projet'!$E$10+1,1))-AVERAGE(OFFSET($H$3,0,0,'Données projet'!$E$10+1,1))</f>
        <v>406.87679146534634</v>
      </c>
      <c r="AO155" s="62">
        <f t="shared" si="144"/>
        <v>252.43382636914751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62.870522503922729</v>
      </c>
      <c r="BJ155" s="62">
        <f t="shared" si="146"/>
        <v>322.87462304389692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4.6579406951925302</v>
      </c>
      <c r="BQ155" s="23">
        <f>EXP(-LN(2)/25)*BQ154+(1-EXP(-LN(2)/25))/(LN(2)/25)*Calculateur!BL155*Calculateur!BN155*VLOOKUP('Données projet'!$B$11,Paramètres!$A$1:$I$89,3,0)*0.475*44/12</f>
        <v>0.42744692934519746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5.0853876245377272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199.99576079505897</v>
      </c>
      <c r="CE155" s="62">
        <f t="shared" si="148"/>
        <v>407.41464279973172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8.8198812436150416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1.153525816494145E-16</v>
      </c>
      <c r="CN155" s="24">
        <f t="shared" si="172"/>
        <v>8.8198812436150416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-5.1431925385259088E-14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376.68007030857598</v>
      </c>
      <c r="CZ155" s="62">
        <f t="shared" si="150"/>
        <v>532.90758914457626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-9.9316821433603781E-14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354.90450119887635</v>
      </c>
      <c r="T156" s="62">
        <f t="shared" si="142"/>
        <v>367.95449187183942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1.0286385077051818E-13</v>
      </c>
      <c r="AK156" s="14">
        <f t="shared" si="164"/>
        <v>1.5402366592183556E-12</v>
      </c>
      <c r="AL156" s="22">
        <f t="shared" si="165"/>
        <v>2.8617333882306215E-12</v>
      </c>
      <c r="AM156" s="62">
        <f t="shared" si="113"/>
        <v>287.03264548950284</v>
      </c>
      <c r="AN156" s="62">
        <f ca="1">AVERAGE(OFFSET($AM$3,0,0,'Données projet'!$E$10+1,1))-AVERAGE(OFFSET($H$3,0,0,'Données projet'!$E$10+1,1))</f>
        <v>406.87679146534634</v>
      </c>
      <c r="AO156" s="62">
        <f t="shared" si="144"/>
        <v>252.43382636914751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62.870522503922729</v>
      </c>
      <c r="BJ156" s="62">
        <f t="shared" si="146"/>
        <v>322.87462304389692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4.5666013192230972</v>
      </c>
      <c r="BQ156" s="23">
        <f>EXP(-LN(2)/25)*BQ155+(1-EXP(-LN(2)/25))/(LN(2)/25)*Calculateur!BL156*Calculateur!BN156*VLOOKUP('Données projet'!$B$11,Paramètres!$A$1:$I$89,3,0)*0.475*44/12</f>
        <v>0.41575837058379594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4.9823596898068931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199.99576079505897</v>
      </c>
      <c r="CE156" s="62">
        <f t="shared" si="148"/>
        <v>407.41464279973172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8.6469287520241185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8.1566592711675894E-17</v>
      </c>
      <c r="CN156" s="24">
        <f t="shared" si="172"/>
        <v>8.6469287520241185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-5.1431925385259088E-14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376.68007030857598</v>
      </c>
      <c r="CZ156" s="62">
        <f t="shared" si="150"/>
        <v>532.90758914457626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-9.9316821433603781E-14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354.90450119887635</v>
      </c>
      <c r="T157" s="62">
        <f t="shared" si="142"/>
        <v>367.95449187183942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1.0286385077051818E-13</v>
      </c>
      <c r="AK157" s="14">
        <f t="shared" si="164"/>
        <v>1.5402366592183556E-12</v>
      </c>
      <c r="AL157" s="22">
        <f t="shared" si="165"/>
        <v>2.8617333882306215E-12</v>
      </c>
      <c r="AM157" s="62">
        <f t="shared" si="113"/>
        <v>287.14194833736559</v>
      </c>
      <c r="AN157" s="62">
        <f ca="1">AVERAGE(OFFSET($AM$3,0,0,'Données projet'!$E$10+1,1))-AVERAGE(OFFSET($H$3,0,0,'Données projet'!$E$10+1,1))</f>
        <v>406.87679146534634</v>
      </c>
      <c r="AO157" s="62">
        <f t="shared" si="144"/>
        <v>252.43382636914751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62.870522503922729</v>
      </c>
      <c r="BJ157" s="62">
        <f t="shared" si="146"/>
        <v>322.87462304389692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4.4770530527049059</v>
      </c>
      <c r="BQ157" s="23">
        <f>EXP(-LN(2)/25)*BQ156+(1-EXP(-LN(2)/25))/(LN(2)/25)*Calculateur!BL157*Calculateur!BN157*VLOOKUP('Données projet'!$B$11,Paramètres!$A$1:$I$89,3,0)*0.475*44/12</f>
        <v>0.40438943607639954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4.881442488781305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199.99576079505897</v>
      </c>
      <c r="CE157" s="62">
        <f t="shared" si="148"/>
        <v>407.41464279973172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8.4773677533026888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5.7676290824707248E-17</v>
      </c>
      <c r="CN157" s="24">
        <f t="shared" si="172"/>
        <v>8.4773677533026888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-5.1431925385259088E-14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376.68007030857598</v>
      </c>
      <c r="CZ157" s="62">
        <f t="shared" si="150"/>
        <v>532.90758914457626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-9.9316821433603781E-14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354.90450119887635</v>
      </c>
      <c r="T158" s="62">
        <f t="shared" si="142"/>
        <v>367.95449187183942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1.0286385077051818E-13</v>
      </c>
      <c r="AK158" s="14">
        <f t="shared" si="164"/>
        <v>1.5402366592183556E-12</v>
      </c>
      <c r="AL158" s="22">
        <f t="shared" si="165"/>
        <v>2.8617333882306215E-12</v>
      </c>
      <c r="AM158" s="62">
        <f t="shared" si="113"/>
        <v>287.24935502518252</v>
      </c>
      <c r="AN158" s="62">
        <f ca="1">AVERAGE(OFFSET($AM$3,0,0,'Données projet'!$E$10+1,1))-AVERAGE(OFFSET($H$3,0,0,'Données projet'!$E$10+1,1))</f>
        <v>406.87679146534634</v>
      </c>
      <c r="AO158" s="62">
        <f t="shared" si="144"/>
        <v>252.43382636914751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62.870522503922729</v>
      </c>
      <c r="BJ158" s="62">
        <f t="shared" si="146"/>
        <v>322.87462304389692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4.3892607730740876</v>
      </c>
      <c r="BQ158" s="23">
        <f>EXP(-LN(2)/25)*BQ157+(1-EXP(-LN(2)/25))/(LN(2)/25)*Calculateur!BL158*Calculateur!BN158*VLOOKUP('Données projet'!$B$11,Paramètres!$A$1:$I$89,3,0)*0.475*44/12</f>
        <v>0.3933313856809742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4.7825921587550617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199.99576079505897</v>
      </c>
      <c r="CE158" s="62">
        <f t="shared" si="148"/>
        <v>407.41464279973172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8.3111317423441893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4.0783296355837947E-17</v>
      </c>
      <c r="CN158" s="24">
        <f t="shared" si="172"/>
        <v>8.3111317423441893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-5.1431925385259088E-14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376.68007030857598</v>
      </c>
      <c r="CZ158" s="62">
        <f t="shared" si="150"/>
        <v>532.90758914457626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-9.9316821433603781E-14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354.90450119887635</v>
      </c>
      <c r="T159" s="62">
        <f t="shared" si="142"/>
        <v>367.95449187183942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1.0286385077051818E-13</v>
      </c>
      <c r="AK159" s="14">
        <f t="shared" si="164"/>
        <v>1.5402366592183556E-12</v>
      </c>
      <c r="AL159" s="22">
        <f t="shared" si="165"/>
        <v>2.8617333882306215E-12</v>
      </c>
      <c r="AM159" s="62">
        <f t="shared" si="113"/>
        <v>287.35489844709116</v>
      </c>
      <c r="AN159" s="62">
        <f ca="1">AVERAGE(OFFSET($AM$3,0,0,'Données projet'!$E$10+1,1))-AVERAGE(OFFSET($H$3,0,0,'Données projet'!$E$10+1,1))</f>
        <v>406.87679146534634</v>
      </c>
      <c r="AO159" s="62">
        <f t="shared" si="144"/>
        <v>252.43382636914751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62.870522503922729</v>
      </c>
      <c r="BJ159" s="62">
        <f t="shared" si="146"/>
        <v>322.87462304389692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4.303190046498826</v>
      </c>
      <c r="BQ159" s="23">
        <f>EXP(-LN(2)/25)*BQ158+(1-EXP(-LN(2)/25))/(LN(2)/25)*Calculateur!BL159*Calculateur!BN159*VLOOKUP('Données projet'!$B$11,Paramètres!$A$1:$I$89,3,0)*0.475*44/12</f>
        <v>0.38257571825512937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4.6857657647539552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199.99576079505897</v>
      </c>
      <c r="CE159" s="62">
        <f t="shared" si="148"/>
        <v>407.41464279973172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8.1481555181666323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2.8838145412353624E-17</v>
      </c>
      <c r="CN159" s="24">
        <f t="shared" si="172"/>
        <v>8.1481555181666323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-5.1431925385259088E-14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376.68007030857598</v>
      </c>
      <c r="CZ159" s="62">
        <f t="shared" si="150"/>
        <v>532.90758914457626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-9.9316821433603781E-14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354.90450119887635</v>
      </c>
      <c r="T160" s="62">
        <f t="shared" si="142"/>
        <v>367.95449187183942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1.0286385077051818E-13</v>
      </c>
      <c r="AK160" s="14">
        <f t="shared" si="164"/>
        <v>1.5402366592183556E-12</v>
      </c>
      <c r="AL160" s="22">
        <f t="shared" si="165"/>
        <v>2.8617333882306215E-12</v>
      </c>
      <c r="AM160" s="62">
        <f t="shared" si="113"/>
        <v>287.45861092658942</v>
      </c>
      <c r="AN160" s="62">
        <f ca="1">AVERAGE(OFFSET($AM$3,0,0,'Données projet'!$E$10+1,1))-AVERAGE(OFFSET($H$3,0,0,'Données projet'!$E$10+1,1))</f>
        <v>406.87679146534634</v>
      </c>
      <c r="AO160" s="62">
        <f t="shared" si="144"/>
        <v>252.43382636914751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62.870522503922729</v>
      </c>
      <c r="BJ160" s="62">
        <f t="shared" si="146"/>
        <v>322.87462304389692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4.218807114373746</v>
      </c>
      <c r="BQ160" s="23">
        <f>EXP(-LN(2)/25)*BQ159+(1-EXP(-LN(2)/25))/(LN(2)/25)*Calculateur!BL160*Calculateur!BN160*VLOOKUP('Données projet'!$B$11,Paramètres!$A$1:$I$89,3,0)*0.475*44/12</f>
        <v>0.3721141651206602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4.5909212794944061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199.99576079505897</v>
      </c>
      <c r="CE160" s="62">
        <f t="shared" si="148"/>
        <v>407.41464279973172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7.9883751583395153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2.0391648177918974E-17</v>
      </c>
      <c r="CN160" s="24">
        <f t="shared" si="172"/>
        <v>7.9883751583395153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-5.1431925385259088E-14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376.68007030857598</v>
      </c>
      <c r="CZ160" s="62">
        <f t="shared" si="150"/>
        <v>532.90758914457626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-9.9316821433603781E-14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354.90450119887635</v>
      </c>
      <c r="T161" s="62">
        <f t="shared" si="142"/>
        <v>367.95449187183942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1.0286385077051818E-13</v>
      </c>
      <c r="AK161" s="14">
        <f t="shared" si="164"/>
        <v>1.5402366592183556E-12</v>
      </c>
      <c r="AL161" s="22">
        <f t="shared" si="165"/>
        <v>2.8617333882306215E-12</v>
      </c>
      <c r="AM161" s="62">
        <f t="shared" si="113"/>
        <v>287.56052422643484</v>
      </c>
      <c r="AN161" s="62">
        <f ca="1">AVERAGE(OFFSET($AM$3,0,0,'Données projet'!$E$10+1,1))-AVERAGE(OFFSET($H$3,0,0,'Données projet'!$E$10+1,1))</f>
        <v>406.87679146534634</v>
      </c>
      <c r="AO161" s="62">
        <f t="shared" si="144"/>
        <v>252.43382636914751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62.870522503922729</v>
      </c>
      <c r="BJ161" s="62">
        <f t="shared" si="146"/>
        <v>322.87462304389692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4.1360788800791326</v>
      </c>
      <c r="BQ161" s="23">
        <f>EXP(-LN(2)/25)*BQ160+(1-EXP(-LN(2)/25))/(LN(2)/25)*Calculateur!BL161*Calculateur!BN161*VLOOKUP('Données projet'!$B$11,Paramètres!$A$1:$I$89,3,0)*0.475*44/12</f>
        <v>0.36193868370680227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4.4980175637859352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199.99576079505897</v>
      </c>
      <c r="CE161" s="62">
        <f t="shared" si="148"/>
        <v>407.41464279973172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7.831727993912212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1.4419072706176812E-17</v>
      </c>
      <c r="CN161" s="24">
        <f t="shared" si="172"/>
        <v>7.831727993912212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-5.1431925385259088E-14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376.68007030857598</v>
      </c>
      <c r="CZ161" s="62">
        <f t="shared" si="150"/>
        <v>532.90758914457626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-9.9316821433603781E-14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354.90450119887635</v>
      </c>
      <c r="T162" s="62">
        <f t="shared" si="142"/>
        <v>367.95449187183942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1.0286385077051818E-13</v>
      </c>
      <c r="AK162" s="14">
        <f t="shared" si="164"/>
        <v>1.5402366592183556E-12</v>
      </c>
      <c r="AL162" s="22">
        <f t="shared" si="165"/>
        <v>2.8617333882306215E-12</v>
      </c>
      <c r="AM162" s="62">
        <f t="shared" si="113"/>
        <v>287.66066955837181</v>
      </c>
      <c r="AN162" s="62">
        <f ca="1">AVERAGE(OFFSET($AM$3,0,0,'Données projet'!$E$10+1,1))-AVERAGE(OFFSET($H$3,0,0,'Données projet'!$E$10+1,1))</f>
        <v>406.87679146534634</v>
      </c>
      <c r="AO162" s="62">
        <f t="shared" si="144"/>
        <v>252.43382636914751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62.870522503922729</v>
      </c>
      <c r="BJ162" s="62">
        <f t="shared" si="146"/>
        <v>322.87462304389692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4.0549728959997955</v>
      </c>
      <c r="BQ162" s="23">
        <f>EXP(-LN(2)/25)*BQ161+(1-EXP(-LN(2)/25))/(LN(2)/25)*Calculateur!BL162*Calculateur!BN162*VLOOKUP('Données projet'!$B$11,Paramètres!$A$1:$I$89,3,0)*0.475*44/12</f>
        <v>0.35204145136731163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4.4070143473671068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199.99576079505897</v>
      </c>
      <c r="CE162" s="62">
        <f t="shared" si="148"/>
        <v>407.41464279973172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7.6781525848339918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1.0195824088959487E-17</v>
      </c>
      <c r="CN162" s="24">
        <f t="shared" si="172"/>
        <v>7.6781525848339918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-5.1431925385259088E-14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376.68007030857598</v>
      </c>
      <c r="CZ162" s="62">
        <f t="shared" si="150"/>
        <v>532.90758914457626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-9.9316821433603781E-14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354.90450119887635</v>
      </c>
      <c r="T163" s="62">
        <f t="shared" si="142"/>
        <v>367.95449187183942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1.0286385077051818E-13</v>
      </c>
      <c r="AK163" s="14">
        <f t="shared" si="164"/>
        <v>1.5402366592183556E-12</v>
      </c>
      <c r="AL163" s="22">
        <f t="shared" si="165"/>
        <v>2.8617333882306215E-12</v>
      </c>
      <c r="AM163" s="62">
        <f t="shared" si="113"/>
        <v>287.7590775926912</v>
      </c>
      <c r="AN163" s="62">
        <f ca="1">AVERAGE(OFFSET($AM$3,0,0,'Données projet'!$E$10+1,1))-AVERAGE(OFFSET($H$3,0,0,'Données projet'!$E$10+1,1))</f>
        <v>406.87679146534634</v>
      </c>
      <c r="AO163" s="62">
        <f t="shared" si="144"/>
        <v>252.43382636914751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62.870522503922729</v>
      </c>
      <c r="BJ163" s="62">
        <f t="shared" si="146"/>
        <v>322.87462304389692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3.9754573507984889</v>
      </c>
      <c r="BQ163" s="23">
        <f>EXP(-LN(2)/25)*BQ162+(1-EXP(-LN(2)/25))/(LN(2)/25)*Calculateur!BL163*Calculateur!BN163*VLOOKUP('Données projet'!$B$11,Paramètres!$A$1:$I$89,3,0)*0.475*44/12</f>
        <v>0.34241485936661714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4.3178722101651061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199.99576079505897</v>
      </c>
      <c r="CE163" s="62">
        <f t="shared" si="148"/>
        <v>407.41464279973172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7.5275886958560454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7.2095363530884059E-18</v>
      </c>
      <c r="CN163" s="24">
        <f t="shared" si="172"/>
        <v>7.5275886958560454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-5.1431925385259088E-14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376.68007030857598</v>
      </c>
      <c r="CZ163" s="62">
        <f t="shared" si="150"/>
        <v>532.90758914457626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-9.9316821433603781E-14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354.90450119887635</v>
      </c>
      <c r="T164" s="62">
        <f t="shared" si="142"/>
        <v>367.95449187183942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1.0286385077051818E-13</v>
      </c>
      <c r="AK164" s="14">
        <f t="shared" si="164"/>
        <v>1.5402366592183556E-12</v>
      </c>
      <c r="AL164" s="22">
        <f t="shared" si="165"/>
        <v>2.8617333882306215E-12</v>
      </c>
      <c r="AM164" s="62">
        <f t="shared" si="113"/>
        <v>287.85577846762254</v>
      </c>
      <c r="AN164" s="62">
        <f ca="1">AVERAGE(OFFSET($AM$3,0,0,'Données projet'!$E$10+1,1))-AVERAGE(OFFSET($H$3,0,0,'Données projet'!$E$10+1,1))</f>
        <v>406.87679146534634</v>
      </c>
      <c r="AO164" s="62">
        <f t="shared" si="144"/>
        <v>252.43382636914751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62.870522503922729</v>
      </c>
      <c r="BJ164" s="62">
        <f t="shared" si="146"/>
        <v>322.87462304389692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3.8975010569388866</v>
      </c>
      <c r="BQ164" s="23">
        <f>EXP(-LN(2)/25)*BQ163+(1-EXP(-LN(2)/25))/(LN(2)/25)*Calculateur!BL164*Calculateur!BN164*VLOOKUP('Données projet'!$B$11,Paramètres!$A$1:$I$89,3,0)*0.475*44/12</f>
        <v>0.33305150703042213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4.2305525639693089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199.99576079505897</v>
      </c>
      <c r="CE164" s="62">
        <f t="shared" si="148"/>
        <v>407.41464279973172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7.3799772729060518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5.0979120444797434E-18</v>
      </c>
      <c r="CN164" s="24">
        <f t="shared" si="172"/>
        <v>7.3799772729060518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-5.1431925385259088E-14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376.68007030857598</v>
      </c>
      <c r="CZ164" s="62">
        <f t="shared" si="150"/>
        <v>532.90758914457626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-9.9316821433603781E-14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354.90450119887635</v>
      </c>
      <c r="T165" s="62">
        <f t="shared" si="142"/>
        <v>367.95449187183942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1.0286385077051818E-13</v>
      </c>
      <c r="AK165" s="14">
        <f t="shared" si="164"/>
        <v>1.5402366592183556E-12</v>
      </c>
      <c r="AL165" s="22">
        <f t="shared" si="165"/>
        <v>2.8617333882306215E-12</v>
      </c>
      <c r="AM165" s="62">
        <f t="shared" si="113"/>
        <v>287.95080179856456</v>
      </c>
      <c r="AN165" s="62">
        <f ca="1">AVERAGE(OFFSET($AM$3,0,0,'Données projet'!$E$10+1,1))-AVERAGE(OFFSET($H$3,0,0,'Données projet'!$E$10+1,1))</f>
        <v>406.87679146534634</v>
      </c>
      <c r="AO165" s="62">
        <f t="shared" si="144"/>
        <v>252.43382636914751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62.870522503922729</v>
      </c>
      <c r="BJ165" s="62">
        <f t="shared" si="146"/>
        <v>322.87462304389692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3.8210734384532268</v>
      </c>
      <c r="BQ165" s="23">
        <f>EXP(-LN(2)/25)*BQ164+(1-EXP(-LN(2)/25))/(LN(2)/25)*Calculateur!BL165*Calculateur!BN165*VLOOKUP('Données projet'!$B$11,Paramètres!$A$1:$I$89,3,0)*0.475*44/12</f>
        <v>0.32394419605625768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4.1450176345094842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199.99576079505897</v>
      </c>
      <c r="CE165" s="62">
        <f t="shared" si="148"/>
        <v>407.41464279973172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7.2352604199260302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3.604768176544203E-18</v>
      </c>
      <c r="CN165" s="24">
        <f t="shared" si="172"/>
        <v>7.2352604199260302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-5.1431925385259088E-14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376.68007030857598</v>
      </c>
      <c r="CZ165" s="62">
        <f t="shared" si="150"/>
        <v>532.90758914457626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-9.9316821433603781E-14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354.90450119887635</v>
      </c>
      <c r="T166" s="62">
        <f t="shared" si="142"/>
        <v>367.95449187183942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1.0286385077051818E-13</v>
      </c>
      <c r="AK166" s="14">
        <f t="shared" si="164"/>
        <v>1.5402366592183556E-12</v>
      </c>
      <c r="AL166" s="22">
        <f t="shared" si="165"/>
        <v>2.8617333882306215E-12</v>
      </c>
      <c r="AM166" s="62">
        <f t="shared" si="113"/>
        <v>288.04417668715507</v>
      </c>
      <c r="AN166" s="62">
        <f ca="1">AVERAGE(OFFSET($AM$3,0,0,'Données projet'!$E$10+1,1))-AVERAGE(OFFSET($H$3,0,0,'Données projet'!$E$10+1,1))</f>
        <v>406.87679146534634</v>
      </c>
      <c r="AO166" s="62">
        <f t="shared" si="144"/>
        <v>252.43382636914751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62.870522503922729</v>
      </c>
      <c r="BJ166" s="62">
        <f t="shared" si="146"/>
        <v>322.87462304389692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3.7461445189498264</v>
      </c>
      <c r="BQ166" s="23">
        <f>EXP(-LN(2)/25)*BQ165+(1-EXP(-LN(2)/25))/(LN(2)/25)*Calculateur!BL166*Calculateur!BN166*VLOOKUP('Données projet'!$B$11,Paramètres!$A$1:$I$89,3,0)*0.475*44/12</f>
        <v>0.31508592497961441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4.0612304439294409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199.99576079505897</v>
      </c>
      <c r="CE166" s="62">
        <f t="shared" si="148"/>
        <v>407.41464279973172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7.0933813761643822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2.5489560222398717E-18</v>
      </c>
      <c r="CN166" s="24">
        <f t="shared" si="172"/>
        <v>7.0933813761643822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-5.1431925385259088E-14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376.68007030857598</v>
      </c>
      <c r="CZ166" s="62">
        <f t="shared" si="150"/>
        <v>532.90758914457626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-9.9316821433603781E-14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354.90450119887635</v>
      </c>
      <c r="T167" s="62">
        <f t="shared" si="142"/>
        <v>367.95449187183942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1.0286385077051818E-13</v>
      </c>
      <c r="AK167" s="14">
        <f t="shared" si="164"/>
        <v>1.5402366592183556E-12</v>
      </c>
      <c r="AL167" s="22">
        <f t="shared" si="165"/>
        <v>2.8617333882306215E-12</v>
      </c>
      <c r="AM167" s="62">
        <f t="shared" si="113"/>
        <v>288.13593173018353</v>
      </c>
      <c r="AN167" s="62">
        <f ca="1">AVERAGE(OFFSET($AM$3,0,0,'Données projet'!$E$10+1,1))-AVERAGE(OFFSET($H$3,0,0,'Données projet'!$E$10+1,1))</f>
        <v>406.87679146534634</v>
      </c>
      <c r="AO167" s="62">
        <f t="shared" si="144"/>
        <v>252.43382636914751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62.870522503922729</v>
      </c>
      <c r="BJ167" s="62">
        <f t="shared" si="146"/>
        <v>322.87462304389692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3.6726849098557595</v>
      </c>
      <c r="BQ167" s="23">
        <f>EXP(-LN(2)/25)*BQ166+(1-EXP(-LN(2)/25))/(LN(2)/25)*Calculateur!BL167*Calculateur!BN167*VLOOKUP('Données projet'!$B$11,Paramètres!$A$1:$I$89,3,0)*0.475*44/12</f>
        <v>0.30646988379139817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3.9791547936471576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199.99576079505897</v>
      </c>
      <c r="CE167" s="62">
        <f t="shared" si="148"/>
        <v>407.41464279973172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6.954284493913228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1.8023840882721015E-18</v>
      </c>
      <c r="CN167" s="24">
        <f t="shared" si="172"/>
        <v>6.954284493913228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-5.1431925385259088E-14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376.68007030857598</v>
      </c>
      <c r="CZ167" s="62">
        <f t="shared" si="150"/>
        <v>532.90758914457626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-9.9316821433603781E-14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354.90450119887635</v>
      </c>
      <c r="T168" s="62">
        <f t="shared" si="142"/>
        <v>367.95449187183942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1.0286385077051818E-13</v>
      </c>
      <c r="AK168" s="14">
        <f t="shared" si="164"/>
        <v>1.5402366592183556E-12</v>
      </c>
      <c r="AL168" s="22">
        <f t="shared" si="165"/>
        <v>2.8617333882306215E-12</v>
      </c>
      <c r="AM168" s="62">
        <f t="shared" si="113"/>
        <v>288.22609502834899</v>
      </c>
      <c r="AN168" s="62">
        <f ca="1">AVERAGE(OFFSET($AM$3,0,0,'Données projet'!$E$10+1,1))-AVERAGE(OFFSET($H$3,0,0,'Données projet'!$E$10+1,1))</f>
        <v>406.87679146534634</v>
      </c>
      <c r="AO168" s="62">
        <f t="shared" si="144"/>
        <v>252.43382636914751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62.870522503922729</v>
      </c>
      <c r="BJ168" s="62">
        <f t="shared" si="146"/>
        <v>322.87462304389692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3.6006657988900899</v>
      </c>
      <c r="BQ168" s="23">
        <f>EXP(-LN(2)/25)*BQ167+(1-EXP(-LN(2)/25))/(LN(2)/25)*Calculateur!BL168*Calculateur!BN168*VLOOKUP('Données projet'!$B$11,Paramètres!$A$1:$I$89,3,0)*0.475*44/12</f>
        <v>0.29808944870257165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3.8987552475926615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199.99576079505897</v>
      </c>
      <c r="CE168" s="62">
        <f t="shared" si="148"/>
        <v>407.41464279973172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6.8179152166822981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1.2744780111199358E-18</v>
      </c>
      <c r="CN168" s="24">
        <f t="shared" si="172"/>
        <v>6.8179152166822981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-5.1431925385259088E-14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376.68007030857598</v>
      </c>
      <c r="CZ168" s="62">
        <f t="shared" si="150"/>
        <v>532.90758914457626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-9.9316821433603781E-14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354.90450119887635</v>
      </c>
      <c r="T169" s="62">
        <f t="shared" si="142"/>
        <v>367.95449187183942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1.0286385077051818E-13</v>
      </c>
      <c r="AK169" s="14">
        <f t="shared" si="164"/>
        <v>1.5402366592183556E-12</v>
      </c>
      <c r="AL169" s="22">
        <f t="shared" si="165"/>
        <v>2.8617333882306215E-12</v>
      </c>
      <c r="AM169" s="62">
        <f t="shared" si="113"/>
        <v>288.31469419486626</v>
      </c>
      <c r="AN169" s="62">
        <f ca="1">AVERAGE(OFFSET($AM$3,0,0,'Données projet'!$E$10+1,1))-AVERAGE(OFFSET($H$3,0,0,'Données projet'!$E$10+1,1))</f>
        <v>406.87679146534634</v>
      </c>
      <c r="AO169" s="62">
        <f t="shared" si="144"/>
        <v>252.43382636914751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62.870522503922729</v>
      </c>
      <c r="BJ169" s="62">
        <f t="shared" si="146"/>
        <v>322.87462304389692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3.5300589387631369</v>
      </c>
      <c r="BQ169" s="23">
        <f>EXP(-LN(2)/25)*BQ168+(1-EXP(-LN(2)/25))/(LN(2)/25)*Calculateur!BL169*Calculateur!BN169*VLOOKUP('Données projet'!$B$11,Paramètres!$A$1:$I$89,3,0)*0.475*44/12</f>
        <v>0.28993817705195701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3.8199971158150938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199.99576079505897</v>
      </c>
      <c r="CE169" s="62">
        <f t="shared" si="148"/>
        <v>407.41464279973172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6.6842200578008208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9.0119204413605074E-19</v>
      </c>
      <c r="CN169" s="24">
        <f t="shared" si="172"/>
        <v>6.6842200578008208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-5.1431925385259088E-14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376.68007030857598</v>
      </c>
      <c r="CZ169" s="62">
        <f t="shared" si="150"/>
        <v>532.90758914457626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-9.9316821433603781E-14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354.90450119887635</v>
      </c>
      <c r="T170" s="62">
        <f t="shared" si="142"/>
        <v>367.95449187183942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1.0286385077051818E-13</v>
      </c>
      <c r="AK170" s="14">
        <f t="shared" si="164"/>
        <v>1.5402366592183556E-12</v>
      </c>
      <c r="AL170" s="22">
        <f t="shared" si="165"/>
        <v>2.8617333882306215E-12</v>
      </c>
      <c r="AM170" s="62">
        <f t="shared" si="113"/>
        <v>288.40175636392246</v>
      </c>
      <c r="AN170" s="62">
        <f ca="1">AVERAGE(OFFSET($AM$3,0,0,'Données projet'!$E$10+1,1))-AVERAGE(OFFSET($H$3,0,0,'Données projet'!$E$10+1,1))</f>
        <v>406.87679146534634</v>
      </c>
      <c r="AO170" s="62">
        <f t="shared" si="144"/>
        <v>252.43382636914751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62.870522503922729</v>
      </c>
      <c r="BJ170" s="62">
        <f t="shared" si="146"/>
        <v>322.87462304389692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3.460836636097341</v>
      </c>
      <c r="BQ170" s="23">
        <f>EXP(-LN(2)/25)*BQ169+(1-EXP(-LN(2)/25))/(LN(2)/25)*Calculateur!BL170*Calculateur!BN170*VLOOKUP('Données projet'!$B$11,Paramètres!$A$1:$I$89,3,0)*0.475*44/12</f>
        <v>0.28200980235328515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3.7428464384506261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199.99576079505897</v>
      </c>
      <c r="CE170" s="62">
        <f t="shared" si="148"/>
        <v>407.41464279973172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6.5531465794390149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6.3723900555996792E-19</v>
      </c>
      <c r="CN170" s="24">
        <f t="shared" si="172"/>
        <v>6.5531465794390149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-5.1431925385259088E-14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376.68007030857598</v>
      </c>
      <c r="CZ170" s="62">
        <f t="shared" si="150"/>
        <v>532.90758914457626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-9.9316821433603781E-14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354.90450119887635</v>
      </c>
      <c r="T171" s="62">
        <f t="shared" si="142"/>
        <v>367.95449187183942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1.0286385077051818E-13</v>
      </c>
      <c r="AK171" s="14">
        <f t="shared" si="164"/>
        <v>1.5402366592183556E-12</v>
      </c>
      <c r="AL171" s="22">
        <f t="shared" si="165"/>
        <v>2.8617333882306215E-12</v>
      </c>
      <c r="AM171" s="62">
        <f t="shared" si="113"/>
        <v>288.48730819898736</v>
      </c>
      <c r="AN171" s="62">
        <f ca="1">AVERAGE(OFFSET($AM$3,0,0,'Données projet'!$E$10+1,1))-AVERAGE(OFFSET($H$3,0,0,'Données projet'!$E$10+1,1))</f>
        <v>406.87679146534634</v>
      </c>
      <c r="AO171" s="62">
        <f t="shared" si="144"/>
        <v>252.43382636914751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62.870522503922729</v>
      </c>
      <c r="BJ171" s="62">
        <f t="shared" si="146"/>
        <v>322.87462304389692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3.3929717405653861</v>
      </c>
      <c r="BQ171" s="23">
        <f>EXP(-LN(2)/25)*BQ170+(1-EXP(-LN(2)/25))/(LN(2)/25)*Calculateur!BL171*Calculateur!BN171*VLOOKUP('Données projet'!$B$11,Paramètres!$A$1:$I$89,3,0)*0.475*44/12</f>
        <v>0.27429822947768362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3.6672699700430695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199.99576079505897</v>
      </c>
      <c r="CE171" s="62">
        <f t="shared" si="148"/>
        <v>407.41464279973172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6.4246433720409559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4.5059602206802537E-19</v>
      </c>
      <c r="CN171" s="24">
        <f t="shared" si="172"/>
        <v>6.4246433720409559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-5.1431925385259088E-14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376.68007030857598</v>
      </c>
      <c r="CZ171" s="62">
        <f t="shared" si="150"/>
        <v>532.90758914457626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-9.9316821433603781E-14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354.90450119887635</v>
      </c>
      <c r="T172" s="62">
        <f t="shared" si="142"/>
        <v>367.95449187183942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1.0286385077051818E-13</v>
      </c>
      <c r="AK172" s="14">
        <f t="shared" si="164"/>
        <v>1.5402366592183556E-12</v>
      </c>
      <c r="AL172" s="22">
        <f t="shared" si="165"/>
        <v>2.8617333882306215E-12</v>
      </c>
      <c r="AM172" s="62">
        <f t="shared" si="113"/>
        <v>288.57137590097926</v>
      </c>
      <c r="AN172" s="62">
        <f ca="1">AVERAGE(OFFSET($AM$3,0,0,'Données projet'!$E$10+1,1))-AVERAGE(OFFSET($H$3,0,0,'Données projet'!$E$10+1,1))</f>
        <v>406.87679146534634</v>
      </c>
      <c r="AO172" s="62">
        <f t="shared" si="144"/>
        <v>252.43382636914751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62.870522503922729</v>
      </c>
      <c r="BJ172" s="62">
        <f t="shared" si="146"/>
        <v>322.87462304389692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3.3264376342413136</v>
      </c>
      <c r="BQ172" s="23">
        <f>EXP(-LN(2)/25)*BQ171+(1-EXP(-LN(2)/25))/(LN(2)/25)*Calculateur!BL172*Calculateur!BN172*VLOOKUP('Données projet'!$B$11,Paramètres!$A$1:$I$89,3,0)*0.475*44/12</f>
        <v>0.26679752996789941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3.5932351642092129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199.99576079505897</v>
      </c>
      <c r="CE172" s="62">
        <f t="shared" si="148"/>
        <v>407.41464279973172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6.2986600341607559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3.1861950277998396E-19</v>
      </c>
      <c r="CN172" s="24">
        <f t="shared" si="172"/>
        <v>6.2986600341607559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-5.1431925385259088E-14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376.68007030857598</v>
      </c>
      <c r="CZ172" s="62">
        <f t="shared" si="150"/>
        <v>532.90758914457626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-9.9316821433603781E-14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354.90450119887635</v>
      </c>
      <c r="T173" s="62">
        <f t="shared" si="142"/>
        <v>367.95449187183942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1.0286385077051818E-13</v>
      </c>
      <c r="AK173" s="14">
        <f t="shared" si="164"/>
        <v>1.5402366592183556E-12</v>
      </c>
      <c r="AL173" s="22">
        <f t="shared" si="165"/>
        <v>2.8617333882306215E-12</v>
      </c>
      <c r="AM173" s="62">
        <f t="shared" si="113"/>
        <v>288.65398521628873</v>
      </c>
      <c r="AN173" s="62">
        <f ca="1">AVERAGE(OFFSET($AM$3,0,0,'Données projet'!$E$10+1,1))-AVERAGE(OFFSET($H$3,0,0,'Données projet'!$E$10+1,1))</f>
        <v>406.87679146534634</v>
      </c>
      <c r="AO173" s="62">
        <f t="shared" si="144"/>
        <v>252.43382636914751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62.870522503922729</v>
      </c>
      <c r="BJ173" s="62">
        <f t="shared" si="146"/>
        <v>322.87462304389692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3.2612082211604583</v>
      </c>
      <c r="BQ173" s="23">
        <f>EXP(-LN(2)/25)*BQ172+(1-EXP(-LN(2)/25))/(LN(2)/25)*Calculateur!BL173*Calculateur!BN173*VLOOKUP('Données projet'!$B$11,Paramètres!$A$1:$I$89,3,0)*0.475*44/12</f>
        <v>0.25950193748065487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3.5207101586411129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199.99576079505897</v>
      </c>
      <c r="CE173" s="62">
        <f t="shared" si="148"/>
        <v>407.41464279973172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6.1751471526941382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2.2529801103401269E-19</v>
      </c>
      <c r="CN173" s="24">
        <f t="shared" si="172"/>
        <v>6.1751471526941382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-5.1431925385259088E-14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376.68007030857598</v>
      </c>
      <c r="CZ173" s="62">
        <f t="shared" si="150"/>
        <v>532.90758914457626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-9.9316821433603781E-14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354.90450119887635</v>
      </c>
      <c r="T174" s="62">
        <f t="shared" si="142"/>
        <v>367.95449187183942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288.73516144466436</v>
      </c>
      <c r="AN174" s="62">
        <f ca="1">AVERAGE(OFFSET($AM$3,0,0,'Données projet'!$E$10+1,1))-AVERAGE(OFFSET($H$3,0,0,'Données projet'!$E$10+1,1))</f>
        <v>406.87679146534634</v>
      </c>
      <c r="AO174" s="62">
        <f t="shared" si="144"/>
        <v>252.43382636914751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62.870522503922729</v>
      </c>
      <c r="BJ174" s="62">
        <f t="shared" si="146"/>
        <v>322.87462304389692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3.1972579170841051</v>
      </c>
      <c r="BQ174" s="23">
        <f>EXP(-LN(2)/25)*BQ173+(1-EXP(-LN(2)/25))/(LN(2)/25)*Calculateur!BL174*Calculateur!BN174*VLOOKUP('Données projet'!$B$11,Paramètres!$A$1:$I$89,3,0)*0.475*44/12</f>
        <v>0.25240584335363259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3.4496637604377378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199.99576079505897</v>
      </c>
      <c r="CE174" s="62">
        <f t="shared" si="148"/>
        <v>407.41464279973172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6.054056283497661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1.5930975138999198E-19</v>
      </c>
      <c r="CN174" s="24">
        <f t="shared" si="172"/>
        <v>6.054056283497661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-5.1431925385259088E-14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376.68007030857598</v>
      </c>
      <c r="CZ174" s="62">
        <f t="shared" si="150"/>
        <v>532.90758914457626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-9.9316821433603781E-14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354.90450119887635</v>
      </c>
      <c r="T175" s="62">
        <f t="shared" si="142"/>
        <v>367.95449187183942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288.81492944696049</v>
      </c>
      <c r="AN175" s="62">
        <f ca="1">AVERAGE(OFFSET($AM$3,0,0,'Données projet'!$E$10+1,1))-AVERAGE(OFFSET($H$3,0,0,'Données projet'!$E$10+1,1))</f>
        <v>406.87679146534634</v>
      </c>
      <c r="AO175" s="62">
        <f t="shared" si="144"/>
        <v>252.43382636914751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62.870522503922729</v>
      </c>
      <c r="BJ175" s="62">
        <f t="shared" si="146"/>
        <v>322.87462304389692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3.1345616394648554</v>
      </c>
      <c r="BQ175" s="23">
        <f>EXP(-LN(2)/25)*BQ174+(1-EXP(-LN(2)/25))/(LN(2)/25)*Calculateur!BL175*Calculateur!BN175*VLOOKUP('Données projet'!$B$11,Paramètres!$A$1:$I$89,3,0)*0.475*44/12</f>
        <v>0.24550379229368108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3.3800654317585366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199.99576079505897</v>
      </c>
      <c r="CE175" s="62">
        <f t="shared" si="148"/>
        <v>407.41464279973172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5.9353399323879898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1.1264900551700634E-19</v>
      </c>
      <c r="CN175" s="24">
        <f t="shared" si="172"/>
        <v>5.9353399323879898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-5.1431925385259088E-14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376.68007030857598</v>
      </c>
      <c r="CZ175" s="62">
        <f t="shared" si="150"/>
        <v>532.90758914457626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-9.9316821433603781E-14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354.90450119887635</v>
      </c>
      <c r="T176" s="62">
        <f t="shared" si="142"/>
        <v>367.95449187183942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288.89331365275132</v>
      </c>
      <c r="AN176" s="62">
        <f ca="1">AVERAGE(OFFSET($AM$3,0,0,'Données projet'!$E$10+1,1))-AVERAGE(OFFSET($H$3,0,0,'Données projet'!$E$10+1,1))</f>
        <v>406.87679146534634</v>
      </c>
      <c r="AO176" s="62">
        <f t="shared" si="144"/>
        <v>252.43382636914751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62.870522503922729</v>
      </c>
      <c r="BJ176" s="62">
        <f t="shared" si="146"/>
        <v>322.87462304389692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3.0730947976087659</v>
      </c>
      <c r="BQ176" s="23">
        <f>EXP(-LN(2)/25)*BQ175+(1-EXP(-LN(2)/25))/(LN(2)/25)*Calculateur!BL176*Calculateur!BN176*VLOOKUP('Données projet'!$B$11,Paramètres!$A$1:$I$89,3,0)*0.475*44/12</f>
        <v>0.23879047818292704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3.3118852757916928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199.99576079505897</v>
      </c>
      <c r="CE176" s="62">
        <f t="shared" si="148"/>
        <v>407.41464279973172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5.8189515365137554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7.965487569499599E-20</v>
      </c>
      <c r="CN176" s="24">
        <f t="shared" si="172"/>
        <v>5.8189515365137554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-5.1431925385259088E-14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376.68007030857598</v>
      </c>
      <c r="CZ176" s="62">
        <f t="shared" si="150"/>
        <v>532.90758914457626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-9.9316821433603781E-14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354.90450119887635</v>
      </c>
      <c r="T177" s="62">
        <f t="shared" si="142"/>
        <v>367.95449187183942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288.97033806781258</v>
      </c>
      <c r="AN177" s="62">
        <f ca="1">AVERAGE(OFFSET($AM$3,0,0,'Données projet'!$E$10+1,1))-AVERAGE(OFFSET($H$3,0,0,'Données projet'!$E$10+1,1))</f>
        <v>406.87679146534634</v>
      </c>
      <c r="AO177" s="62">
        <f t="shared" si="144"/>
        <v>252.43382636914751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62.870522503922729</v>
      </c>
      <c r="BJ177" s="62">
        <f t="shared" si="146"/>
        <v>322.87462304389692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3.0128332830304028</v>
      </c>
      <c r="BQ177" s="23">
        <f>EXP(-LN(2)/25)*BQ176+(1-EXP(-LN(2)/25))/(LN(2)/25)*Calculateur!BL177*Calculateur!BN177*VLOOKUP('Données projet'!$B$11,Paramètres!$A$1:$I$89,3,0)*0.475*44/12</f>
        <v>0.23226073999956942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3.2450940230299721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199.99576079505897</v>
      </c>
      <c r="CE177" s="62">
        <f t="shared" si="148"/>
        <v>407.41464279973172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5.7048454460927029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5.6324502758503171E-20</v>
      </c>
      <c r="CN177" s="24">
        <f t="shared" si="172"/>
        <v>5.7048454460927029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-5.1431925385259088E-14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376.68007030857598</v>
      </c>
      <c r="CZ177" s="62">
        <f t="shared" si="150"/>
        <v>532.90758914457626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-9.9316821433603781E-14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354.90450119887635</v>
      </c>
      <c r="T178" s="62">
        <f t="shared" si="142"/>
        <v>367.95449187183942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289.04602628147325</v>
      </c>
      <c r="AN178" s="62">
        <f ca="1">AVERAGE(OFFSET($AM$3,0,0,'Données projet'!$E$10+1,1))-AVERAGE(OFFSET($H$3,0,0,'Données projet'!$E$10+1,1))</f>
        <v>406.87679146534634</v>
      </c>
      <c r="AO178" s="62">
        <f t="shared" si="144"/>
        <v>252.43382636914751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62.870522503922729</v>
      </c>
      <c r="BJ178" s="62">
        <f t="shared" si="146"/>
        <v>322.87462304389692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2.9537534599970265</v>
      </c>
      <c r="BQ178" s="23">
        <f>EXP(-LN(2)/25)*BQ177+(1-EXP(-LN(2)/25))/(LN(2)/25)*Calculateur!BL178*Calculateur!BN178*VLOOKUP('Données projet'!$B$11,Paramètres!$A$1:$I$89,3,0)*0.475*44/12</f>
        <v>0.22590955785021971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3.179663017847246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199.99576079505897</v>
      </c>
      <c r="CE178" s="62">
        <f t="shared" si="148"/>
        <v>407.41464279973172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5.5929769065069639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3.9827437847497995E-20</v>
      </c>
      <c r="CN178" s="24">
        <f t="shared" si="172"/>
        <v>5.5929769065069639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-5.1431925385259088E-14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376.68007030857598</v>
      </c>
      <c r="CZ178" s="62">
        <f t="shared" si="150"/>
        <v>532.90758914457626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-9.9316821433603781E-14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354.90450119887635</v>
      </c>
      <c r="T179" s="62">
        <f t="shared" si="142"/>
        <v>367.95449187183942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289.12040147384045</v>
      </c>
      <c r="AN179" s="62">
        <f ca="1">AVERAGE(OFFSET($AM$3,0,0,'Données projet'!$E$10+1,1))-AVERAGE(OFFSET($H$3,0,0,'Données projet'!$E$10+1,1))</f>
        <v>406.87679146534634</v>
      </c>
      <c r="AO179" s="62">
        <f t="shared" si="144"/>
        <v>252.43382636914751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62.870522503922729</v>
      </c>
      <c r="BJ179" s="62">
        <f t="shared" si="146"/>
        <v>322.87462304389692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2.895832156258201</v>
      </c>
      <c r="BQ179" s="23">
        <f>EXP(-LN(2)/25)*BQ178+(1-EXP(-LN(2)/25))/(LN(2)/25)*Calculateur!BL179*Calculateur!BN179*VLOOKUP('Données projet'!$B$11,Paramètres!$A$1:$I$89,3,0)*0.475*44/12</f>
        <v>0.21973204911073813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3.1155642053689392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199.99576079505897</v>
      </c>
      <c r="CE179" s="62">
        <f t="shared" si="148"/>
        <v>407.41464279973172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5.4833020407494297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2.8162251379251586E-20</v>
      </c>
      <c r="CN179" s="24">
        <f t="shared" si="172"/>
        <v>5.4833020407494297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-5.1431925385259088E-14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376.68007030857598</v>
      </c>
      <c r="CZ179" s="62">
        <f t="shared" si="150"/>
        <v>532.90758914457626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-9.9316821433603781E-14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354.90450119887635</v>
      </c>
      <c r="T180" s="62">
        <f t="shared" si="142"/>
        <v>367.95449187183942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289.1934864228981</v>
      </c>
      <c r="AN180" s="62">
        <f ca="1">AVERAGE(OFFSET($AM$3,0,0,'Données projet'!$E$10+1,1))-AVERAGE(OFFSET($H$3,0,0,'Données projet'!$E$10+1,1))</f>
        <v>406.87679146534634</v>
      </c>
      <c r="AO180" s="62">
        <f t="shared" si="144"/>
        <v>252.43382636914751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62.870522503922729</v>
      </c>
      <c r="BJ180" s="62">
        <f t="shared" si="146"/>
        <v>322.87462304389692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2.8390466539571868</v>
      </c>
      <c r="BQ180" s="23">
        <f>EXP(-LN(2)/25)*BQ179+(1-EXP(-LN(2)/25))/(LN(2)/25)*Calculateur!BL180*Calculateur!BN180*VLOOKUP('Données projet'!$B$11,Paramètres!$A$1:$I$89,3,0)*0.475*44/12</f>
        <v>0.21372346467259873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3.0527701186297858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199.99576079505897</v>
      </c>
      <c r="CE180" s="62">
        <f t="shared" si="148"/>
        <v>407.41464279973172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5.3757778322143377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1.9913718923748998E-20</v>
      </c>
      <c r="CN180" s="24">
        <f t="shared" si="172"/>
        <v>5.3757778322143377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-5.1431925385259088E-14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376.68007030857598</v>
      </c>
      <c r="CZ180" s="62">
        <f t="shared" si="150"/>
        <v>532.90758914457626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-9.9316821433603781E-14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354.90450119887635</v>
      </c>
      <c r="T181" s="62">
        <f t="shared" si="142"/>
        <v>367.95449187183942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289.26530351148301</v>
      </c>
      <c r="AN181" s="62">
        <f ca="1">AVERAGE(OFFSET($AM$3,0,0,'Données projet'!$E$10+1,1))-AVERAGE(OFFSET($H$3,0,0,'Données projet'!$E$10+1,1))</f>
        <v>406.87679146534634</v>
      </c>
      <c r="AO181" s="62">
        <f t="shared" si="144"/>
        <v>252.43382636914751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62.870522503922729</v>
      </c>
      <c r="BJ181" s="62">
        <f t="shared" si="146"/>
        <v>322.87462304389692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2.7833746807205593</v>
      </c>
      <c r="BQ181" s="23">
        <f>EXP(-LN(2)/25)*BQ180+(1-EXP(-LN(2)/25))/(LN(2)/25)*Calculateur!BL181*Calculateur!BN181*VLOOKUP('Données projet'!$B$11,Paramètres!$A$1:$I$89,3,0)*0.475*44/12</f>
        <v>0.20787918529189797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2.9912538660124572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199.99576079505897</v>
      </c>
      <c r="CE181" s="62">
        <f t="shared" si="148"/>
        <v>407.41464279973172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5.2703621078253278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1.4081125689625793E-20</v>
      </c>
      <c r="CN181" s="24">
        <f t="shared" si="172"/>
        <v>5.2703621078253278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-5.1431925385259088E-14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376.68007030857598</v>
      </c>
      <c r="CZ181" s="62">
        <f t="shared" si="150"/>
        <v>532.90758914457626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-9.9316821433603781E-14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354.90450119887635</v>
      </c>
      <c r="T182" s="62">
        <f t="shared" si="142"/>
        <v>367.95449187183942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289.33587473413996</v>
      </c>
      <c r="AN182" s="62">
        <f ca="1">AVERAGE(OFFSET($AM$3,0,0,'Données projet'!$E$10+1,1))-AVERAGE(OFFSET($H$3,0,0,'Données projet'!$E$10+1,1))</f>
        <v>406.87679146534634</v>
      </c>
      <c r="AO182" s="62">
        <f t="shared" si="144"/>
        <v>252.43382636914751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62.870522503922729</v>
      </c>
      <c r="BJ182" s="62">
        <f t="shared" si="146"/>
        <v>322.87462304389692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2.7287944009225513</v>
      </c>
      <c r="BQ182" s="23">
        <f>EXP(-LN(2)/25)*BQ181+(1-EXP(-LN(2)/25))/(LN(2)/25)*Calculateur!BL182*Calculateur!BN182*VLOOKUP('Données projet'!$B$11,Paramètres!$A$1:$I$89,3,0)*0.475*44/12</f>
        <v>0.20219471803819977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2.9309891189607509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199.99576079505897</v>
      </c>
      <c r="CE182" s="62">
        <f t="shared" si="148"/>
        <v>407.41464279973172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5.1670135214943436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9.9568594618744988E-21</v>
      </c>
      <c r="CN182" s="24">
        <f t="shared" si="172"/>
        <v>5.1670135214943436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-5.1431925385259088E-14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376.68007030857598</v>
      </c>
      <c r="CZ182" s="62">
        <f t="shared" si="150"/>
        <v>532.90758914457626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-9.9316821433603781E-14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354.90450119887635</v>
      </c>
      <c r="T183" s="62">
        <f t="shared" si="142"/>
        <v>367.95449187183942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289.40522170385748</v>
      </c>
      <c r="AN183" s="62">
        <f ca="1">AVERAGE(OFFSET($AM$3,0,0,'Données projet'!$E$10+1,1))-AVERAGE(OFFSET($H$3,0,0,'Données projet'!$E$10+1,1))</f>
        <v>406.87679146534634</v>
      </c>
      <c r="AO183" s="62">
        <f t="shared" si="144"/>
        <v>252.43382636914751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62.870522503922729</v>
      </c>
      <c r="BJ183" s="62">
        <f t="shared" si="146"/>
        <v>322.87462304389692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2.6752844071206989</v>
      </c>
      <c r="BQ183" s="23">
        <f>EXP(-LN(2)/25)*BQ182+(1-EXP(-LN(2)/25))/(LN(2)/25)*Calculateur!BL183*Calculateur!BN183*VLOOKUP('Données projet'!$B$11,Paramètres!$A$1:$I$89,3,0)*0.475*44/12</f>
        <v>0.1966656928404871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2.871950099961186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199.99576079505897</v>
      </c>
      <c r="CE183" s="62">
        <f t="shared" si="148"/>
        <v>407.41464279973172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5.0656915379048959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7.0405628448128964E-21</v>
      </c>
      <c r="CN183" s="24">
        <f t="shared" si="172"/>
        <v>5.0656915379048959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-5.1431925385259088E-14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376.68007030857598</v>
      </c>
      <c r="CZ183" s="62">
        <f t="shared" si="150"/>
        <v>532.90758914457626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-9.9316821433603781E-14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354.90450119887635</v>
      </c>
      <c r="T184" s="62">
        <f t="shared" si="142"/>
        <v>367.95449187183942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289.47336565868693</v>
      </c>
      <c r="AN184" s="62">
        <f ca="1">AVERAGE(OFFSET($AM$3,0,0,'Données projet'!$E$10+1,1))-AVERAGE(OFFSET($H$3,0,0,'Données projet'!$E$10+1,1))</f>
        <v>406.87679146534634</v>
      </c>
      <c r="AO184" s="62">
        <f t="shared" si="144"/>
        <v>252.43382636914751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62.870522503922729</v>
      </c>
      <c r="BJ184" s="62">
        <f t="shared" si="146"/>
        <v>322.87462304389692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2.6228237116594273</v>
      </c>
      <c r="BQ184" s="23">
        <f>EXP(-LN(2)/25)*BQ183+(1-EXP(-LN(2)/25))/(LN(2)/25)*Calculateur!BL184*Calculateur!BN184*VLOOKUP('Données projet'!$B$11,Paramètres!$A$1:$I$89,3,0)*0.475*44/12</f>
        <v>0.19128785912756469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2.8141115707869919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199.99576079505897</v>
      </c>
      <c r="CE184" s="62">
        <f t="shared" si="148"/>
        <v>407.41464279973172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4.9663564166133298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4.9784297309372494E-21</v>
      </c>
      <c r="CN184" s="24">
        <f t="shared" si="172"/>
        <v>4.9663564166133298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-5.1431925385259088E-14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376.68007030857598</v>
      </c>
      <c r="CZ184" s="62">
        <f t="shared" si="150"/>
        <v>532.90758914457626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-9.9316821433603781E-14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354.90450119887635</v>
      </c>
      <c r="T185" s="62">
        <f t="shared" si="142"/>
        <v>367.95449187183942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289.54032746824726</v>
      </c>
      <c r="AN185" s="62">
        <f ca="1">AVERAGE(OFFSET($AM$3,0,0,'Données projet'!$E$10+1,1))-AVERAGE(OFFSET($H$3,0,0,'Données projet'!$E$10+1,1))</f>
        <v>406.87679146534634</v>
      </c>
      <c r="AO185" s="62">
        <f t="shared" si="144"/>
        <v>252.43382636914751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62.870522503922729</v>
      </c>
      <c r="BJ185" s="62">
        <f t="shared" si="146"/>
        <v>322.87462304389692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2.5713917384382863</v>
      </c>
      <c r="BQ185" s="23">
        <f>EXP(-LN(2)/25)*BQ184+(1-EXP(-LN(2)/25))/(LN(2)/25)*Calculateur!BL185*Calculateur!BN185*VLOOKUP('Données projet'!$B$11,Paramètres!$A$1:$I$89,3,0)*0.475*44/12</f>
        <v>0.1860570825603301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2.7574488209986163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199.99576079505897</v>
      </c>
      <c r="CE185" s="62">
        <f t="shared" si="148"/>
        <v>407.41464279973172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4.8689691964618502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3.5202814224064482E-21</v>
      </c>
      <c r="CN185" s="24">
        <f t="shared" si="172"/>
        <v>4.8689691964618502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-5.1431925385259088E-14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376.68007030857598</v>
      </c>
      <c r="CZ185" s="62">
        <f t="shared" si="150"/>
        <v>532.90758914457626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-9.9316821433603781E-14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354.90450119887635</v>
      </c>
      <c r="T186" s="62">
        <f t="shared" si="142"/>
        <v>367.95449187183942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289.6061276401158</v>
      </c>
      <c r="AN186" s="62">
        <f ca="1">AVERAGE(OFFSET($AM$3,0,0,'Données projet'!$E$10+1,1))-AVERAGE(OFFSET($H$3,0,0,'Données projet'!$E$10+1,1))</f>
        <v>406.87679146534634</v>
      </c>
      <c r="AO186" s="62">
        <f t="shared" si="144"/>
        <v>252.43382636914751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62.870522503922729</v>
      </c>
      <c r="BJ186" s="62">
        <f t="shared" si="146"/>
        <v>322.87462304389692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2.520968314841606</v>
      </c>
      <c r="BQ186" s="23">
        <f>EXP(-LN(2)/25)*BQ185+(1-EXP(-LN(2)/25))/(LN(2)/25)*Calculateur!BL186*Calculateur!BN186*VLOOKUP('Données projet'!$B$11,Paramètres!$A$1:$I$89,3,0)*0.475*44/12</f>
        <v>0.18096934185340113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2.7019376566950073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199.99576079505897</v>
      </c>
      <c r="CE186" s="62">
        <f t="shared" si="148"/>
        <v>407.41464279973172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4.7734916802972016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2.4892148654686247E-21</v>
      </c>
      <c r="CN186" s="24">
        <f t="shared" si="172"/>
        <v>4.7734916802972016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-5.1431925385259088E-14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376.68007030857598</v>
      </c>
      <c r="CZ186" s="62">
        <f t="shared" si="150"/>
        <v>532.90758914457626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-9.9316821433603781E-14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354.90450119887635</v>
      </c>
      <c r="T187" s="62">
        <f t="shared" si="142"/>
        <v>367.95449187183942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289.67078632610958</v>
      </c>
      <c r="AN187" s="62">
        <f ca="1">AVERAGE(OFFSET($AM$3,0,0,'Données projet'!$E$10+1,1))-AVERAGE(OFFSET($H$3,0,0,'Données projet'!$E$10+1,1))</f>
        <v>406.87679146534634</v>
      </c>
      <c r="AO187" s="62">
        <f t="shared" si="144"/>
        <v>252.43382636914751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62.870522503922729</v>
      </c>
      <c r="BJ187" s="62">
        <f t="shared" si="146"/>
        <v>322.87462304389692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2.4715336638264049</v>
      </c>
      <c r="BQ187" s="23">
        <f>EXP(-LN(2)/25)*BQ186+(1-EXP(-LN(2)/25))/(LN(2)/25)*Calculateur!BL187*Calculateur!BN187*VLOOKUP('Données projet'!$B$11,Paramètres!$A$1:$I$89,3,0)*0.475*44/12</f>
        <v>0.17602072568365582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2.6475543895100606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199.99576079505897</v>
      </c>
      <c r="CE187" s="62">
        <f t="shared" si="148"/>
        <v>407.41464279973172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4.6798864199890078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1.7601407112032241E-21</v>
      </c>
      <c r="CN187" s="24">
        <f t="shared" si="172"/>
        <v>4.6798864199890078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-5.1431925385259088E-14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376.68007030857598</v>
      </c>
      <c r="CZ187" s="62">
        <f t="shared" si="150"/>
        <v>532.90758914457626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-9.9316821433603781E-14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354.90450119887635</v>
      </c>
      <c r="T188" s="62">
        <f t="shared" si="142"/>
        <v>367.95449187183942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289.73432332845658</v>
      </c>
      <c r="AN188" s="62">
        <f ca="1">AVERAGE(OFFSET($AM$3,0,0,'Données projet'!$E$10+1,1))-AVERAGE(OFFSET($H$3,0,0,'Données projet'!$E$10+1,1))</f>
        <v>406.87679146534634</v>
      </c>
      <c r="AO188" s="62">
        <f t="shared" si="144"/>
        <v>252.43382636914751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62.870522503922729</v>
      </c>
      <c r="BJ188" s="62">
        <f t="shared" si="146"/>
        <v>322.87462304389692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2.4230683961654522</v>
      </c>
      <c r="BQ188" s="23">
        <f>EXP(-LN(2)/25)*BQ187+(1-EXP(-LN(2)/25))/(LN(2)/25)*Calculateur!BL188*Calculateur!BN188*VLOOKUP('Données projet'!$B$11,Paramètres!$A$1:$I$89,3,0)*0.475*44/12</f>
        <v>0.17120742968330857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2.5942758258487606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199.99576079505897</v>
      </c>
      <c r="CE188" s="62">
        <f t="shared" si="148"/>
        <v>407.41464279973172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4.5881167017418862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1.2446074327343123E-21</v>
      </c>
      <c r="CN188" s="24">
        <f t="shared" si="172"/>
        <v>4.5881167017418862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-5.1431925385259088E-14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376.68007030857598</v>
      </c>
      <c r="CZ188" s="62">
        <f t="shared" si="150"/>
        <v>532.90758914457626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-9.9316821433603781E-14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354.90450119887635</v>
      </c>
      <c r="T189" s="62">
        <f t="shared" si="142"/>
        <v>367.95449187183942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289.79675810586025</v>
      </c>
      <c r="AN189" s="62">
        <f ca="1">AVERAGE(OFFSET($AM$3,0,0,'Données projet'!$E$10+1,1))-AVERAGE(OFFSET($H$3,0,0,'Données projet'!$E$10+1,1))</f>
        <v>406.87679146534634</v>
      </c>
      <c r="AO189" s="62">
        <f t="shared" si="144"/>
        <v>252.43382636914751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62.870522503922729</v>
      </c>
      <c r="BJ189" s="62">
        <f t="shared" si="146"/>
        <v>322.87462304389692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2.3755535028424362</v>
      </c>
      <c r="BQ189" s="23">
        <f>EXP(-LN(2)/25)*BQ188+(1-EXP(-LN(2)/25))/(LN(2)/25)*Calculateur!BL189*Calculateur!BN189*VLOOKUP('Données projet'!$B$11,Paramètres!$A$1:$I$89,3,0)*0.475*44/12</f>
        <v>0.16652575351521107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2.5420792563576473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199.99576079505897</v>
      </c>
      <c r="CE189" s="62">
        <f t="shared" si="148"/>
        <v>407.41464279973172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4.4981465316955891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8.8007035560161205E-22</v>
      </c>
      <c r="CN189" s="24">
        <f t="shared" si="172"/>
        <v>4.4981465316955891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-5.1431925385259088E-14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376.68007030857598</v>
      </c>
      <c r="CZ189" s="62">
        <f t="shared" si="150"/>
        <v>532.90758914457626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-9.9316821433603781E-14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354.90450119887635</v>
      </c>
      <c r="T190" s="62">
        <f t="shared" si="142"/>
        <v>367.95449187183942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289.85810977945926</v>
      </c>
      <c r="AN190" s="62">
        <f ca="1">AVERAGE(OFFSET($AM$3,0,0,'Données projet'!$E$10+1,1))-AVERAGE(OFFSET($H$3,0,0,'Données projet'!$E$10+1,1))</f>
        <v>406.87679146534634</v>
      </c>
      <c r="AO190" s="62">
        <f t="shared" si="144"/>
        <v>252.43382636914751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62.870522503922729</v>
      </c>
      <c r="BJ190" s="62">
        <f t="shared" si="146"/>
        <v>322.87462304389692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2.3289703475962615</v>
      </c>
      <c r="BQ190" s="23">
        <f>EXP(-LN(2)/25)*BQ189+(1-EXP(-LN(2)/25))/(LN(2)/25)*Calculateur!BL190*Calculateur!BN190*VLOOKUP('Données projet'!$B$11,Paramètres!$A$1:$I$89,3,0)*0.475*44/12</f>
        <v>0.16197209802812884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2.4909424456243903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199.99576079505897</v>
      </c>
      <c r="CE190" s="62">
        <f t="shared" si="148"/>
        <v>407.41464279973172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4.4099406218075154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6.2230371636715617E-22</v>
      </c>
      <c r="CN190" s="24">
        <f t="shared" si="172"/>
        <v>4.4099406218075154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-5.1431925385259088E-14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376.68007030857598</v>
      </c>
      <c r="CZ190" s="62">
        <f t="shared" si="150"/>
        <v>532.90758914457626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-9.9316821433603781E-14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354.90450119887635</v>
      </c>
      <c r="T191" s="62">
        <f t="shared" si="142"/>
        <v>367.95449187183942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289.91839713868308</v>
      </c>
      <c r="AN191" s="62">
        <f ca="1">AVERAGE(OFFSET($AM$3,0,0,'Données projet'!$E$10+1,1))-AVERAGE(OFFSET($H$3,0,0,'Données projet'!$E$10+1,1))</f>
        <v>406.87679146534634</v>
      </c>
      <c r="AO191" s="62">
        <f t="shared" si="144"/>
        <v>252.43382636914751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62.870522503922729</v>
      </c>
      <c r="BJ191" s="62">
        <f t="shared" si="146"/>
        <v>322.87462304389692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2.283300659611545</v>
      </c>
      <c r="BQ191" s="23">
        <f>EXP(-LN(2)/25)*BQ190+(1-EXP(-LN(2)/25))/(LN(2)/25)*Calculateur!BL191*Calculateur!BN191*VLOOKUP('Données projet'!$B$11,Paramètres!$A$1:$I$89,3,0)*0.475*44/12</f>
        <v>0.1575429624898072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2.4408436221013523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199.99576079505897</v>
      </c>
      <c r="CE191" s="62">
        <f t="shared" si="148"/>
        <v>407.41464279973172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4.3234643760120539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4.4003517780080603E-22</v>
      </c>
      <c r="CN191" s="24">
        <f t="shared" si="172"/>
        <v>4.3234643760120539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-5.1431925385259088E-14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376.68007030857598</v>
      </c>
      <c r="CZ191" s="62">
        <f t="shared" si="150"/>
        <v>532.90758914457626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-9.9316821433603781E-14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354.90450119887635</v>
      </c>
      <c r="T192" s="62">
        <f t="shared" si="142"/>
        <v>367.95449187183942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289.9776386470067</v>
      </c>
      <c r="AN192" s="62">
        <f ca="1">AVERAGE(OFFSET($AM$3,0,0,'Données projet'!$E$10+1,1))-AVERAGE(OFFSET($H$3,0,0,'Données projet'!$E$10+1,1))</f>
        <v>406.87679146534634</v>
      </c>
      <c r="AO192" s="62">
        <f t="shared" si="144"/>
        <v>252.43382636914751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62.870522503922729</v>
      </c>
      <c r="BJ192" s="62">
        <f t="shared" si="146"/>
        <v>322.87462304389692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2.2385265263524499</v>
      </c>
      <c r="BQ192" s="23">
        <f>EXP(-LN(2)/25)*BQ191+(1-EXP(-LN(2)/25))/(LN(2)/25)*Calculateur!BL192*Calculateur!BN192*VLOOKUP('Données projet'!$B$11,Paramètres!$A$1:$I$89,3,0)*0.475*44/12</f>
        <v>0.15323494189569908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2.3917614682481489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199.99576079505897</v>
      </c>
      <c r="CE192" s="62">
        <f t="shared" si="148"/>
        <v>407.41464279973172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4.2386838766513399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3.1115185818357809E-22</v>
      </c>
      <c r="CN192" s="24">
        <f t="shared" si="172"/>
        <v>4.2386838766513399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-5.1431925385259088E-14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376.68007030857598</v>
      </c>
      <c r="CZ192" s="62">
        <f t="shared" si="150"/>
        <v>532.90758914457626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-9.9316821433603781E-14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354.90450119887635</v>
      </c>
      <c r="T193" s="62">
        <f t="shared" si="142"/>
        <v>367.95449187183942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290.03585244760512</v>
      </c>
      <c r="AN193" s="62">
        <f ca="1">AVERAGE(OFFSET($AM$3,0,0,'Données projet'!$E$10+1,1))-AVERAGE(OFFSET($H$3,0,0,'Données projet'!$E$10+1,1))</f>
        <v>406.87679146534634</v>
      </c>
      <c r="AO193" s="62">
        <f t="shared" si="144"/>
        <v>252.43382636914751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62.870522503922729</v>
      </c>
      <c r="BJ193" s="62">
        <f t="shared" si="146"/>
        <v>322.87462304389692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2.1946303865370407</v>
      </c>
      <c r="BQ193" s="23">
        <f>EXP(-LN(2)/25)*BQ192+(1-EXP(-LN(2)/25))/(LN(2)/25)*Calculateur!BL193*Calculateur!BN193*VLOOKUP('Données projet'!$B$11,Paramètres!$A$1:$I$89,3,0)*0.475*44/12</f>
        <v>0.14904472435128582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2.3436751108883267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199.99576079505897</v>
      </c>
      <c r="CE193" s="62">
        <f t="shared" si="148"/>
        <v>407.41464279973172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4.1555658711720902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2.2001758890040301E-22</v>
      </c>
      <c r="CN193" s="24">
        <f t="shared" si="172"/>
        <v>4.1555658711720902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-5.1431925385259088E-14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376.68007030857598</v>
      </c>
      <c r="CZ193" s="62">
        <f t="shared" si="150"/>
        <v>532.90758914457626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-9.9316821433603781E-14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354.90450119887635</v>
      </c>
      <c r="T194" s="62">
        <f t="shared" si="142"/>
        <v>367.95449187183942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290.09305636890969</v>
      </c>
      <c r="AN194" s="62">
        <f ca="1">AVERAGE(OFFSET($AM$3,0,0,'Données projet'!$E$10+1,1))-AVERAGE(OFFSET($H$3,0,0,'Données projet'!$E$10+1,1))</f>
        <v>406.87679146534634</v>
      </c>
      <c r="AO194" s="62">
        <f t="shared" si="144"/>
        <v>252.43382636914751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62.870522503922729</v>
      </c>
      <c r="BJ194" s="62">
        <f t="shared" si="146"/>
        <v>322.87462304389692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2.1515950232494099</v>
      </c>
      <c r="BQ194" s="23">
        <f>EXP(-LN(2)/25)*BQ193+(1-EXP(-LN(2)/25))/(LN(2)/25)*Calculateur!BL194*Calculateur!BN194*VLOOKUP('Données projet'!$B$11,Paramètres!$A$1:$I$89,3,0)*0.475*44/12</f>
        <v>0.14496908852597851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2.2965641117753886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199.99576079505897</v>
      </c>
      <c r="CE194" s="62">
        <f t="shared" si="148"/>
        <v>407.41464279973172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4.0740777590833117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1.5557592909178904E-22</v>
      </c>
      <c r="CN194" s="24">
        <f t="shared" si="172"/>
        <v>4.0740777590833117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-5.1431925385259088E-14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376.68007030857598</v>
      </c>
      <c r="CZ194" s="62">
        <f t="shared" si="150"/>
        <v>532.90758914457626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-9.9316821433603781E-14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354.90450119887635</v>
      </c>
      <c r="T195" s="62">
        <f t="shared" si="142"/>
        <v>367.95449187183942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290.1492679300685</v>
      </c>
      <c r="AN195" s="62">
        <f ca="1">AVERAGE(OFFSET($AM$3,0,0,'Données projet'!$E$10+1,1))-AVERAGE(OFFSET($H$3,0,0,'Données projet'!$E$10+1,1))</f>
        <v>406.87679146534634</v>
      </c>
      <c r="AO195" s="62">
        <f t="shared" si="144"/>
        <v>252.43382636914751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62.870522503922729</v>
      </c>
      <c r="BJ195" s="62">
        <f t="shared" si="146"/>
        <v>322.87462304389692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2.1094035571868699</v>
      </c>
      <c r="BQ195" s="23">
        <f>EXP(-LN(2)/25)*BQ194+(1-EXP(-LN(2)/25))/(LN(2)/25)*Calculateur!BL195*Calculateur!BN195*VLOOKUP('Données projet'!$B$11,Paramètres!$A$1:$I$89,3,0)*0.475*44/12</f>
        <v>0.14100490117664258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2.2504084583635127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199.99576079505897</v>
      </c>
      <c r="CE195" s="62">
        <f t="shared" si="148"/>
        <v>407.41464279973172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3.9941875791697532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1.1000879445020151E-22</v>
      </c>
      <c r="CN195" s="24">
        <f t="shared" si="172"/>
        <v>3.9941875791697532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-5.1431925385259088E-14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376.68007030857598</v>
      </c>
      <c r="CZ195" s="62">
        <f t="shared" si="150"/>
        <v>532.90758914457626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-9.9316821433603781E-14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354.90450119887635</v>
      </c>
      <c r="T196" s="62">
        <f t="shared" si="142"/>
        <v>367.95449187183942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290.20450434631135</v>
      </c>
      <c r="AN196" s="62">
        <f ca="1">AVERAGE(OFFSET($AM$3,0,0,'Données projet'!$E$10+1,1))-AVERAGE(OFFSET($H$3,0,0,'Données projet'!$E$10+1,1))</f>
        <v>406.87679146534634</v>
      </c>
      <c r="AO196" s="62">
        <f t="shared" si="144"/>
        <v>252.43382636914751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62.870522503922729</v>
      </c>
      <c r="BJ196" s="62">
        <f t="shared" si="146"/>
        <v>322.87462304389692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2.0680394400395632</v>
      </c>
      <c r="BQ196" s="23">
        <f>EXP(-LN(2)/25)*BQ195+(1-EXP(-LN(2)/25))/(LN(2)/25)*Calculateur!BL196*Calculateur!BN196*VLOOKUP('Données projet'!$B$11,Paramètres!$A$1:$I$89,3,0)*0.475*44/12</f>
        <v>0.13714911473884181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2.2051885547784051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199.99576079505897</v>
      </c>
      <c r="CE196" s="62">
        <f t="shared" si="148"/>
        <v>407.41464279973172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3.9158639969561015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7.7787964545894522E-23</v>
      </c>
      <c r="CN196" s="24">
        <f t="shared" si="172"/>
        <v>3.9158639969561015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-5.1431925385259088E-14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376.68007030857598</v>
      </c>
      <c r="CZ196" s="62">
        <f t="shared" si="150"/>
        <v>532.90758914457626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-9.9316821433603781E-14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354.90450119887635</v>
      </c>
      <c r="T197" s="62">
        <f t="shared" ref="T197:T203" si="204">$T$3</f>
        <v>367.95449187183942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290.25878253422258</v>
      </c>
      <c r="AN197" s="62">
        <f ca="1">AVERAGE(OFFSET($AM$3,0,0,'Données projet'!$E$10+1,1))-AVERAGE(OFFSET($H$3,0,0,'Données projet'!$E$10+1,1))</f>
        <v>406.87679146534634</v>
      </c>
      <c r="AO197" s="62">
        <f t="shared" ref="AO197:AO203" si="205">$AO$3</f>
        <v>252.43382636914751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62.870522503922729</v>
      </c>
      <c r="BJ197" s="62">
        <f t="shared" ref="BJ197:BJ203" si="206">$BJ$3</f>
        <v>322.87462304389692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2.0274864479998951</v>
      </c>
      <c r="BQ197" s="23">
        <f>EXP(-LN(2)/25)*BQ196+(1-EXP(-LN(2)/25))/(LN(2)/25)*Calculateur!BL197*Calculateur!BN197*VLOOKUP('Données projet'!$B$11,Paramètres!$A$1:$I$89,3,0)*0.475*44/12</f>
        <v>0.1333987649839497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2.1608852129838447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199.99576079505897</v>
      </c>
      <c r="CE197" s="62">
        <f t="shared" ref="CE197:CE203" si="207">$CE$3</f>
        <v>407.41464279973172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3.8390762924169914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5.5004397225100753E-23</v>
      </c>
      <c r="CN197" s="24">
        <f t="shared" si="172"/>
        <v>3.8390762924169914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-5.1431925385259088E-14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376.68007030857598</v>
      </c>
      <c r="CZ197" s="62">
        <f t="shared" ref="CZ197:CZ203" si="208">$CZ$3</f>
        <v>532.90758914457626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-9.9316821433603781E-14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354.90450119887635</v>
      </c>
      <c r="T198" s="62">
        <f t="shared" si="204"/>
        <v>367.95449187183942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290.31211911692134</v>
      </c>
      <c r="AN198" s="62">
        <f ca="1">AVERAGE(OFFSET($AM$3,0,0,'Données projet'!$E$10+1,1))-AVERAGE(OFFSET($H$3,0,0,'Données projet'!$E$10+1,1))</f>
        <v>406.87679146534634</v>
      </c>
      <c r="AO198" s="62">
        <f t="shared" si="205"/>
        <v>252.43382636914751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62.870522503922729</v>
      </c>
      <c r="BJ198" s="62">
        <f t="shared" si="206"/>
        <v>322.87462304389692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1.9877286753992418</v>
      </c>
      <c r="BQ198" s="23">
        <f>EXP(-LN(2)/25)*BQ197+(1-EXP(-LN(2)/25))/(LN(2)/25)*Calculateur!BL198*Calculateur!BN198*VLOOKUP('Données projet'!$B$11,Paramètres!$A$1:$I$89,3,0)*0.475*44/12</f>
        <v>0.12975096874032743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2.1174796441395691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199.99576079505897</v>
      </c>
      <c r="CE198" s="62">
        <f t="shared" si="207"/>
        <v>407.41464279973172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3.7637943479280183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3.8893982272947261E-23</v>
      </c>
      <c r="CN198" s="24">
        <f t="shared" si="172"/>
        <v>3.7637943479280183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-5.1431925385259088E-14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376.68007030857598</v>
      </c>
      <c r="CZ198" s="62">
        <f t="shared" si="208"/>
        <v>532.90758914457626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-9.9316821433603781E-14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354.90450119887635</v>
      </c>
      <c r="T199" s="62">
        <f t="shared" si="204"/>
        <v>367.95449187183942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290.36453042915304</v>
      </c>
      <c r="AN199" s="62">
        <f ca="1">AVERAGE(OFFSET($AM$3,0,0,'Données projet'!$E$10+1,1))-AVERAGE(OFFSET($H$3,0,0,'Données projet'!$E$10+1,1))</f>
        <v>406.87679146534634</v>
      </c>
      <c r="AO199" s="62">
        <f t="shared" si="205"/>
        <v>252.43382636914751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62.870522503922729</v>
      </c>
      <c r="BJ199" s="62">
        <f t="shared" si="206"/>
        <v>322.87462304389692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1.9487505284694406</v>
      </c>
      <c r="BQ199" s="23">
        <f>EXP(-LN(2)/25)*BQ198+(1-EXP(-LN(2)/25))/(LN(2)/25)*Calculateur!BL199*Calculateur!BN199*VLOOKUP('Données projet'!$B$11,Paramètres!$A$1:$I$89,3,0)*0.475*44/12</f>
        <v>0.12620292167681629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2.074953450146257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199.99576079505897</v>
      </c>
      <c r="CE199" s="62">
        <f t="shared" si="207"/>
        <v>407.41464279973172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3.6899886364530219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2.7502198612550377E-23</v>
      </c>
      <c r="CN199" s="24">
        <f t="shared" si="172"/>
        <v>3.6899886364530219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-5.1431925385259088E-14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376.68007030857598</v>
      </c>
      <c r="CZ199" s="62">
        <f t="shared" si="208"/>
        <v>532.90758914457626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-9.9316821433603781E-14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354.90450119887635</v>
      </c>
      <c r="T200" s="62">
        <f t="shared" si="204"/>
        <v>367.95449187183942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290.41603252229163</v>
      </c>
      <c r="AN200" s="62">
        <f ca="1">AVERAGE(OFFSET($AM$3,0,0,'Données projet'!$E$10+1,1))-AVERAGE(OFFSET($H$3,0,0,'Données projet'!$E$10+1,1))</f>
        <v>406.87679146534634</v>
      </c>
      <c r="AO200" s="62">
        <f t="shared" si="205"/>
        <v>252.43382636914751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62.870522503922729</v>
      </c>
      <c r="BJ200" s="62">
        <f t="shared" si="206"/>
        <v>322.87462304389692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1.9105367192266107</v>
      </c>
      <c r="BQ200" s="23">
        <f>EXP(-LN(2)/25)*BQ199+(1-EXP(-LN(2)/25))/(LN(2)/25)*Calculateur!BL200*Calculateur!BN200*VLOOKUP('Données projet'!$B$11,Paramètres!$A$1:$I$89,3,0)*0.475*44/12</f>
        <v>0.12275189614684054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2.0332886153734511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199.99576079505897</v>
      </c>
      <c r="CE200" s="62">
        <f t="shared" si="207"/>
        <v>407.41464279973172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3.6176302099630111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1.944699113647363E-23</v>
      </c>
      <c r="CN200" s="24">
        <f t="shared" si="172"/>
        <v>3.6176302099630111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-5.1431925385259088E-14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376.68007030857598</v>
      </c>
      <c r="CZ200" s="62">
        <f t="shared" si="208"/>
        <v>532.90758914457626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-9.9316821433603781E-14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354.90450119887635</v>
      </c>
      <c r="T201" s="62">
        <f t="shared" si="204"/>
        <v>367.95449187183942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290.46664116925575</v>
      </c>
      <c r="AN201" s="62">
        <f ca="1">AVERAGE(OFFSET($AM$3,0,0,'Données projet'!$E$10+1,1))-AVERAGE(OFFSET($H$3,0,0,'Données projet'!$E$10+1,1))</f>
        <v>406.87679146534634</v>
      </c>
      <c r="AO201" s="62">
        <f t="shared" si="205"/>
        <v>252.43382636914751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62.870522503922729</v>
      </c>
      <c r="BJ201" s="62">
        <f t="shared" si="206"/>
        <v>322.87462304389692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1.8730722594749105</v>
      </c>
      <c r="BQ201" s="23">
        <f>EXP(-LN(2)/25)*BQ200+(1-EXP(-LN(2)/25))/(LN(2)/25)*Calculateur!BL201*Calculateur!BN201*VLOOKUP('Données projet'!$B$11,Paramètres!$A$1:$I$89,3,0)*0.475*44/12</f>
        <v>0.11939523909146352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1.992467498566374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199.99576079505897</v>
      </c>
      <c r="CE201" s="62">
        <f t="shared" si="207"/>
        <v>407.41464279973172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3.5466906880821871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1.3751099306275188E-23</v>
      </c>
      <c r="CN201" s="24">
        <f t="shared" si="172"/>
        <v>3.5466906880821871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-5.1431925385259088E-14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376.68007030857598</v>
      </c>
      <c r="CZ201" s="62">
        <f t="shared" si="208"/>
        <v>532.90758914457626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-9.9316821433603781E-14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354.90450119887635</v>
      </c>
      <c r="T202" s="62">
        <f t="shared" si="204"/>
        <v>367.95449187183942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290.51637186933897</v>
      </c>
      <c r="AN202" s="62">
        <f ca="1">AVERAGE(OFFSET($AM$3,0,0,'Données projet'!$E$10+1,1))-AVERAGE(OFFSET($H$3,0,0,'Données projet'!$E$10+1,1))</f>
        <v>406.87679146534634</v>
      </c>
      <c r="AO202" s="62">
        <f t="shared" si="205"/>
        <v>252.43382636914751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62.870522503922729</v>
      </c>
      <c r="BJ202" s="62">
        <f t="shared" si="206"/>
        <v>322.87462304389692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1.8363424549278771</v>
      </c>
      <c r="BQ202" s="23">
        <f>EXP(-LN(2)/25)*BQ201+(1-EXP(-LN(2)/25))/(LN(2)/25)*Calculateur!BL202*Calculateur!BN202*VLOOKUP('Données projet'!$B$11,Paramètres!$A$1:$I$89,3,0)*0.475*44/12</f>
        <v>0.11613036999978471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1.9524728249276617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199.99576079505897</v>
      </c>
      <c r="CE202" s="62">
        <f t="shared" si="207"/>
        <v>407.41464279973172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3.47714224695661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9.7234955682368152E-24</v>
      </c>
      <c r="CN202" s="24">
        <f t="shared" si="172"/>
        <v>3.47714224695661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-5.1431925385259088E-14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376.68007030857598</v>
      </c>
      <c r="CZ202" s="62">
        <f t="shared" si="208"/>
        <v>532.90758914457626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-9.9316821433603781E-14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354.90450119887635</v>
      </c>
      <c r="T203" s="62">
        <f t="shared" si="204"/>
        <v>367.95449187183942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290.56523985295695</v>
      </c>
      <c r="AN203" s="62">
        <f ca="1">AVERAGE(OFFSET($AM$3,0,0,'Données projet'!$E$10+1,1))-AVERAGE(OFFSET($H$3,0,0,'Données projet'!$E$10+1,1))</f>
        <v>406.87679146534634</v>
      </c>
      <c r="AO203" s="62">
        <f t="shared" si="205"/>
        <v>252.43382636914751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62.870522503922729</v>
      </c>
      <c r="BJ203" s="62">
        <f t="shared" si="206"/>
        <v>322.87462304389692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1.8003328994450423</v>
      </c>
      <c r="BQ203" s="23">
        <f>EXP(-LN(2)/25)*BQ202+(1-EXP(-LN(2)/25))/(LN(2)/25)*Calculateur!BL203*Calculateur!BN203*VLOOKUP('Données projet'!$B$11,Paramètres!$A$1:$I$89,3,0)*0.475*44/12</f>
        <v>0.11295477892510986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1.913287678370152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199.99576079505897</v>
      </c>
      <c r="CE203" s="62">
        <f t="shared" si="207"/>
        <v>407.41464279973172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3.408957608341145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6.8755496531375942E-24</v>
      </c>
      <c r="CN203" s="24">
        <f t="shared" si="172"/>
        <v>3.408957608341145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-5.1431925385259088E-14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376.68007030857598</v>
      </c>
      <c r="CZ203" s="62">
        <f t="shared" si="208"/>
        <v>532.90758914457626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1.2765231539157764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1.4590153336845055</v>
      </c>
      <c r="BV205" s="88">
        <f>EXP(LN('Données projet'!B114)/'Données projet'!A114)</f>
        <v>1.4261938757879591</v>
      </c>
      <c r="CQ205" s="88">
        <f>EXP(LN('Données projet'!B140)/'Données projet'!A140)</f>
        <v>2.0243974584998852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L28" sqref="L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1.0044799999999998</v>
      </c>
      <c r="C6" s="156">
        <f ca="1">IF(OR('Données projet'!B9="",'Données projet'!C9="",'Données projet'!C9=0%),0,Calculateur!S3)</f>
        <v>354.90450119887635</v>
      </c>
      <c r="D6" s="156">
        <f>IF(OR('Données projet'!B9="",'Données projet'!C9="",'Données projet'!C9=0%),0,Calculateur!T3)</f>
        <v>367.95449187183942</v>
      </c>
      <c r="E6" s="156">
        <f ca="1">MIN(C6,D6)</f>
        <v>354.90450119887635</v>
      </c>
      <c r="F6" s="156">
        <f ca="1">E6*B6</f>
        <v>356.49447336424726</v>
      </c>
      <c r="G6" s="156">
        <f ca="1">F6*(100%-'Données projet'!$C$24)*(100%-'Données projet'!$C$25)*(100%-'Données projet'!$C$26)*(100%-'Données projet'!$C$27)</f>
        <v>288.76052342504028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31.138879999999993</v>
      </c>
      <c r="K6" s="160">
        <f>J6*(100%-'Données projet'!$C$24)*(100%-'Données projet'!$C$25)*(100%-'Données projet'!$C$26)*(100%-'Données projet'!$C$27)</f>
        <v>25.222492799999994</v>
      </c>
      <c r="L6" s="161">
        <f ca="1">G6+I6+K6</f>
        <v>313.98301622504027</v>
      </c>
      <c r="M6" s="25">
        <f ca="1">L6/B6</f>
        <v>312.58264597108985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0.89439999999999997</v>
      </c>
      <c r="C7" s="156">
        <f ca="1">IF(OR('Données projet'!B10="",'Données projet'!C10="",'Données projet'!C10=0%),0,Calculateur!AN3)</f>
        <v>406.87679146534634</v>
      </c>
      <c r="D7" s="156">
        <f>IF(OR('Données projet'!B10="",'Données projet'!C10="",'Données projet'!C10=0%),0,Calculateur!AO3)</f>
        <v>252.43382636914751</v>
      </c>
      <c r="E7" s="156">
        <f t="shared" ref="E7:E15" ca="1" si="0">MIN(C7,D7)</f>
        <v>252.43382636914751</v>
      </c>
      <c r="F7" s="156">
        <f t="shared" ref="F7:F15" ca="1" si="1">E7*B7</f>
        <v>225.77681430456553</v>
      </c>
      <c r="G7" s="156">
        <f ca="1">F7*(100%-'Données projet'!$C$24)*(100%-'Données projet'!$C$25)*(100%-'Données projet'!$C$26)*(100%-'Données projet'!$C$27)</f>
        <v>182.8792195866981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6.4843999999999999</v>
      </c>
      <c r="K7" s="160">
        <f>J7*(100%-'Données projet'!$C$24)*(100%-'Données projet'!$C$25)*(100%-'Données projet'!$C$26)*(100%-'Données projet'!$C$27)</f>
        <v>5.252364</v>
      </c>
      <c r="L7" s="161">
        <f t="shared" ref="L7:L15" ca="1" si="2">G7+I7+K7</f>
        <v>188.1315835866981</v>
      </c>
      <c r="M7" s="25">
        <f ca="1">L7/B7</f>
        <v>210.3438993590095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Polargo</v>
      </c>
      <c r="B8" s="163">
        <f>'Données projet'!D11</f>
        <v>0.64671999999999996</v>
      </c>
      <c r="C8" s="156">
        <f ca="1">IF(OR('Données projet'!B11="",'Données projet'!C11="",'Données projet'!C11=0%),0,Calculateur!BI3)</f>
        <v>62.870522503922729</v>
      </c>
      <c r="D8" s="156">
        <f>IF(OR('Données projet'!B11="",'Données projet'!C11="",'Données projet'!C11=0%),0,Calculateur!BJ3)</f>
        <v>322.87462304389692</v>
      </c>
      <c r="E8" s="156">
        <f t="shared" ca="1" si="0"/>
        <v>62.870522503922729</v>
      </c>
      <c r="F8" s="156">
        <f t="shared" ca="1" si="1"/>
        <v>40.659624313736906</v>
      </c>
      <c r="G8" s="156">
        <f ca="1">F8*(100%-'Données projet'!$C$24)*(100%-'Données projet'!$C$25)*(100%-'Données projet'!$C$26)*(100%-'Données projet'!$C$27)</f>
        <v>32.934295694126895</v>
      </c>
      <c r="H8" s="164">
        <f>IF(OR('Données projet'!B11="",'Données projet'!C11="",'Données projet'!C11=0%),0,AVERAGE(Calculateur!$BS$3:$BS$33)*B8)</f>
        <v>25.505018762106769</v>
      </c>
      <c r="I8" s="158">
        <f>H8*(100%-'Données projet'!$C$24)*(100%-'Données projet'!$C$25)*(100%-'Données projet'!$C$26)*(100%-'Données projet'!$C$27)</f>
        <v>20.659065197306482</v>
      </c>
      <c r="J8" s="159">
        <f>IF(OR('Données projet'!B11="",'Données projet'!C11="",'Données projet'!C11=0%),0,SUM(Calculateur!$BL$3:$BL$33)*VLOOKUP('Données projet'!$B$11,Paramètres!$A$1:$I$89,9,0)*B8)</f>
        <v>192.5091424</v>
      </c>
      <c r="K8" s="160">
        <f>J8*(100%-'Données projet'!$C$24)*(100%-'Données projet'!$C$25)*(100%-'Données projet'!$C$26)*(100%-'Données projet'!$C$27)</f>
        <v>155.93240534400002</v>
      </c>
      <c r="L8" s="161">
        <f t="shared" ca="1" si="2"/>
        <v>209.52576623543339</v>
      </c>
      <c r="M8" s="25">
        <f ca="1">L8/B8</f>
        <v>323.98219667774833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taeda</v>
      </c>
      <c r="B9" s="163">
        <f>'Données projet'!D12</f>
        <v>9.5219199999999997</v>
      </c>
      <c r="C9" s="156">
        <f ca="1">IF(OR('Données projet'!B12="",'Données projet'!C12="",'Données projet'!C12=0%),0,Calculateur!CD3)</f>
        <v>199.99576079505897</v>
      </c>
      <c r="D9" s="156">
        <f>IF(OR('Données projet'!B12="",'Données projet'!C12="",'Données projet'!C12=0%),0,Calculateur!CE3)</f>
        <v>407.41464279973172</v>
      </c>
      <c r="E9" s="156">
        <f t="shared" ca="1" si="0"/>
        <v>199.99576079505897</v>
      </c>
      <c r="F9" s="156">
        <f t="shared" ca="1" si="1"/>
        <v>1904.3436346296878</v>
      </c>
      <c r="G9" s="156">
        <f ca="1">F9*(100%-'Données projet'!$C$24)*(100%-'Données projet'!$C$25)*(100%-'Données projet'!$C$26)*(100%-'Données projet'!$C$27)</f>
        <v>1542.5183440500471</v>
      </c>
      <c r="H9" s="164">
        <f>IF(OR('Données projet'!B12="",'Données projet'!C12="",'Données projet'!C12=0%),0,AVERAGE(Calculateur!$CN$3:$CN$33)*B9)</f>
        <v>92.210101740364436</v>
      </c>
      <c r="I9" s="158">
        <f>H9*(100%-'Données projet'!$C$24)*(100%-'Données projet'!$C$25)*(100%-'Données projet'!$C$26)*(100%-'Données projet'!$C$27)</f>
        <v>74.690182409695197</v>
      </c>
      <c r="J9" s="159">
        <f>IF(OR('Données projet'!B12="",'Données projet'!C12="",'Données projet'!C12=0%),0,SUM(Calculateur!$CG$3:$CG$33)*VLOOKUP('Données projet'!$B$12,Paramètres!$A$1:$I$89,9,0)*B9)</f>
        <v>491.33107200000001</v>
      </c>
      <c r="K9" s="160">
        <f>J9*(100%-'Données projet'!$C$24)*(100%-'Données projet'!$C$25)*(100%-'Données projet'!$C$26)*(100%-'Données projet'!$C$27)</f>
        <v>397.97816832000001</v>
      </c>
      <c r="L9" s="161">
        <f t="shared" ca="1" si="2"/>
        <v>2015.1866947797421</v>
      </c>
      <c r="M9" s="25">
        <f ca="1">L9/B9</f>
        <v>211.6365916516566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Robinier faux-acacia</v>
      </c>
      <c r="B10" s="163">
        <f>'Données projet'!D13</f>
        <v>1.67872</v>
      </c>
      <c r="C10" s="156">
        <f ca="1">IF(OR('Données projet'!B13="",'Données projet'!C13="",'Données projet'!C13=0%),0,Calculateur!CY3)</f>
        <v>376.68007030857598</v>
      </c>
      <c r="D10" s="156">
        <f>IF(OR('Données projet'!B13="",'Données projet'!C13="",'Données projet'!C13=0%),0,Calculateur!CZ3)</f>
        <v>532.90758914457626</v>
      </c>
      <c r="E10" s="156">
        <f t="shared" ca="1" si="0"/>
        <v>376.68007030857598</v>
      </c>
      <c r="F10" s="156">
        <f t="shared" ca="1" si="1"/>
        <v>632.34036762841265</v>
      </c>
      <c r="G10" s="156">
        <f ca="1">F10*(100%-'Données projet'!$C$24)*(100%-'Données projet'!$C$25)*(100%-'Données projet'!$C$26)*(100%-'Données projet'!$C$27)</f>
        <v>512.19569777901427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41.967999999999996</v>
      </c>
      <c r="K10" s="160">
        <f>J10*(100%-'Données projet'!$C$24)*(100%-'Données projet'!$C$25)*(100%-'Données projet'!$C$26)*(100%-'Données projet'!$C$27)</f>
        <v>33.994080000000004</v>
      </c>
      <c r="L10" s="161">
        <f t="shared" ca="1" si="2"/>
        <v>546.18977777901432</v>
      </c>
      <c r="M10" s="25">
        <f ca="1">L10/B10</f>
        <v>325.36085694994659</v>
      </c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3159.6149142406503</v>
      </c>
      <c r="G16" s="175">
        <f t="shared" ca="1" si="3"/>
        <v>2559.2880805349264</v>
      </c>
      <c r="H16" s="176">
        <f t="shared" si="3"/>
        <v>117.71512050247121</v>
      </c>
      <c r="I16" s="176">
        <f t="shared" si="3"/>
        <v>95.349247607001672</v>
      </c>
      <c r="J16" s="177">
        <f t="shared" si="3"/>
        <v>763.43149439999991</v>
      </c>
      <c r="K16" s="177">
        <f t="shared" si="3"/>
        <v>618.37951046400008</v>
      </c>
      <c r="L16" s="178">
        <f t="shared" ca="1" si="3"/>
        <v>3273.0168386059286</v>
      </c>
      <c r="M16" s="25">
        <f ca="1">L16/13.76</f>
        <v>237.86459582891922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Polargo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taeda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Robinier faux-acacia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7" zoomScale="90" zoomScaleNormal="90" workbookViewId="0">
      <selection activeCell="T33" sqref="T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1572.2521391846076</v>
      </c>
      <c r="U10" s="190">
        <f>'Données projet'!D9</f>
        <v>1.0044799999999998</v>
      </c>
      <c r="V10" s="189">
        <f>U10*T10</f>
        <v>1579.2958287681543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901.68515391671554</v>
      </c>
      <c r="U11" s="190">
        <f>'Données projet'!D10</f>
        <v>0.89439999999999997</v>
      </c>
      <c r="V11" s="189">
        <f t="shared" ref="V11" si="0">U11*T11</f>
        <v>806.46720166311036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Polargo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8959.9324697554166</v>
      </c>
      <c r="U12" s="190">
        <f>'Données projet'!D11</f>
        <v>0.64671999999999996</v>
      </c>
      <c r="V12" s="189">
        <f t="shared" ref="V12:V19" si="1">U12*T12</f>
        <v>5794.5675268402229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taeda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4267.0689400924093</v>
      </c>
      <c r="U13" s="190">
        <f>'Données projet'!D12</f>
        <v>9.5219199999999997</v>
      </c>
      <c r="V13" s="189">
        <f t="shared" si="1"/>
        <v>40630.689082044715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Robinier faux-acacia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2675.1098572799465</v>
      </c>
      <c r="U14" s="190">
        <f>'Données projet'!D13</f>
        <v>1.67872</v>
      </c>
      <c r="V14" s="189">
        <f t="shared" si="1"/>
        <v>4490.7604196129914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2562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330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330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50</v>
      </c>
      <c r="C23" s="206">
        <v>8</v>
      </c>
      <c r="D23" s="194">
        <f>B23*C23</f>
        <v>400</v>
      </c>
      <c r="E23" s="206"/>
      <c r="F23" s="261"/>
      <c r="H23" s="203">
        <v>3</v>
      </c>
      <c r="I23" s="204">
        <v>330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1758.4233697751697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37</v>
      </c>
      <c r="C24" s="206">
        <v>8</v>
      </c>
      <c r="D24" s="194">
        <f t="shared" ref="D24:D42" si="2">B24*C24</f>
        <v>296</v>
      </c>
      <c r="E24" s="206"/>
      <c r="F24" s="264"/>
      <c r="H24" s="203">
        <v>4</v>
      </c>
      <c r="I24" s="204">
        <v>330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16638.223366993559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37</v>
      </c>
      <c r="C25" s="206">
        <v>10</v>
      </c>
      <c r="D25" s="194">
        <f t="shared" si="2"/>
        <v>370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103</v>
      </c>
      <c r="Q25" s="265"/>
      <c r="R25" s="25"/>
      <c r="S25" s="198" t="s">
        <v>266</v>
      </c>
      <c r="T25" s="336">
        <f ca="1">T23-T24</f>
        <v>-14879.79999721839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36</v>
      </c>
      <c r="C26" s="206">
        <v>10</v>
      </c>
      <c r="D26" s="194">
        <f t="shared" si="2"/>
        <v>360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33</v>
      </c>
      <c r="C27" s="206">
        <v>15</v>
      </c>
      <c r="D27" s="194">
        <f t="shared" si="2"/>
        <v>495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31</v>
      </c>
      <c r="C28" s="206">
        <v>15</v>
      </c>
      <c r="D28" s="194">
        <f t="shared" si="2"/>
        <v>465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25</v>
      </c>
      <c r="D29" s="194">
        <f t="shared" si="2"/>
        <v>700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25</v>
      </c>
      <c r="C30" s="206">
        <v>25</v>
      </c>
      <c r="D30" s="194">
        <f t="shared" si="2"/>
        <v>625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1209.1732098105786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22</v>
      </c>
      <c r="C31" s="206">
        <v>35</v>
      </c>
      <c r="D31" s="194">
        <f t="shared" si="2"/>
        <v>770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20</v>
      </c>
      <c r="C32" s="206">
        <v>40</v>
      </c>
      <c r="D32" s="194">
        <f t="shared" si="2"/>
        <v>800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17</v>
      </c>
      <c r="C33" s="206">
        <v>50</v>
      </c>
      <c r="D33" s="194">
        <f t="shared" si="2"/>
        <v>850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103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15</v>
      </c>
      <c r="C34" s="206">
        <v>50</v>
      </c>
      <c r="D34" s="194">
        <f t="shared" si="2"/>
        <v>750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98.564593301435409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13</v>
      </c>
      <c r="C35" s="206">
        <v>80</v>
      </c>
      <c r="D35" s="194">
        <f t="shared" si="2"/>
        <v>1040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94.320184977450168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12</v>
      </c>
      <c r="C36" s="206">
        <v>80</v>
      </c>
      <c r="D36" s="194">
        <f t="shared" si="2"/>
        <v>960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90.258550217655667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236</v>
      </c>
      <c r="C37" s="206">
        <v>140</v>
      </c>
      <c r="D37" s="194">
        <f t="shared" si="2"/>
        <v>33040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86.37181839010114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82.652457789570462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79.093261042651179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75.687331141292987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72.428068077792361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69.309156055303689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66.324551249094455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63.468470094827232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60.735378081174396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58.119979025047265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55.617204808657689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53.222205558524095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 t="str">
        <f>IF(O48+1&lt;=MIN('Données projet'!$E$9:$E$18),O48+1,"STOP")</f>
        <v>STOP</v>
      </c>
      <c r="P49" s="197" t="e">
        <f t="shared" si="3"/>
        <v>#VALUE!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e">
        <f>IF(O49+1&lt;=MIN('Données projet'!$E$9:$E$18),O49+1,"STOP")</f>
        <v>#VALUE!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8</v>
      </c>
      <c r="D54" s="191">
        <f>B54*C54</f>
        <v>64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15</v>
      </c>
      <c r="D58" s="191">
        <f t="shared" si="4"/>
        <v>315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15</v>
      </c>
      <c r="D59" s="191">
        <f t="shared" si="4"/>
        <v>315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25</v>
      </c>
      <c r="D60" s="191">
        <f t="shared" si="4"/>
        <v>525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25</v>
      </c>
      <c r="D61" s="191">
        <f t="shared" si="4"/>
        <v>525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35</v>
      </c>
      <c r="D62" s="191">
        <f t="shared" si="4"/>
        <v>735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40</v>
      </c>
      <c r="D63" s="191">
        <f t="shared" si="4"/>
        <v>840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50</v>
      </c>
      <c r="D64" s="191">
        <f t="shared" si="4"/>
        <v>1050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50</v>
      </c>
      <c r="D65" s="191">
        <f t="shared" si="4"/>
        <v>1050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80</v>
      </c>
      <c r="D66" s="191">
        <f t="shared" si="4"/>
        <v>1680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80</v>
      </c>
      <c r="D67" s="191">
        <f t="shared" si="4"/>
        <v>1680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90</v>
      </c>
      <c r="D68" s="191">
        <f t="shared" si="4"/>
        <v>1890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110</v>
      </c>
      <c r="D69" s="191">
        <f t="shared" si="4"/>
        <v>2310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120</v>
      </c>
      <c r="D70" s="191">
        <f t="shared" si="4"/>
        <v>2400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150</v>
      </c>
      <c r="D71" s="191">
        <f t="shared" si="4"/>
        <v>2850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200</v>
      </c>
      <c r="D72" s="191">
        <f t="shared" si="4"/>
        <v>3600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04">
        <v>200</v>
      </c>
      <c r="D73" s="191">
        <f t="shared" si="4"/>
        <v>56800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Polargo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289</v>
      </c>
      <c r="C85" s="204">
        <v>60</v>
      </c>
      <c r="D85" s="191">
        <f>B85*C85</f>
        <v>17340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taeda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13</v>
      </c>
      <c r="B116" s="193">
        <f>'Données projet'!D114</f>
        <v>28</v>
      </c>
      <c r="C116" s="204">
        <v>10</v>
      </c>
      <c r="D116" s="191">
        <f>B116*C116</f>
        <v>280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18</v>
      </c>
      <c r="B117" s="193">
        <f>'Données projet'!D115</f>
        <v>40</v>
      </c>
      <c r="C117" s="204">
        <v>20</v>
      </c>
      <c r="D117" s="191">
        <f t="shared" ref="D117:D135" si="8">B117*C117</f>
        <v>800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23</v>
      </c>
      <c r="B118" s="193">
        <f>'Données projet'!D116</f>
        <v>52</v>
      </c>
      <c r="C118" s="204">
        <v>25</v>
      </c>
      <c r="D118" s="191">
        <f t="shared" si="8"/>
        <v>1300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34</v>
      </c>
      <c r="B120" s="193">
        <f>'Données projet'!D118</f>
        <v>325</v>
      </c>
      <c r="C120" s="204">
        <v>45</v>
      </c>
      <c r="D120" s="191">
        <f t="shared" si="8"/>
        <v>14625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Robinier faux-acacia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5</v>
      </c>
      <c r="B147" s="187">
        <f>'Données projet'!D140</f>
        <v>6</v>
      </c>
      <c r="C147" s="204">
        <v>4</v>
      </c>
      <c r="D147" s="194">
        <f>B147*C147</f>
        <v>24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10</v>
      </c>
      <c r="B148" s="187">
        <f>'Données projet'!D141</f>
        <v>28</v>
      </c>
      <c r="C148" s="204">
        <v>8</v>
      </c>
      <c r="D148" s="194">
        <f t="shared" ref="D148:D166" si="10">B148*C148</f>
        <v>224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15</v>
      </c>
      <c r="B149" s="187">
        <f>'Données projet'!D142</f>
        <v>23</v>
      </c>
      <c r="C149" s="204">
        <v>13</v>
      </c>
      <c r="D149" s="194">
        <f t="shared" si="10"/>
        <v>299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20</v>
      </c>
      <c r="B150" s="187">
        <f>'Données projet'!D143</f>
        <v>18</v>
      </c>
      <c r="C150" s="204">
        <v>19</v>
      </c>
      <c r="D150" s="194">
        <f t="shared" si="10"/>
        <v>342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25</v>
      </c>
      <c r="B151" s="187">
        <f>'Données projet'!D144</f>
        <v>14</v>
      </c>
      <c r="C151" s="204">
        <v>22</v>
      </c>
      <c r="D151" s="194">
        <f t="shared" si="10"/>
        <v>308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30</v>
      </c>
      <c r="B152" s="187">
        <f>'Données projet'!D145</f>
        <v>11</v>
      </c>
      <c r="C152" s="204">
        <v>25</v>
      </c>
      <c r="D152" s="194">
        <f t="shared" si="10"/>
        <v>275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35</v>
      </c>
      <c r="B153" s="187">
        <f>'Données projet'!D146</f>
        <v>9</v>
      </c>
      <c r="C153" s="204">
        <v>30</v>
      </c>
      <c r="D153" s="194">
        <f t="shared" si="10"/>
        <v>270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40</v>
      </c>
      <c r="B154" s="187">
        <f>'Données projet'!D147</f>
        <v>7</v>
      </c>
      <c r="C154" s="204">
        <v>37</v>
      </c>
      <c r="D154" s="194">
        <f t="shared" si="10"/>
        <v>259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45</v>
      </c>
      <c r="B155" s="187">
        <f>'Données projet'!D148</f>
        <v>312</v>
      </c>
      <c r="C155" s="204">
        <v>45</v>
      </c>
      <c r="D155" s="194">
        <f t="shared" si="10"/>
        <v>14040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2025-07-15T08:22:30Z</dcterms:modified>
</cp:coreProperties>
</file>