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LUGON ET L'ILE DU CARNAY- ALVERGNE\Doc à déposer\"/>
    </mc:Choice>
  </mc:AlternateContent>
  <xr:revisionPtr revIDLastSave="0" documentId="13_ncr:1_{1EFC96C0-4CBB-4A59-8C5A-1FFE6FB5847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1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99" i="2" l="1" a="1"/>
  <c r="AH199" i="2" s="1"/>
  <c r="BC181" i="2" a="1"/>
  <c r="BC181" i="2" s="1"/>
  <c r="BX107" i="2" a="1"/>
  <c r="BX107" i="2" s="1"/>
  <c r="BC65" i="2" a="1"/>
  <c r="BC65" i="2" s="1"/>
  <c r="BC114" i="2" a="1"/>
  <c r="BC114" i="2" s="1"/>
  <c r="BC192" i="2" a="1"/>
  <c r="BC192" i="2" s="1"/>
  <c r="BC126" i="2" a="1"/>
  <c r="BC126" i="2" s="1"/>
  <c r="BC82" i="2" a="1"/>
  <c r="BC82" i="2" s="1"/>
  <c r="BC83" i="2" a="1"/>
  <c r="BC83" i="2" s="1"/>
  <c r="BC68" i="2" a="1"/>
  <c r="BC68" i="2" s="1"/>
  <c r="BC58" i="2" a="1"/>
  <c r="BC58" i="2" s="1"/>
  <c r="BC7" i="2" a="1"/>
  <c r="BC7" i="2" s="1"/>
  <c r="BC151" i="2" a="1"/>
  <c r="BC151" i="2" s="1"/>
  <c r="BC185" i="2" a="1"/>
  <c r="BC185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<sst xmlns="http://schemas.openxmlformats.org/spreadsheetml/2006/main" count="1172" uniqueCount="325">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</sst>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560.93211702073938</c:v>
                </c:pt>
                <c:pt idx="92">
                  <c:v>571.61000006387746</c:v>
                </c:pt>
                <c:pt idx="93">
                  <c:v>582.2837175289161</c:v>
                </c:pt>
                <c:pt idx="94">
                  <c:v>592.95335652703068</c:v>
                </c:pt>
                <c:pt idx="95">
                  <c:v>603.61900077928863</c:v>
                </c:pt>
                <c:pt idx="96">
                  <c:v>564.13592464467149</c:v>
                </c:pt>
                <c:pt idx="97">
                  <c:v>574.45672836329322</c:v>
                </c:pt>
                <c:pt idx="98">
                  <c:v>584.77366162583451</c:v>
                </c:pt>
                <c:pt idx="99">
                  <c:v>595.08680233554503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567.33935171273708</c:v>
                </c:pt>
                <c:pt idx="112">
                  <c:v>575.52417545438084</c:v>
                </c:pt>
                <c:pt idx="113">
                  <c:v>583.70656984568836</c:v>
                </c:pt>
                <c:pt idx="114">
                  <c:v>591.88657374650074</c:v>
                </c:pt>
                <c:pt idx="115">
                  <c:v>600.06422485487678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2.1109683445882781</c:v>
                </c:pt>
                <c:pt idx="2">
                  <c:v>2.9891110114463313</c:v>
                </c:pt>
                <c:pt idx="3">
                  <c:v>4.2341559784402039</c:v>
                </c:pt>
                <c:pt idx="4">
                  <c:v>6.0000310214789181</c:v>
                </c:pt>
                <c:pt idx="5">
                  <c:v>8.505488244259892</c:v>
                </c:pt>
                <c:pt idx="6">
                  <c:v>12.06149988781938</c:v>
                </c:pt>
                <c:pt idx="7">
                  <c:v>17.110269328067364</c:v>
                </c:pt>
                <c:pt idx="8">
                  <c:v>24.280796249305705</c:v>
                </c:pt>
                <c:pt idx="9">
                  <c:v>34.468040687357508</c:v>
                </c:pt>
                <c:pt idx="10">
                  <c:v>48.945736232380085</c:v>
                </c:pt>
                <c:pt idx="11">
                  <c:v>69.527193563781424</c:v>
                </c:pt>
                <c:pt idx="12">
                  <c:v>98.794562419018675</c:v>
                </c:pt>
                <c:pt idx="13">
                  <c:v>140.42577027671476</c:v>
                </c:pt>
                <c:pt idx="14">
                  <c:v>199.66085477512664</c:v>
                </c:pt>
                <c:pt idx="15">
                  <c:v>283.96726306215527</c:v>
                </c:pt>
                <c:pt idx="16">
                  <c:v>403.98920542193673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90" sqref="F9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4.4800000000000004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</v>
      </c>
      <c r="C9" s="35">
        <v>0.27</v>
      </c>
      <c r="D9" s="36">
        <f t="shared" ref="D9:D18" si="0">C9*$C$5</f>
        <v>1.2096000000000002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7.0000000000000007E-2</v>
      </c>
      <c r="D10" s="36">
        <f t="shared" si="0"/>
        <v>0.31360000000000005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0.66</v>
      </c>
      <c r="D11" s="36">
        <f t="shared" si="0"/>
        <v>2.9568000000000003</v>
      </c>
      <c r="E11" s="37">
        <v>16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324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4.4800000000000004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0.2</v>
      </c>
      <c r="G38" s="54"/>
      <c r="H38" s="54">
        <v>0.8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16</v>
      </c>
      <c r="B88" s="63">
        <v>323</v>
      </c>
      <c r="C88" s="63">
        <v>1</v>
      </c>
      <c r="D88" s="63">
        <v>323</v>
      </c>
      <c r="E88" s="54">
        <v>0.77</v>
      </c>
      <c r="F88" s="54">
        <v>0.21</v>
      </c>
      <c r="G88" s="54"/>
      <c r="H88" s="93"/>
      <c r="I88" s="56">
        <f>IFERROR(B88/A88,"")</f>
        <v>20.1875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F20" sqref="F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pédonculé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Charme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Taro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472.45436307638545</v>
      </c>
      <c r="T3" s="62">
        <f>IF('Données projet'!E9&gt;30,$R$33-$H$33,LOOKUP('Données projet'!$E$9,$A$3:$A$203,R3:R203)-LOOKUP('Données projet'!$E$9,$A$3:$A$203,$H$3:$H$203))</f>
        <v>300.53096194142108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451.73518123022563</v>
      </c>
      <c r="AO3" s="62">
        <f>IF('Données projet'!E10&gt;30,$AM$33-$H$33,LOOKUP('Données projet'!$E$10,$A$3:$A$203,AM3:AM203)-LOOKUP('Données projet'!$E$10,$A$3:$A$203,$H$3:$H$203))</f>
        <v>281.81514890308449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89.029256064672438</v>
      </c>
      <c r="BJ3" s="62">
        <f>IF('Données projet'!E11&gt;30,$BH$33-$H$33,LOOKUP('Données projet'!$E$11,$A$3:$A$203,BH3:BH203)-LOOKUP('Données projet'!$E$11,$A$3:$A$203,$H$3:$H$203))</f>
        <v>439.23889300132794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1.0439615443779955</v>
      </c>
      <c r="P4" s="14">
        <f>EXP(-1.0587+0.8836*LN(O4)+0.284)</f>
        <v>0.478698084995758</v>
      </c>
      <c r="Q4" s="22">
        <f t="shared" ref="Q4:Q34" si="2">(O4+P4)*0.475*44/12</f>
        <v>2.6519655211592874</v>
      </c>
      <c r="R4" s="62">
        <f t="shared" si="0"/>
        <v>123.62464290738131</v>
      </c>
      <c r="S4" s="62">
        <f ca="1">AVERAGE(OFFSET($R$3,0,0,'Données projet'!$E$9+1,1))-AVERAGE(OFFSET($H$3,0,0,'Données projet'!$E$9+1,1))</f>
        <v>472.45436307638545</v>
      </c>
      <c r="T4" s="62">
        <f>$T$3</f>
        <v>300.53096194142108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1.1285083252605668</v>
      </c>
      <c r="AK4" s="14">
        <f>EXP(-1.0587+0.8836*LN(AJ4)+0.284)</f>
        <v>0.51279676560670906</v>
      </c>
      <c r="AL4" s="22">
        <f t="shared" ref="AL4:AL67" si="4">(AJ4+AK4)*0.475*44/12</f>
        <v>2.8586063665938393</v>
      </c>
      <c r="AM4" s="62">
        <f t="shared" ref="AM4:AM67" si="5">AL4+(AD4+AE4)*44/12</f>
        <v>123.83128375281586</v>
      </c>
      <c r="AN4" s="62">
        <f ca="1">AVERAGE(OFFSET($AM$3,0,0,'Données projet'!$E$10+1,1))-AVERAGE(OFFSET($H$3,0,0,'Données projet'!$E$10+1,1))</f>
        <v>451.73518123022563</v>
      </c>
      <c r="AO4" s="62">
        <f>$AO$3</f>
        <v>281.81514890308449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20.1875</v>
      </c>
      <c r="BD4" s="13">
        <f>IF('Données projet'!$A$88&gt;35,BD3+BC4-BL3,IF(A4&lt;'Données projet'!$A$88,$BA$205^A4,IF(A4='Données projet'!$A$88,'Données projet'!$B$88,BD3+BC4-BL3)))</f>
        <v>1.4349116368410941</v>
      </c>
      <c r="BE4" s="14">
        <f>BD4*VLOOKUP('Données projet'!$B$11,Paramètres!$A$1:$I$89,3,0)*VLOOKUP('Données projet'!$B$11,Paramètres!$A$1:$I$89,5,0)</f>
        <v>0.82375407247773536</v>
      </c>
      <c r="BF4" s="14">
        <f>EXP(-1.0587+0.8836*LN(BE4)+0.284)</f>
        <v>0.38828516843419503</v>
      </c>
      <c r="BG4" s="22">
        <f t="shared" ref="BG4:BG67" si="7">(BE4+BF4)*0.475*44/12</f>
        <v>2.1109683445882781</v>
      </c>
      <c r="BH4" s="62">
        <f t="shared" ref="BH4:BH67" si="8">BG4+(AY4+AZ4)*44/12</f>
        <v>123.0836457308103</v>
      </c>
      <c r="BI4" s="62">
        <f ca="1">AVERAGE(OFFSET($BH$3,0,0,'Données projet'!$E$11+1,1))-AVERAGE(OFFSET($H$3,0,0,'Données projet'!$E$11+1,1))</f>
        <v>89.029256064672438</v>
      </c>
      <c r="BJ4" s="62">
        <f>$BJ$3</f>
        <v>439.23889300132794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1.2937508382479692</v>
      </c>
      <c r="P5" s="14">
        <f t="shared" ref="P5:P68" si="33">EXP(-1.0587+0.8836*LN(O5)+0.284)</f>
        <v>0.57860648124254321</v>
      </c>
      <c r="Q5" s="22">
        <f t="shared" si="2"/>
        <v>3.2610223314459752</v>
      </c>
      <c r="R5" s="62">
        <f t="shared" si="0"/>
        <v>127.83111211066949</v>
      </c>
      <c r="S5" s="62">
        <f ca="1">AVERAGE(OFFSET($R$3,0,0,'Données projet'!$E$9+1,1))-AVERAGE(OFFSET($H$3,0,0,'Données projet'!$E$9+1,1))</f>
        <v>472.45436307638545</v>
      </c>
      <c r="T5" s="62">
        <f t="shared" ref="T5:T68" si="34">$T$3</f>
        <v>300.53096194142108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1.3383050022934102</v>
      </c>
      <c r="AK5" s="14">
        <f t="shared" ref="AK5:AK68" si="35">EXP(-1.0587+0.8836*LN(AJ5)+0.284)</f>
        <v>0.59617828357056835</v>
      </c>
      <c r="AL5" s="22">
        <f t="shared" si="4"/>
        <v>3.3692250562130952</v>
      </c>
      <c r="AM5" s="62">
        <f t="shared" si="5"/>
        <v>127.93931483543662</v>
      </c>
      <c r="AN5" s="62">
        <f ca="1">AVERAGE(OFFSET($AM$3,0,0,'Données projet'!$E$10+1,1))-AVERAGE(OFFSET($H$3,0,0,'Données projet'!$E$10+1,1))</f>
        <v>451.73518123022563</v>
      </c>
      <c r="AO5" s="62">
        <f t="shared" ref="AO5:AO68" si="36">$AO$3</f>
        <v>281.81514890308449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20.1875</v>
      </c>
      <c r="BD5" s="13">
        <f>IF('Données projet'!$A$88&gt;35,BD4+BC5-BL4,IF(A5&lt;'Données projet'!$A$88,$BA$205^A5,IF(A5='Données projet'!$A$88,'Données projet'!$B$88,BD4+BC5-BL4)))</f>
        <v>2.0589714055419881</v>
      </c>
      <c r="BE5" s="14">
        <f>BD5*VLOOKUP('Données projet'!$B$11,Paramètres!$A$1:$I$89,3,0)*VLOOKUP('Données projet'!$B$11,Paramètres!$A$1:$I$89,5,0)</f>
        <v>1.1820143044935445</v>
      </c>
      <c r="BF5" s="14">
        <f t="shared" ref="BF5:BF68" si="37">EXP(-1.0587+0.8836*LN(BE5)+0.284)</f>
        <v>0.53422168293975592</v>
      </c>
      <c r="BG5" s="22">
        <f t="shared" si="7"/>
        <v>2.9891110114463313</v>
      </c>
      <c r="BH5" s="62">
        <f t="shared" si="8"/>
        <v>127.55920079066985</v>
      </c>
      <c r="BI5" s="62">
        <f ca="1">AVERAGE(OFFSET($BH$3,0,0,'Données projet'!$E$11+1,1))-AVERAGE(OFFSET($H$3,0,0,'Données projet'!$E$11+1,1))</f>
        <v>89.029256064672438</v>
      </c>
      <c r="BJ5" s="62">
        <f t="shared" ref="BJ5:BJ68" si="38">$BJ$3</f>
        <v>439.23889300132794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1.6033073636487132</v>
      </c>
      <c r="P6" s="14">
        <f t="shared" si="33"/>
        <v>0.69936661672428513</v>
      </c>
      <c r="Q6" s="22">
        <f t="shared" si="2"/>
        <v>4.0104905158163051</v>
      </c>
      <c r="R6" s="62">
        <f t="shared" si="0"/>
        <v>132.13678844870802</v>
      </c>
      <c r="S6" s="62">
        <f ca="1">AVERAGE(OFFSET($R$3,0,0,'Données projet'!$E$9+1,1))-AVERAGE(OFFSET($H$3,0,0,'Données projet'!$E$9+1,1))</f>
        <v>472.45436307638545</v>
      </c>
      <c r="T6" s="62">
        <f t="shared" si="34"/>
        <v>300.53096194142108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1.5871041790941314</v>
      </c>
      <c r="AK6" s="14">
        <f t="shared" si="35"/>
        <v>0.69311776056276053</v>
      </c>
      <c r="AL6" s="22">
        <f t="shared" si="4"/>
        <v>3.9713865449024204</v>
      </c>
      <c r="AM6" s="62">
        <f t="shared" si="5"/>
        <v>132.09768447779413</v>
      </c>
      <c r="AN6" s="62">
        <f ca="1">AVERAGE(OFFSET($AM$3,0,0,'Données projet'!$E$10+1,1))-AVERAGE(OFFSET($H$3,0,0,'Données projet'!$E$10+1,1))</f>
        <v>451.73518123022563</v>
      </c>
      <c r="AO6" s="62">
        <f t="shared" si="36"/>
        <v>281.81514890308449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20.1875</v>
      </c>
      <c r="BD6" s="13">
        <f>IF('Données projet'!$A$88&gt;35,BD5+BC6-BL5,IF(A6&lt;'Données projet'!$A$88,$BA$205^A6,IF(A6='Données projet'!$A$88,'Données projet'!$B$88,BD5+BC6-BL5)))</f>
        <v>2.9544420297352625</v>
      </c>
      <c r="BE6" s="14">
        <f>BD6*VLOOKUP('Données projet'!$B$11,Paramètres!$A$1:$I$89,3,0)*VLOOKUP('Données projet'!$B$11,Paramètres!$A$1:$I$89,5,0)</f>
        <v>1.6960860804304194</v>
      </c>
      <c r="BF6" s="14">
        <f t="shared" si="37"/>
        <v>0.73500826125773666</v>
      </c>
      <c r="BG6" s="22">
        <f t="shared" si="7"/>
        <v>4.2341559784402039</v>
      </c>
      <c r="BH6" s="62">
        <f t="shared" si="8"/>
        <v>132.36045391133192</v>
      </c>
      <c r="BI6" s="62">
        <f ca="1">AVERAGE(OFFSET($BH$3,0,0,'Données projet'!$E$11+1,1))-AVERAGE(OFFSET($H$3,0,0,'Données projet'!$E$11+1,1))</f>
        <v>89.029256064672438</v>
      </c>
      <c r="BJ6" s="62">
        <f t="shared" si="38"/>
        <v>439.23889300132794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1.9869316612859962</v>
      </c>
      <c r="P7" s="14">
        <f t="shared" si="33"/>
        <v>0.84533042826968274</v>
      </c>
      <c r="Q7" s="22">
        <f t="shared" si="2"/>
        <v>4.9328564726428068</v>
      </c>
      <c r="R7" s="62">
        <f t="shared" si="0"/>
        <v>136.57487312130291</v>
      </c>
      <c r="S7" s="62">
        <f ca="1">AVERAGE(OFFSET($R$3,0,0,'Données projet'!$E$9+1,1))-AVERAGE(OFFSET($H$3,0,0,'Données projet'!$E$9+1,1))</f>
        <v>472.45436307638545</v>
      </c>
      <c r="T7" s="62">
        <f t="shared" si="34"/>
        <v>300.53096194142108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1.882156661584242</v>
      </c>
      <c r="AK7" s="14">
        <f t="shared" si="35"/>
        <v>0.80581974091760233</v>
      </c>
      <c r="AL7" s="22">
        <f t="shared" si="4"/>
        <v>4.6815589010240446</v>
      </c>
      <c r="AM7" s="62">
        <f t="shared" si="5"/>
        <v>136.32357554968414</v>
      </c>
      <c r="AN7" s="62">
        <f ca="1">AVERAGE(OFFSET($AM$3,0,0,'Données projet'!$E$10+1,1))-AVERAGE(OFFSET($H$3,0,0,'Données projet'!$E$10+1,1))</f>
        <v>451.73518123022563</v>
      </c>
      <c r="AO7" s="62">
        <f t="shared" si="36"/>
        <v>281.81514890308449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20.1875</v>
      </c>
      <c r="BD7" s="13">
        <f>IF('Données projet'!$A$88&gt;35,BD6+BC7-BL6,IF(A7&lt;'Données projet'!$A$88,$BA$205^A7,IF(A7='Données projet'!$A$88,'Données projet'!$B$88,BD6+BC7-BL6)))</f>
        <v>4.2393632488395498</v>
      </c>
      <c r="BE7" s="14">
        <f>BD7*VLOOKUP('Données projet'!$B$11,Paramètres!$A$1:$I$89,3,0)*VLOOKUP('Données projet'!$B$11,Paramètres!$A$1:$I$89,5,0)</f>
        <v>2.433733653893809</v>
      </c>
      <c r="BF7" s="14">
        <f t="shared" si="37"/>
        <v>1.0112602340366703</v>
      </c>
      <c r="BG7" s="22">
        <f t="shared" si="7"/>
        <v>6.0000310214789181</v>
      </c>
      <c r="BH7" s="62">
        <f t="shared" si="8"/>
        <v>137.64204767013902</v>
      </c>
      <c r="BI7" s="62">
        <f ca="1">AVERAGE(OFFSET($BH$3,0,0,'Données projet'!$E$11+1,1))-AVERAGE(OFFSET($H$3,0,0,'Données projet'!$E$11+1,1))</f>
        <v>89.029256064672438</v>
      </c>
      <c r="BJ7" s="62">
        <f t="shared" si="38"/>
        <v>439.23889300132794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2.462345970666743</v>
      </c>
      <c r="P8" s="14">
        <f t="shared" si="33"/>
        <v>1.021758139251189</v>
      </c>
      <c r="Q8" s="22">
        <f t="shared" si="2"/>
        <v>6.068147991440398</v>
      </c>
      <c r="R8" s="62">
        <f t="shared" si="0"/>
        <v>141.18609631919588</v>
      </c>
      <c r="S8" s="62">
        <f ca="1">AVERAGE(OFFSET($R$3,0,0,'Données projet'!$E$9+1,1))-AVERAGE(OFFSET($H$3,0,0,'Données projet'!$E$9+1,1))</f>
        <v>472.45436307638545</v>
      </c>
      <c r="T8" s="62">
        <f t="shared" si="34"/>
        <v>300.53096194142108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2.2320612253493612</v>
      </c>
      <c r="AK8" s="14">
        <f t="shared" si="35"/>
        <v>0.93684723116212032</v>
      </c>
      <c r="AL8" s="22">
        <f t="shared" si="4"/>
        <v>5.5191822284241638</v>
      </c>
      <c r="AM8" s="62">
        <f t="shared" si="5"/>
        <v>140.63713055617967</v>
      </c>
      <c r="AN8" s="62">
        <f ca="1">AVERAGE(OFFSET($AM$3,0,0,'Données projet'!$E$10+1,1))-AVERAGE(OFFSET($H$3,0,0,'Données projet'!$E$10+1,1))</f>
        <v>451.73518123022563</v>
      </c>
      <c r="AO8" s="62">
        <f t="shared" si="36"/>
        <v>281.81514890308449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20.1875</v>
      </c>
      <c r="BD8" s="13">
        <f>IF('Données projet'!$A$88&gt;35,BD7+BC8-BL7,IF(A8&lt;'Données projet'!$A$88,$BA$205^A8,IF(A8='Données projet'!$A$88,'Données projet'!$B$88,BD7+BC8-BL7)))</f>
        <v>6.0831116585563372</v>
      </c>
      <c r="BE8" s="14">
        <f>BD8*VLOOKUP('Données projet'!$B$11,Paramètres!$A$1:$I$89,3,0)*VLOOKUP('Données projet'!$B$11,Paramètres!$A$1:$I$89,5,0)</f>
        <v>3.4921927409440223</v>
      </c>
      <c r="BF8" s="14">
        <f t="shared" si="37"/>
        <v>1.3913411792051975</v>
      </c>
      <c r="BG8" s="22">
        <f t="shared" si="7"/>
        <v>8.505488244259892</v>
      </c>
      <c r="BH8" s="62">
        <f t="shared" si="8"/>
        <v>143.62343657201538</v>
      </c>
      <c r="BI8" s="62">
        <f ca="1">AVERAGE(OFFSET($BH$3,0,0,'Données projet'!$E$11+1,1))-AVERAGE(OFFSET($H$3,0,0,'Données projet'!$E$11+1,1))</f>
        <v>89.029256064672438</v>
      </c>
      <c r="BJ8" s="62">
        <f t="shared" si="38"/>
        <v>439.23889300132794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3.0515129419874016</v>
      </c>
      <c r="P9" s="14">
        <f t="shared" si="33"/>
        <v>1.2350078267772846</v>
      </c>
      <c r="Q9" s="22">
        <f t="shared" si="2"/>
        <v>7.4656903389318279</v>
      </c>
      <c r="R9" s="62">
        <f t="shared" si="0"/>
        <v>146.02047352524551</v>
      </c>
      <c r="S9" s="62">
        <f ca="1">AVERAGE(OFFSET($R$3,0,0,'Données projet'!$E$9+1,1))-AVERAGE(OFFSET($H$3,0,0,'Données projet'!$E$9+1,1))</f>
        <v>472.45436307638545</v>
      </c>
      <c r="T9" s="62">
        <f t="shared" si="34"/>
        <v>300.53096194142108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2.6470152115364192</v>
      </c>
      <c r="AK9" s="14">
        <f t="shared" si="35"/>
        <v>1.0891799865025611</v>
      </c>
      <c r="AL9" s="22">
        <f t="shared" si="4"/>
        <v>6.5072066365845567</v>
      </c>
      <c r="AM9" s="62">
        <f t="shared" si="5"/>
        <v>145.06198982289823</v>
      </c>
      <c r="AN9" s="62">
        <f ca="1">AVERAGE(OFFSET($AM$3,0,0,'Données projet'!$E$10+1,1))-AVERAGE(OFFSET($H$3,0,0,'Données projet'!$E$10+1,1))</f>
        <v>451.73518123022563</v>
      </c>
      <c r="AO9" s="62">
        <f t="shared" si="36"/>
        <v>281.81514890308449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20.1875</v>
      </c>
      <c r="BD9" s="13">
        <f>IF('Données projet'!$A$88&gt;35,BD8+BC9-BL8,IF(A9&lt;'Données projet'!$A$88,$BA$205^A9,IF(A9='Données projet'!$A$88,'Données projet'!$B$88,BD8+BC9-BL8)))</f>
        <v>8.7287277070662164</v>
      </c>
      <c r="BE9" s="14">
        <f>BD9*VLOOKUP('Données projet'!$B$11,Paramètres!$A$1:$I$89,3,0)*VLOOKUP('Données projet'!$B$11,Paramètres!$A$1:$I$89,5,0)</f>
        <v>5.0109880020725734</v>
      </c>
      <c r="BF9" s="14">
        <f t="shared" si="37"/>
        <v>1.9142750914122386</v>
      </c>
      <c r="BG9" s="22">
        <f t="shared" si="7"/>
        <v>12.06149988781938</v>
      </c>
      <c r="BH9" s="62">
        <f t="shared" si="8"/>
        <v>150.61628307413304</v>
      </c>
      <c r="BI9" s="62">
        <f ca="1">AVERAGE(OFFSET($BH$3,0,0,'Données projet'!$E$11+1,1))-AVERAGE(OFFSET($H$3,0,0,'Données projet'!$E$11+1,1))</f>
        <v>89.029256064672438</v>
      </c>
      <c r="BJ9" s="62">
        <f t="shared" si="38"/>
        <v>439.23889300132794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3.7816502416982529</v>
      </c>
      <c r="P10" s="14">
        <f t="shared" si="33"/>
        <v>1.492764553183741</v>
      </c>
      <c r="Q10" s="22">
        <f t="shared" si="2"/>
        <v>9.1862724344194735</v>
      </c>
      <c r="R10" s="62">
        <f t="shared" si="0"/>
        <v>151.13947190118299</v>
      </c>
      <c r="S10" s="62">
        <f ca="1">AVERAGE(OFFSET($R$3,0,0,'Données projet'!$E$9+1,1))-AVERAGE(OFFSET($H$3,0,0,'Données projet'!$E$9+1,1))</f>
        <v>472.45436307638545</v>
      </c>
      <c r="T10" s="62">
        <f t="shared" si="34"/>
        <v>300.53096194142108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3.1391117100779837</v>
      </c>
      <c r="AK10" s="14">
        <f t="shared" si="35"/>
        <v>1.2662822747804323</v>
      </c>
      <c r="AL10" s="22">
        <f t="shared" si="4"/>
        <v>7.6727278569617399</v>
      </c>
      <c r="AM10" s="62">
        <f t="shared" si="5"/>
        <v>149.62592732372525</v>
      </c>
      <c r="AN10" s="62">
        <f ca="1">AVERAGE(OFFSET($AM$3,0,0,'Données projet'!$E$10+1,1))-AVERAGE(OFFSET($H$3,0,0,'Données projet'!$E$10+1,1))</f>
        <v>451.73518123022563</v>
      </c>
      <c r="AO10" s="62">
        <f t="shared" si="36"/>
        <v>281.81514890308449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20.1875</v>
      </c>
      <c r="BD10" s="13">
        <f>IF('Données projet'!$A$88&gt;35,BD9+BC10-BL9,IF(A10&lt;'Données projet'!$A$88,$BA$205^A10,IF(A10='Données projet'!$A$88,'Données projet'!$B$88,BD9+BC10-BL9)))</f>
        <v>12.524952961686596</v>
      </c>
      <c r="BE10" s="14">
        <f>BD10*VLOOKUP('Données projet'!$B$11,Paramètres!$A$1:$I$89,3,0)*VLOOKUP('Données projet'!$B$11,Paramètres!$A$1:$I$89,5,0)</f>
        <v>7.1903249962450406</v>
      </c>
      <c r="BF10" s="14">
        <f t="shared" si="37"/>
        <v>2.6337530868558403</v>
      </c>
      <c r="BG10" s="22">
        <f t="shared" si="7"/>
        <v>17.110269328067364</v>
      </c>
      <c r="BH10" s="62">
        <f t="shared" si="8"/>
        <v>159.0634687948309</v>
      </c>
      <c r="BI10" s="62">
        <f ca="1">AVERAGE(OFFSET($BH$3,0,0,'Données projet'!$E$11+1,1))-AVERAGE(OFFSET($H$3,0,0,'Données projet'!$E$11+1,1))</f>
        <v>89.029256064672438</v>
      </c>
      <c r="BJ10" s="62">
        <f t="shared" si="38"/>
        <v>439.23889300132794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4.6864879233389463</v>
      </c>
      <c r="P11" s="14">
        <f t="shared" si="33"/>
        <v>1.8043173192324258</v>
      </c>
      <c r="Q11" s="22">
        <f t="shared" si="2"/>
        <v>11.304819130811806</v>
      </c>
      <c r="R11" s="62">
        <f t="shared" si="0"/>
        <v>156.61868277635597</v>
      </c>
      <c r="S11" s="62">
        <f ca="1">AVERAGE(OFFSET($R$3,0,0,'Données projet'!$E$9+1,1))-AVERAGE(OFFSET($H$3,0,0,'Données projet'!$E$9+1,1))</f>
        <v>472.45436307638545</v>
      </c>
      <c r="T11" s="62">
        <f t="shared" si="34"/>
        <v>300.53096194142108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3.7226919911159508</v>
      </c>
      <c r="AK11" s="14">
        <f t="shared" si="35"/>
        <v>1.4721816589487393</v>
      </c>
      <c r="AL11" s="22">
        <f t="shared" si="4"/>
        <v>9.0477382738626684</v>
      </c>
      <c r="AM11" s="62">
        <f t="shared" si="5"/>
        <v>154.36160191940684</v>
      </c>
      <c r="AN11" s="62">
        <f ca="1">AVERAGE(OFFSET($AM$3,0,0,'Données projet'!$E$10+1,1))-AVERAGE(OFFSET($H$3,0,0,'Données projet'!$E$10+1,1))</f>
        <v>451.73518123022563</v>
      </c>
      <c r="AO11" s="62">
        <f t="shared" si="36"/>
        <v>281.81514890308449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20.1875</v>
      </c>
      <c r="BD11" s="13">
        <f>IF('Données projet'!$A$88&gt;35,BD10+BC11-BL10,IF(A11&lt;'Données projet'!$A$88,$BA$205^A11,IF(A11='Données projet'!$A$88,'Données projet'!$B$88,BD10+BC11-BL10)))</f>
        <v>17.972200755611421</v>
      </c>
      <c r="BE11" s="14">
        <f>BD11*VLOOKUP('Données projet'!$B$11,Paramètres!$A$1:$I$89,3,0)*VLOOKUP('Données projet'!$B$11,Paramètres!$A$1:$I$89,5,0)</f>
        <v>10.317481009781405</v>
      </c>
      <c r="BF11" s="14">
        <f t="shared" si="37"/>
        <v>3.6236460233127818</v>
      </c>
      <c r="BG11" s="22">
        <f t="shared" si="7"/>
        <v>24.280796249305705</v>
      </c>
      <c r="BH11" s="62">
        <f t="shared" si="8"/>
        <v>169.59465989484985</v>
      </c>
      <c r="BI11" s="62">
        <f ca="1">AVERAGE(OFFSET($BH$3,0,0,'Données projet'!$E$11+1,1))-AVERAGE(OFFSET($H$3,0,0,'Données projet'!$E$11+1,1))</f>
        <v>89.029256064672438</v>
      </c>
      <c r="BJ11" s="62">
        <f t="shared" si="38"/>
        <v>439.23889300132794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5.8078266502347455</v>
      </c>
      <c r="P12" s="14">
        <f t="shared" si="33"/>
        <v>2.1808938198181922</v>
      </c>
      <c r="Q12" s="22">
        <f t="shared" si="2"/>
        <v>13.913688152008866</v>
      </c>
      <c r="R12" s="62">
        <f t="shared" si="0"/>
        <v>162.55111878922736</v>
      </c>
      <c r="S12" s="62">
        <f ca="1">AVERAGE(OFFSET($R$3,0,0,'Données projet'!$E$9+1,1))-AVERAGE(OFFSET($H$3,0,0,'Données projet'!$E$9+1,1))</f>
        <v>472.45436307638545</v>
      </c>
      <c r="T12" s="62">
        <f t="shared" si="34"/>
        <v>300.53096194142108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4.4147634556065434</v>
      </c>
      <c r="AK12" s="14">
        <f t="shared" si="35"/>
        <v>1.7115605896962163</v>
      </c>
      <c r="AL12" s="22">
        <f t="shared" si="4"/>
        <v>10.670014378902303</v>
      </c>
      <c r="AM12" s="62">
        <f t="shared" si="5"/>
        <v>159.30744501612079</v>
      </c>
      <c r="AN12" s="62">
        <f ca="1">AVERAGE(OFFSET($AM$3,0,0,'Données projet'!$E$10+1,1))-AVERAGE(OFFSET($H$3,0,0,'Données projet'!$E$10+1,1))</f>
        <v>451.73518123022563</v>
      </c>
      <c r="AO12" s="62">
        <f t="shared" si="36"/>
        <v>281.81514890308449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20.1875</v>
      </c>
      <c r="BD12" s="13">
        <f>IF('Données projet'!$A$88&gt;35,BD11+BC12-BL11,IF(A12&lt;'Données projet'!$A$88,$BA$205^A12,IF(A12='Données projet'!$A$88,'Données projet'!$B$88,BD11+BC12-BL11)))</f>
        <v>25.788520003871135</v>
      </c>
      <c r="BE12" s="14">
        <f>BD12*VLOOKUP('Données projet'!$B$11,Paramètres!$A$1:$I$89,3,0)*VLOOKUP('Données projet'!$B$11,Paramètres!$A$1:$I$89,5,0)</f>
        <v>14.804673563822343</v>
      </c>
      <c r="BF12" s="14">
        <f t="shared" si="37"/>
        <v>4.9855890317896217</v>
      </c>
      <c r="BG12" s="22">
        <f t="shared" si="7"/>
        <v>34.468040687357508</v>
      </c>
      <c r="BH12" s="62">
        <f t="shared" si="8"/>
        <v>183.105471324576</v>
      </c>
      <c r="BI12" s="62">
        <f ca="1">AVERAGE(OFFSET($BH$3,0,0,'Données projet'!$E$11+1,1))-AVERAGE(OFFSET($H$3,0,0,'Données projet'!$E$11+1,1))</f>
        <v>89.029256064672438</v>
      </c>
      <c r="BJ12" s="62">
        <f t="shared" si="38"/>
        <v>439.23889300132794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7.1974687550554899</v>
      </c>
      <c r="P13" s="14">
        <f t="shared" si="33"/>
        <v>2.6360650660630816</v>
      </c>
      <c r="Q13" s="22">
        <f t="shared" si="2"/>
        <v>17.126738071781514</v>
      </c>
      <c r="R13" s="62">
        <f t="shared" si="0"/>
        <v>169.05128206682753</v>
      </c>
      <c r="S13" s="62">
        <f ca="1">AVERAGE(OFFSET($R$3,0,0,'Données projet'!$E$9+1,1))-AVERAGE(OFFSET($H$3,0,0,'Données projet'!$E$9+1,1))</f>
        <v>472.45436307638545</v>
      </c>
      <c r="T13" s="62">
        <f t="shared" si="34"/>
        <v>300.53096194142108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5.2354952855276293</v>
      </c>
      <c r="AK13" s="14">
        <f t="shared" si="35"/>
        <v>1.9898628911686913</v>
      </c>
      <c r="AL13" s="22">
        <f t="shared" si="4"/>
        <v>12.584165491079425</v>
      </c>
      <c r="AM13" s="62">
        <f t="shared" si="5"/>
        <v>164.50870948612544</v>
      </c>
      <c r="AN13" s="62">
        <f ca="1">AVERAGE(OFFSET($AM$3,0,0,'Données projet'!$E$10+1,1))-AVERAGE(OFFSET($H$3,0,0,'Données projet'!$E$10+1,1))</f>
        <v>451.73518123022563</v>
      </c>
      <c r="AO13" s="62">
        <f t="shared" si="36"/>
        <v>281.81514890308449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20.1875</v>
      </c>
      <c r="BD13" s="13">
        <f>IF('Données projet'!$A$88&gt;35,BD12+BC13-BL12,IF(A13&lt;'Données projet'!$A$88,$BA$205^A13,IF(A13='Données projet'!$A$88,'Données projet'!$B$88,BD12+BC13-BL12)))</f>
        <v>37.004247450464028</v>
      </c>
      <c r="BE13" s="14">
        <f>BD13*VLOOKUP('Données projet'!$B$11,Paramètres!$A$1:$I$89,3,0)*VLOOKUP('Données projet'!$B$11,Paramètres!$A$1:$I$89,5,0)</f>
        <v>21.243398376362389</v>
      </c>
      <c r="BF13" s="14">
        <f t="shared" si="37"/>
        <v>6.8594166852912499</v>
      </c>
      <c r="BG13" s="22">
        <f t="shared" si="7"/>
        <v>48.945736232380085</v>
      </c>
      <c r="BH13" s="62">
        <f t="shared" si="8"/>
        <v>200.87028022742609</v>
      </c>
      <c r="BI13" s="62">
        <f ca="1">AVERAGE(OFFSET($BH$3,0,0,'Données projet'!$E$11+1,1))-AVERAGE(OFFSET($H$3,0,0,'Données projet'!$E$11+1,1))</f>
        <v>89.029256064672438</v>
      </c>
      <c r="BJ13" s="62">
        <f t="shared" si="38"/>
        <v>439.23889300132794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8.9196113451330703</v>
      </c>
      <c r="P14" s="14">
        <f t="shared" si="33"/>
        <v>3.186234455512118</v>
      </c>
      <c r="Q14" s="22">
        <f t="shared" si="2"/>
        <v>21.084348102790369</v>
      </c>
      <c r="R14" s="62">
        <f t="shared" si="0"/>
        <v>176.26018421086604</v>
      </c>
      <c r="S14" s="62">
        <f ca="1">AVERAGE(OFFSET($R$3,0,0,'Données projet'!$E$9+1,1))-AVERAGE(OFFSET($H$3,0,0,'Données projet'!$E$9+1,1))</f>
        <v>472.45436307638545</v>
      </c>
      <c r="T14" s="62">
        <f t="shared" si="34"/>
        <v>300.53096194142108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6.2088062385249874</v>
      </c>
      <c r="AK14" s="14">
        <f t="shared" si="35"/>
        <v>2.3134175614273764</v>
      </c>
      <c r="AL14" s="22">
        <f t="shared" si="4"/>
        <v>14.842873118250367</v>
      </c>
      <c r="AM14" s="62">
        <f t="shared" si="5"/>
        <v>170.01870922632605</v>
      </c>
      <c r="AN14" s="62">
        <f ca="1">AVERAGE(OFFSET($AM$3,0,0,'Données projet'!$E$10+1,1))-AVERAGE(OFFSET($H$3,0,0,'Données projet'!$E$10+1,1))</f>
        <v>451.73518123022563</v>
      </c>
      <c r="AO14" s="62">
        <f t="shared" si="36"/>
        <v>281.81514890308449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20.1875</v>
      </c>
      <c r="BD14" s="13">
        <f>IF('Données projet'!$A$88&gt;35,BD13+BC14-BL13,IF(A14&lt;'Données projet'!$A$88,$BA$205^A14,IF(A14='Données projet'!$A$88,'Données projet'!$B$88,BD13+BC14-BL13)))</f>
        <v>53.097825279218227</v>
      </c>
      <c r="BE14" s="14">
        <f>BD14*VLOOKUP('Données projet'!$B$11,Paramètres!$A$1:$I$89,3,0)*VLOOKUP('Données projet'!$B$11,Paramètres!$A$1:$I$89,5,0)</f>
        <v>30.482399536293602</v>
      </c>
      <c r="BF14" s="14">
        <f t="shared" si="37"/>
        <v>9.4375202132459748</v>
      </c>
      <c r="BG14" s="22">
        <f t="shared" si="7"/>
        <v>69.527193563781424</v>
      </c>
      <c r="BH14" s="62">
        <f t="shared" si="8"/>
        <v>224.70302967185711</v>
      </c>
      <c r="BI14" s="62">
        <f ca="1">AVERAGE(OFFSET($BH$3,0,0,'Données projet'!$E$11+1,1))-AVERAGE(OFFSET($H$3,0,0,'Données projet'!$E$11+1,1))</f>
        <v>89.029256064672438</v>
      </c>
      <c r="BJ14" s="62">
        <f t="shared" si="38"/>
        <v>439.23889300132794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11.053812007498347</v>
      </c>
      <c r="P15" s="14">
        <f t="shared" si="33"/>
        <v>3.8512289154738402</v>
      </c>
      <c r="Q15" s="22">
        <f t="shared" si="2"/>
        <v>25.959612940843225</v>
      </c>
      <c r="R15" s="62">
        <f t="shared" si="0"/>
        <v>184.35154133566382</v>
      </c>
      <c r="S15" s="62">
        <f ca="1">AVERAGE(OFFSET($R$3,0,0,'Données projet'!$E$9+1,1))-AVERAGE(OFFSET($H$3,0,0,'Données projet'!$E$9+1,1))</f>
        <v>472.45436307638545</v>
      </c>
      <c r="T15" s="62">
        <f t="shared" si="34"/>
        <v>300.53096194142108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7.3630617172185726</v>
      </c>
      <c r="AK15" s="14">
        <f t="shared" si="35"/>
        <v>2.6895827030460873</v>
      </c>
      <c r="AL15" s="22">
        <f t="shared" si="4"/>
        <v>17.508355698627614</v>
      </c>
      <c r="AM15" s="62">
        <f t="shared" si="5"/>
        <v>175.90028409344822</v>
      </c>
      <c r="AN15" s="62">
        <f ca="1">AVERAGE(OFFSET($AM$3,0,0,'Données projet'!$E$10+1,1))-AVERAGE(OFFSET($H$3,0,0,'Données projet'!$E$10+1,1))</f>
        <v>451.73518123022563</v>
      </c>
      <c r="AO15" s="62">
        <f t="shared" si="36"/>
        <v>281.81514890308449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20.1875</v>
      </c>
      <c r="BD15" s="13">
        <f>IF('Données projet'!$A$88&gt;35,BD14+BC15-BL14,IF(A15&lt;'Données projet'!$A$88,$BA$205^A15,IF(A15='Données projet'!$A$88,'Données projet'!$B$88,BD14+BC15-BL14)))</f>
        <v>76.190687384105445</v>
      </c>
      <c r="BE15" s="14">
        <f>BD15*VLOOKUP('Données projet'!$B$11,Paramètres!$A$1:$I$89,3,0)*VLOOKUP('Données projet'!$B$11,Paramètres!$A$1:$I$89,5,0)</f>
        <v>43.739549813467256</v>
      </c>
      <c r="BF15" s="14">
        <f t="shared" si="37"/>
        <v>12.98460085773964</v>
      </c>
      <c r="BG15" s="22">
        <f t="shared" si="7"/>
        <v>98.794562419018675</v>
      </c>
      <c r="BH15" s="62">
        <f t="shared" si="8"/>
        <v>257.18649081383927</v>
      </c>
      <c r="BI15" s="62">
        <f ca="1">AVERAGE(OFFSET($BH$3,0,0,'Données projet'!$E$11+1,1))-AVERAGE(OFFSET($H$3,0,0,'Données projet'!$E$11+1,1))</f>
        <v>89.029256064672438</v>
      </c>
      <c r="BJ15" s="62">
        <f t="shared" si="38"/>
        <v>439.23889300132794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13.698664119909786</v>
      </c>
      <c r="P16" s="14">
        <f t="shared" si="33"/>
        <v>4.6550134230463893</v>
      </c>
      <c r="Q16" s="22">
        <f t="shared" si="2"/>
        <v>31.965988387315338</v>
      </c>
      <c r="R16" s="62">
        <f t="shared" si="0"/>
        <v>193.53941988088704</v>
      </c>
      <c r="S16" s="62">
        <f ca="1">AVERAGE(OFFSET($R$3,0,0,'Données projet'!$E$9+1,1))-AVERAGE(OFFSET($H$3,0,0,'Données projet'!$E$9+1,1))</f>
        <v>472.45436307638545</v>
      </c>
      <c r="T16" s="62">
        <f t="shared" si="34"/>
        <v>300.53096194142108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8.7319004280039128</v>
      </c>
      <c r="AK16" s="14">
        <f t="shared" si="35"/>
        <v>3.1269128570379721</v>
      </c>
      <c r="AL16" s="22">
        <f t="shared" si="4"/>
        <v>20.654099804781278</v>
      </c>
      <c r="AM16" s="62">
        <f t="shared" si="5"/>
        <v>182.22753129835297</v>
      </c>
      <c r="AN16" s="62">
        <f ca="1">AVERAGE(OFFSET($AM$3,0,0,'Données projet'!$E$10+1,1))-AVERAGE(OFFSET($H$3,0,0,'Données projet'!$E$10+1,1))</f>
        <v>451.73518123022563</v>
      </c>
      <c r="AO16" s="62">
        <f t="shared" si="36"/>
        <v>281.81514890308449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20.1875</v>
      </c>
      <c r="BD16" s="13">
        <f>IF('Données projet'!$A$88&gt;35,BD15+BC16-BL15,IF(A16&lt;'Données projet'!$A$88,$BA$205^A16,IF(A16='Données projet'!$A$88,'Données projet'!$B$88,BD15+BC16-BL15)))</f>
        <v>109.32690394637486</v>
      </c>
      <c r="BE16" s="14">
        <f>BD16*VLOOKUP('Données projet'!$B$11,Paramètres!$A$1:$I$89,3,0)*VLOOKUP('Données projet'!$B$11,Paramètres!$A$1:$I$89,5,0)</f>
        <v>62.762389017534879</v>
      </c>
      <c r="BF16" s="14">
        <f t="shared" si="37"/>
        <v>17.864847504980776</v>
      </c>
      <c r="BG16" s="22">
        <f t="shared" si="7"/>
        <v>140.42577027671476</v>
      </c>
      <c r="BH16" s="62">
        <f t="shared" si="8"/>
        <v>301.99920177028645</v>
      </c>
      <c r="BI16" s="62">
        <f ca="1">AVERAGE(OFFSET($BH$3,0,0,'Données projet'!$E$11+1,1))-AVERAGE(OFFSET($H$3,0,0,'Données projet'!$E$11+1,1))</f>
        <v>89.029256064672438</v>
      </c>
      <c r="BJ16" s="62">
        <f t="shared" si="38"/>
        <v>439.23889300132794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16.976351555717539</v>
      </c>
      <c r="P17" s="14">
        <f t="shared" si="33"/>
        <v>5.6265546516016363</v>
      </c>
      <c r="Q17" s="22">
        <f t="shared" si="2"/>
        <v>39.366728311080898</v>
      </c>
      <c r="R17" s="62">
        <f t="shared" si="0"/>
        <v>204.0876737604917</v>
      </c>
      <c r="S17" s="62">
        <f ca="1">AVERAGE(OFFSET($R$3,0,0,'Données projet'!$E$9+1,1))-AVERAGE(OFFSET($H$3,0,0,'Données projet'!$E$9+1,1))</f>
        <v>472.45436307638545</v>
      </c>
      <c r="T17" s="62">
        <f t="shared" si="34"/>
        <v>300.53096194142108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10.355214720837244</v>
      </c>
      <c r="AK17" s="14">
        <f t="shared" si="35"/>
        <v>3.6353535455279977</v>
      </c>
      <c r="AL17" s="22">
        <f t="shared" si="4"/>
        <v>24.366906397252794</v>
      </c>
      <c r="AM17" s="62">
        <f t="shared" si="5"/>
        <v>189.0878518466636</v>
      </c>
      <c r="AN17" s="62">
        <f ca="1">AVERAGE(OFFSET($AM$3,0,0,'Données projet'!$E$10+1,1))-AVERAGE(OFFSET($H$3,0,0,'Données projet'!$E$10+1,1))</f>
        <v>451.73518123022563</v>
      </c>
      <c r="AO17" s="62">
        <f t="shared" si="36"/>
        <v>281.81514890308449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20.1875</v>
      </c>
      <c r="BD17" s="13">
        <f>IF('Données projet'!$A$88&gt;35,BD16+BC17-BL16,IF(A17&lt;'Données projet'!$A$88,$BA$205^A17,IF(A17='Données projet'!$A$88,'Données projet'!$B$88,BD16+BC17-BL16)))</f>
        <v>156.87444669246182</v>
      </c>
      <c r="BE17" s="14">
        <f>BD17*VLOOKUP('Données projet'!$B$11,Paramètres!$A$1:$I$89,3,0)*VLOOKUP('Données projet'!$B$11,Paramètres!$A$1:$I$89,5,0)</f>
        <v>90.058482357208476</v>
      </c>
      <c r="BF17" s="14">
        <f t="shared" si="37"/>
        <v>24.579328996931221</v>
      </c>
      <c r="BG17" s="22">
        <f t="shared" si="7"/>
        <v>199.66085477512664</v>
      </c>
      <c r="BH17" s="62">
        <f t="shared" si="8"/>
        <v>364.38180022453741</v>
      </c>
      <c r="BI17" s="62">
        <f ca="1">AVERAGE(OFFSET($BH$3,0,0,'Données projet'!$E$11+1,1))-AVERAGE(OFFSET($H$3,0,0,'Données projet'!$E$11+1,1))</f>
        <v>89.029256064672438</v>
      </c>
      <c r="BJ17" s="62">
        <f t="shared" si="38"/>
        <v>439.23889300132794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21.03829319564419</v>
      </c>
      <c r="P18" s="14">
        <f t="shared" si="33"/>
        <v>6.8008648676982615</v>
      </c>
      <c r="Q18" s="22">
        <f t="shared" si="2"/>
        <v>48.486533626988098</v>
      </c>
      <c r="R18" s="62">
        <f t="shared" si="0"/>
        <v>216.32159352496726</v>
      </c>
      <c r="S18" s="62">
        <f ca="1">AVERAGE(OFFSET($R$3,0,0,'Données projet'!$E$9+1,1))-AVERAGE(OFFSET($H$3,0,0,'Données projet'!$E$9+1,1))</f>
        <v>472.45436307638545</v>
      </c>
      <c r="T18" s="62">
        <f t="shared" si="34"/>
        <v>300.53096194142108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12.28031318024969</v>
      </c>
      <c r="AK18" s="14">
        <f t="shared" si="35"/>
        <v>4.2264674473537802</v>
      </c>
      <c r="AL18" s="22">
        <f t="shared" si="4"/>
        <v>28.749309593076038</v>
      </c>
      <c r="AM18" s="62">
        <f t="shared" si="5"/>
        <v>196.58436949105521</v>
      </c>
      <c r="AN18" s="62">
        <f ca="1">AVERAGE(OFFSET($AM$3,0,0,'Données projet'!$E$10+1,1))-AVERAGE(OFFSET($H$3,0,0,'Données projet'!$E$10+1,1))</f>
        <v>451.73518123022563</v>
      </c>
      <c r="AO18" s="62">
        <f t="shared" si="36"/>
        <v>281.81514890308449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20.1875</v>
      </c>
      <c r="BD18" s="13">
        <f>IF('Données projet'!$A$88&gt;35,BD17+BC18-BL17,IF(A18&lt;'Données projet'!$A$88,$BA$205^A18,IF(A18='Données projet'!$A$88,'Données projet'!$B$88,BD17+BC18-BL17)))</f>
        <v>225.10096908202135</v>
      </c>
      <c r="BE18" s="14">
        <f>BD18*VLOOKUP('Données projet'!$B$11,Paramètres!$A$1:$I$89,3,0)*VLOOKUP('Données projet'!$B$11,Paramètres!$A$1:$I$89,5,0)</f>
        <v>129.22596433060681</v>
      </c>
      <c r="BF18" s="14">
        <f t="shared" si="37"/>
        <v>33.817440298381861</v>
      </c>
      <c r="BG18" s="22">
        <f t="shared" si="7"/>
        <v>283.96726306215527</v>
      </c>
      <c r="BH18" s="62">
        <f t="shared" si="8"/>
        <v>451.80232296013446</v>
      </c>
      <c r="BI18" s="62">
        <f ca="1">AVERAGE(OFFSET($BH$3,0,0,'Données projet'!$E$11+1,1))-AVERAGE(OFFSET($H$3,0,0,'Données projet'!$E$11+1,1))</f>
        <v>89.029256064672438</v>
      </c>
      <c r="BJ18" s="62">
        <f t="shared" si="38"/>
        <v>439.23889300132794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26.072138005225284</v>
      </c>
      <c r="P19" s="14">
        <f t="shared" si="33"/>
        <v>8.2202636982343371</v>
      </c>
      <c r="Q19" s="22">
        <f t="shared" si="2"/>
        <v>59.725932966858835</v>
      </c>
      <c r="R19" s="62">
        <f t="shared" si="0"/>
        <v>230.64228721291664</v>
      </c>
      <c r="S19" s="62">
        <f ca="1">AVERAGE(OFFSET($R$3,0,0,'Données projet'!$E$9+1,1))-AVERAGE(OFFSET($H$3,0,0,'Données projet'!$E$9+1,1))</f>
        <v>472.45436307638545</v>
      </c>
      <c r="T19" s="62">
        <f t="shared" si="34"/>
        <v>300.53096194142108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14.563299349221147</v>
      </c>
      <c r="AK19" s="14">
        <f t="shared" si="35"/>
        <v>4.9136973501560082</v>
      </c>
      <c r="AL19" s="22">
        <f t="shared" si="4"/>
        <v>33.922435918081874</v>
      </c>
      <c r="AM19" s="62">
        <f t="shared" si="5"/>
        <v>204.83879016413968</v>
      </c>
      <c r="AN19" s="62">
        <f ca="1">AVERAGE(OFFSET($AM$3,0,0,'Données projet'!$E$10+1,1))-AVERAGE(OFFSET($H$3,0,0,'Données projet'!$E$10+1,1))</f>
        <v>451.73518123022563</v>
      </c>
      <c r="AO19" s="62">
        <f t="shared" si="36"/>
        <v>281.81514890308449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323</v>
      </c>
      <c r="BB19" s="13">
        <f>VLOOKUP(A19,'Données projet'!$A$87:$I$107,9,0)</f>
        <v>20.1875</v>
      </c>
      <c r="BC19" s="13">
        <f t="array" ref="BC19">INDEX(BB:BB,MIN(IF(ISNUMBER(BB19:BB215),ROW(BB19:BB215),"")))</f>
        <v>20.1875</v>
      </c>
      <c r="BD19" s="13">
        <f>IF('Données projet'!$A$88&gt;35,BD18+BC19-BL18,IF(A19&lt;'Données projet'!$A$88,$BA$205^A19,IF(A19='Données projet'!$A$88,'Données projet'!$B$88,BD18+BC19-BL18)))</f>
        <v>323</v>
      </c>
      <c r="BE19" s="14">
        <f>BD19*VLOOKUP('Données projet'!$B$11,Paramètres!$A$1:$I$89,3,0)*VLOOKUP('Données projet'!$B$11,Paramètres!$A$1:$I$89,5,0)</f>
        <v>185.42784</v>
      </c>
      <c r="BF19" s="14">
        <f t="shared" si="37"/>
        <v>46.527684644174208</v>
      </c>
      <c r="BG19" s="22">
        <f t="shared" si="7"/>
        <v>403.98920542193673</v>
      </c>
      <c r="BH19" s="62">
        <f t="shared" si="8"/>
        <v>574.90555966799457</v>
      </c>
      <c r="BI19" s="62">
        <f ca="1">AVERAGE(OFFSET($BH$3,0,0,'Données projet'!$E$11+1,1))-AVERAGE(OFFSET($H$3,0,0,'Données projet'!$E$11+1,1))</f>
        <v>89.029256064672438</v>
      </c>
      <c r="BJ19" s="62">
        <f t="shared" si="38"/>
        <v>439.23889300132794</v>
      </c>
      <c r="BK19" s="16">
        <f>IF(ISNA(VLOOKUP(A19,'Données projet'!$A$87:$I$107,3,0)),0,VLOOKUP(A19,'Données projet'!$A$87:$I$107,3,0))</f>
        <v>1</v>
      </c>
      <c r="BL19" s="16">
        <f>IF(ISNA(VLOOKUP(A19,'Données projet'!$A$87:$I$107,4,0)),0,VLOOKUP(A19,'Données projet'!$A$87:$I$107,4,0))</f>
        <v>323</v>
      </c>
      <c r="BM19" s="17">
        <f>IF(ISNA(VLOOKUP(A19,'Données projet'!$A$87:$I$107,5,0)),0%,VLOOKUP(A19,'Données projet'!$A$87:$I$107,5,0)*VLOOKUP('Données projet'!$B$11,Paramètres!$A$1:$I$89,7,0))</f>
        <v>0.46199999999999997</v>
      </c>
      <c r="BN19" s="17">
        <f>IF(ISNA(VLOOKUP(A19,'Données projet'!$A$87:$I$107,6,0)),0%,VLOOKUP(A19,'Données projet'!$A$87:$I$107,6,0)*VLOOKUP('Données projet'!$B$11,Paramètres!$A$1:$I$89,7,0))</f>
        <v>0.126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94.703062913278131</v>
      </c>
      <c r="BQ19" s="23">
        <f>EXP(-LN(2)/25)*BQ18+(1-EXP(-LN(2)/25))/(LN(2)/25)*Calculateur!BL19*Calculateur!BN19*VLOOKUP('Données projet'!$B$11,Paramètres!$A$1:$I$89,3,0)*0.475*44/12</f>
        <v>25.726412964516157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120.42947587779429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32.310433828550828</v>
      </c>
      <c r="P20" s="14">
        <f t="shared" si="33"/>
        <v>9.9359032392271498</v>
      </c>
      <c r="Q20" s="22">
        <f t="shared" si="2"/>
        <v>73.579037059713301</v>
      </c>
      <c r="R20" s="62">
        <f t="shared" si="0"/>
        <v>247.54443490872873</v>
      </c>
      <c r="S20" s="62">
        <f ca="1">AVERAGE(OFFSET($R$3,0,0,'Données projet'!$E$9+1,1))-AVERAGE(OFFSET($H$3,0,0,'Données projet'!$E$9+1,1))</f>
        <v>472.45436307638545</v>
      </c>
      <c r="T20" s="62">
        <f t="shared" si="34"/>
        <v>300.53096194142108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17.270706766349157</v>
      </c>
      <c r="AK20" s="14">
        <f t="shared" si="35"/>
        <v>5.7126718588704986</v>
      </c>
      <c r="AL20" s="22">
        <f t="shared" si="4"/>
        <v>40.029384438924232</v>
      </c>
      <c r="AM20" s="62">
        <f t="shared" si="5"/>
        <v>213.99478228793967</v>
      </c>
      <c r="AN20" s="62">
        <f ca="1">AVERAGE(OFFSET($AM$3,0,0,'Données projet'!$E$10+1,1))-AVERAGE(OFFSET($H$3,0,0,'Données projet'!$E$10+1,1))</f>
        <v>451.73518123022563</v>
      </c>
      <c r="AO20" s="62">
        <f t="shared" si="36"/>
        <v>281.81514890308449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>
        <f>BD20*VLOOKUP('Données projet'!$B$11,Paramètres!$A$1:$I$89,3,0)*VLOOKUP('Données projet'!$B$11,Paramètres!$A$1:$I$89,5,0)</f>
        <v>0</v>
      </c>
      <c r="BF20" s="14" t="e">
        <f t="shared" si="37"/>
        <v>#NUM!</v>
      </c>
      <c r="BG20" s="22" t="e">
        <f t="shared" si="7"/>
        <v>#NUM!</v>
      </c>
      <c r="BH20" s="62" t="e">
        <f t="shared" si="8"/>
        <v>#NUM!</v>
      </c>
      <c r="BI20" s="62">
        <f ca="1">AVERAGE(OFFSET($BH$3,0,0,'Données projet'!$E$11+1,1))-AVERAGE(OFFSET($H$3,0,0,'Données projet'!$E$11+1,1))</f>
        <v>89.029256064672438</v>
      </c>
      <c r="BJ20" s="62">
        <f t="shared" si="38"/>
        <v>439.23889300132794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92.845993612713485</v>
      </c>
      <c r="BQ20" s="23">
        <f>EXP(-LN(2)/25)*BQ19+(1-EXP(-LN(2)/25))/(LN(2)/25)*Calculateur!BL20*Calculateur!BN20*VLOOKUP('Données projet'!$B$11,Paramètres!$A$1:$I$89,3,0)*0.475*44/12</f>
        <v>25.022922849108205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117.8689164618217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40.041370369393334</v>
      </c>
      <c r="P21" s="14">
        <f t="shared" si="33"/>
        <v>12.009611467876571</v>
      </c>
      <c r="Q21" s="22">
        <f t="shared" si="2"/>
        <v>90.655460033245092</v>
      </c>
      <c r="R21" s="62">
        <f t="shared" si="0"/>
        <v>267.63821021842318</v>
      </c>
      <c r="S21" s="62">
        <f ca="1">AVERAGE(OFFSET($R$3,0,0,'Données projet'!$E$9+1,1))-AVERAGE(OFFSET($H$3,0,0,'Données projet'!$E$9+1,1))</f>
        <v>472.45436307638545</v>
      </c>
      <c r="T21" s="62">
        <f t="shared" si="34"/>
        <v>300.53096194142108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20.481437966539538</v>
      </c>
      <c r="AK21" s="14">
        <f t="shared" si="35"/>
        <v>6.6415608128764356</v>
      </c>
      <c r="AL21" s="22">
        <f t="shared" si="4"/>
        <v>47.239222874149483</v>
      </c>
      <c r="AM21" s="62">
        <f t="shared" si="5"/>
        <v>224.22197305932758</v>
      </c>
      <c r="AN21" s="62">
        <f ca="1">AVERAGE(OFFSET($AM$3,0,0,'Données projet'!$E$10+1,1))-AVERAGE(OFFSET($H$3,0,0,'Données projet'!$E$10+1,1))</f>
        <v>451.73518123022563</v>
      </c>
      <c r="AO21" s="62">
        <f t="shared" si="36"/>
        <v>281.81514890308449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>
        <f>BD21*VLOOKUP('Données projet'!$B$11,Paramètres!$A$1:$I$89,3,0)*VLOOKUP('Données projet'!$B$11,Paramètres!$A$1:$I$89,5,0)</f>
        <v>0</v>
      </c>
      <c r="BF21" s="14" t="e">
        <f t="shared" si="37"/>
        <v>#NUM!</v>
      </c>
      <c r="BG21" s="22" t="e">
        <f t="shared" si="7"/>
        <v>#NUM!</v>
      </c>
      <c r="BH21" s="62" t="e">
        <f t="shared" si="8"/>
        <v>#NUM!</v>
      </c>
      <c r="BI21" s="62">
        <f ca="1">AVERAGE(OFFSET($BH$3,0,0,'Données projet'!$E$11+1,1))-AVERAGE(OFFSET($H$3,0,0,'Données projet'!$E$11+1,1))</f>
        <v>89.029256064672438</v>
      </c>
      <c r="BJ21" s="62">
        <f t="shared" si="38"/>
        <v>439.23889300132794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91.02534030843249</v>
      </c>
      <c r="BQ21" s="23">
        <f>EXP(-LN(2)/25)*BQ20+(1-EXP(-LN(2)/25))/(LN(2)/25)*Calculateur!BL21*Calculateur!BN21*VLOOKUP('Données projet'!$B$11,Paramètres!$A$1:$I$89,3,0)*0.475*44/12</f>
        <v>24.338669707901019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115.36401001633351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49.622092651760646</v>
      </c>
      <c r="P22" s="14">
        <f t="shared" si="33"/>
        <v>14.516120390537463</v>
      </c>
      <c r="Q22" s="22">
        <f t="shared" si="2"/>
        <v>111.70738771533587</v>
      </c>
      <c r="R22" s="62">
        <f t="shared" si="0"/>
        <v>291.67634874250945</v>
      </c>
      <c r="S22" s="62">
        <f ca="1">AVERAGE(OFFSET($R$3,0,0,'Données projet'!$E$9+1,1))-AVERAGE(OFFSET($H$3,0,0,'Données projet'!$E$9+1,1))</f>
        <v>472.45436307638545</v>
      </c>
      <c r="T22" s="62">
        <f t="shared" si="34"/>
        <v>300.53096194142108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24.289063953917324</v>
      </c>
      <c r="AK22" s="14">
        <f t="shared" si="35"/>
        <v>7.7214884945023501</v>
      </c>
      <c r="AL22" s="22">
        <f t="shared" si="4"/>
        <v>55.7517121809976</v>
      </c>
      <c r="AM22" s="62">
        <f t="shared" si="5"/>
        <v>235.72067320817118</v>
      </c>
      <c r="AN22" s="62">
        <f ca="1">AVERAGE(OFFSET($AM$3,0,0,'Données projet'!$E$10+1,1))-AVERAGE(OFFSET($H$3,0,0,'Données projet'!$E$10+1,1))</f>
        <v>451.73518123022563</v>
      </c>
      <c r="AO22" s="62">
        <f t="shared" si="36"/>
        <v>281.81514890308449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89.029256064672438</v>
      </c>
      <c r="BJ22" s="62">
        <f t="shared" si="38"/>
        <v>439.23889300132794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89.240388904959573</v>
      </c>
      <c r="BQ22" s="23">
        <f>EXP(-LN(2)/25)*BQ21+(1-EXP(-LN(2)/25))/(LN(2)/25)*Calculateur!BL22*Calculateur!BN22*VLOOKUP('Données projet'!$B$11,Paramètres!$A$1:$I$89,3,0)*0.475*44/12</f>
        <v>23.673127504823452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112.91351640978303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61.495200000000004</v>
      </c>
      <c r="P23" s="14">
        <f t="shared" si="33"/>
        <v>17.545759224285259</v>
      </c>
      <c r="Q23" s="22">
        <f t="shared" si="2"/>
        <v>137.66300398229683</v>
      </c>
      <c r="R23" s="62">
        <f t="shared" si="0"/>
        <v>320.5875745926005</v>
      </c>
      <c r="S23" s="62">
        <f ca="1">AVERAGE(OFFSET($R$3,0,0,'Données projet'!$E$9+1,1))-AVERAGE(OFFSET($H$3,0,0,'Données projet'!$E$9+1,1))</f>
        <v>472.45436307638545</v>
      </c>
      <c r="T23" s="62">
        <f t="shared" si="34"/>
        <v>300.53096194142108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28.804551160973141</v>
      </c>
      <c r="AK23" s="14">
        <f t="shared" si="35"/>
        <v>8.9770140258507016</v>
      </c>
      <c r="AL23" s="22">
        <f t="shared" si="4"/>
        <v>65.802892700384845</v>
      </c>
      <c r="AM23" s="62">
        <f t="shared" si="5"/>
        <v>248.72746331068856</v>
      </c>
      <c r="AN23" s="62">
        <f ca="1">AVERAGE(OFFSET($AM$3,0,0,'Données projet'!$E$10+1,1))-AVERAGE(OFFSET($H$3,0,0,'Données projet'!$E$10+1,1))</f>
        <v>451.73518123022563</v>
      </c>
      <c r="AO23" s="62">
        <f t="shared" si="36"/>
        <v>281.81514890308449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89.029256064672438</v>
      </c>
      <c r="BJ23" s="62">
        <f t="shared" si="38"/>
        <v>439.23889300132794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87.490439309795903</v>
      </c>
      <c r="BQ23" s="23">
        <f>EXP(-LN(2)/25)*BQ22+(1-EXP(-LN(2)/25))/(LN(2)/25)*Calculateur!BL23*Calculateur!BN23*VLOOKUP('Données projet'!$B$11,Paramètres!$A$1:$I$89,3,0)*0.475*44/12</f>
        <v>23.025784588288385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110.51622389808429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62.506080000000011</v>
      </c>
      <c r="P24" s="14">
        <f t="shared" si="33"/>
        <v>17.800367834870475</v>
      </c>
      <c r="Q24" s="22">
        <f t="shared" si="2"/>
        <v>139.86706331239944</v>
      </c>
      <c r="R24" s="62">
        <f t="shared" si="0"/>
        <v>325.71717311039515</v>
      </c>
      <c r="S24" s="62">
        <f ca="1">AVERAGE(OFFSET($R$3,0,0,'Données projet'!$E$9+1,1))-AVERAGE(OFFSET($H$3,0,0,'Données projet'!$E$9+1,1))</f>
        <v>472.45436307638545</v>
      </c>
      <c r="T24" s="62">
        <f t="shared" si="34"/>
        <v>300.53096194142108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34.159495366280069</v>
      </c>
      <c r="AK24" s="14">
        <f t="shared" si="35"/>
        <v>10.436689878861767</v>
      </c>
      <c r="AL24" s="22">
        <f t="shared" si="4"/>
        <v>77.671689301955368</v>
      </c>
      <c r="AM24" s="62">
        <f t="shared" si="5"/>
        <v>263.52179909995107</v>
      </c>
      <c r="AN24" s="62">
        <f ca="1">AVERAGE(OFFSET($AM$3,0,0,'Données projet'!$E$10+1,1))-AVERAGE(OFFSET($H$3,0,0,'Données projet'!$E$10+1,1))</f>
        <v>451.73518123022563</v>
      </c>
      <c r="AO24" s="62">
        <f t="shared" si="36"/>
        <v>281.81514890308449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89.029256064672438</v>
      </c>
      <c r="BJ24" s="62">
        <f t="shared" si="38"/>
        <v>439.23889300132794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85.774805158829537</v>
      </c>
      <c r="BQ24" s="23">
        <f>EXP(-LN(2)/25)*BQ23+(1-EXP(-LN(2)/25))/(LN(2)/25)*Calculateur!BL24*Calculateur!BN24*VLOOKUP('Données projet'!$B$11,Paramètres!$A$1:$I$89,3,0)*0.475*44/12</f>
        <v>22.396143297848255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108.17094845667779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68.571360000000013</v>
      </c>
      <c r="P25" s="14">
        <f t="shared" si="33"/>
        <v>19.318251258205343</v>
      </c>
      <c r="Q25" s="22">
        <f t="shared" si="2"/>
        <v>153.07440627470763</v>
      </c>
      <c r="R25" s="62">
        <f t="shared" si="0"/>
        <v>341.8205065190906</v>
      </c>
      <c r="S25" s="62">
        <f ca="1">AVERAGE(OFFSET($R$3,0,0,'Données projet'!$E$9+1,1))-AVERAGE(OFFSET($H$3,0,0,'Données projet'!$E$9+1,1))</f>
        <v>472.45436307638545</v>
      </c>
      <c r="T25" s="62">
        <f t="shared" si="34"/>
        <v>300.53096194142108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40.509956817514514</v>
      </c>
      <c r="AK25" s="14">
        <f t="shared" si="35"/>
        <v>12.133711199945846</v>
      </c>
      <c r="AL25" s="22">
        <f t="shared" si="4"/>
        <v>91.68772179707679</v>
      </c>
      <c r="AM25" s="62">
        <f t="shared" si="5"/>
        <v>280.43382204145979</v>
      </c>
      <c r="AN25" s="62">
        <f ca="1">AVERAGE(OFFSET($AM$3,0,0,'Données projet'!$E$10+1,1))-AVERAGE(OFFSET($H$3,0,0,'Données projet'!$E$10+1,1))</f>
        <v>451.73518123022563</v>
      </c>
      <c r="AO25" s="62">
        <f t="shared" si="36"/>
        <v>281.81514890308449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89.029256064672438</v>
      </c>
      <c r="BJ25" s="62">
        <f t="shared" si="38"/>
        <v>439.23889300132794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84.09281354713012</v>
      </c>
      <c r="BQ25" s="23">
        <f>EXP(-LN(2)/25)*BQ24+(1-EXP(-LN(2)/25))/(LN(2)/25)*Calculateur!BL25*Calculateur!BN25*VLOOKUP('Données projet'!$B$11,Paramètres!$A$1:$I$89,3,0)*0.475*44/12</f>
        <v>21.783719581606604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105.87653312873672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74.636640000000014</v>
      </c>
      <c r="P26" s="14">
        <f t="shared" si="33"/>
        <v>20.82056558443978</v>
      </c>
      <c r="Q26" s="22">
        <f t="shared" si="2"/>
        <v>166.25463305956598</v>
      </c>
      <c r="R26" s="62">
        <f t="shared" si="0"/>
        <v>357.8676876136322</v>
      </c>
      <c r="S26" s="62">
        <f ca="1">AVERAGE(OFFSET($R$3,0,0,'Données projet'!$E$9+1,1))-AVERAGE(OFFSET($H$3,0,0,'Données projet'!$E$9+1,1))</f>
        <v>472.45436307638545</v>
      </c>
      <c r="T26" s="62">
        <f t="shared" si="34"/>
        <v>300.53096194142108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48.041008327565343</v>
      </c>
      <c r="AK26" s="14">
        <f t="shared" si="35"/>
        <v>14.10667071576797</v>
      </c>
      <c r="AL26" s="22">
        <f t="shared" si="4"/>
        <v>108.24054100047216</v>
      </c>
      <c r="AM26" s="62">
        <f t="shared" si="5"/>
        <v>299.8535955545384</v>
      </c>
      <c r="AN26" s="62">
        <f ca="1">AVERAGE(OFFSET($AM$3,0,0,'Données projet'!$E$10+1,1))-AVERAGE(OFFSET($H$3,0,0,'Données projet'!$E$10+1,1))</f>
        <v>451.73518123022563</v>
      </c>
      <c r="AO26" s="62">
        <f t="shared" si="36"/>
        <v>281.81514890308449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89.029256064672438</v>
      </c>
      <c r="BJ26" s="62">
        <f t="shared" si="38"/>
        <v>439.23889300132794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82.443804765022549</v>
      </c>
      <c r="BQ26" s="23">
        <f>EXP(-LN(2)/25)*BQ25+(1-EXP(-LN(2)/25))/(LN(2)/25)*Calculateur!BL26*Calculateur!BN26*VLOOKUP('Données projet'!$B$11,Paramètres!$A$1:$I$89,3,0)*0.475*44/12</f>
        <v>21.188042624091548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103.6318473891141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80.701920000000015</v>
      </c>
      <c r="P27" s="14">
        <f t="shared" si="33"/>
        <v>22.308719863780368</v>
      </c>
      <c r="Q27" s="22">
        <f t="shared" si="2"/>
        <v>179.41019776275084</v>
      </c>
      <c r="R27" s="62">
        <f t="shared" si="0"/>
        <v>373.86167420185291</v>
      </c>
      <c r="S27" s="62">
        <f ca="1">AVERAGE(OFFSET($R$3,0,0,'Données projet'!$E$9+1,1))-AVERAGE(OFFSET($H$3,0,0,'Données projet'!$E$9+1,1))</f>
        <v>472.45436307638545</v>
      </c>
      <c r="T27" s="62">
        <f t="shared" si="34"/>
        <v>300.53096194142108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56.972128889837862</v>
      </c>
      <c r="AK27" s="14">
        <f t="shared" si="35"/>
        <v>16.400436387837694</v>
      </c>
      <c r="AL27" s="22">
        <f t="shared" si="4"/>
        <v>127.79055119195162</v>
      </c>
      <c r="AM27" s="62">
        <f t="shared" si="5"/>
        <v>322.2420276310537</v>
      </c>
      <c r="AN27" s="62">
        <f ca="1">AVERAGE(OFFSET($AM$3,0,0,'Données projet'!$E$10+1,1))-AVERAGE(OFFSET($H$3,0,0,'Données projet'!$E$10+1,1))</f>
        <v>451.73518123022563</v>
      </c>
      <c r="AO27" s="62">
        <f t="shared" si="36"/>
        <v>281.81514890308449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89.029256064672438</v>
      </c>
      <c r="BJ27" s="62">
        <f t="shared" si="38"/>
        <v>439.23889300132794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80.827132039336064</v>
      </c>
      <c r="BQ27" s="23">
        <f>EXP(-LN(2)/25)*BQ26+(1-EXP(-LN(2)/25))/(LN(2)/25)*Calculateur!BL27*Calculateur!BN27*VLOOKUP('Données projet'!$B$11,Paramètres!$A$1:$I$89,3,0)*0.475*44/12</f>
        <v>20.608654484305028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101.4357865236411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86.767200000000017</v>
      </c>
      <c r="P28" s="14">
        <f t="shared" si="33"/>
        <v>23.783899326718451</v>
      </c>
      <c r="Q28" s="22">
        <f t="shared" si="2"/>
        <v>192.54316466070134</v>
      </c>
      <c r="R28" s="62">
        <f t="shared" si="0"/>
        <v>389.80502553397059</v>
      </c>
      <c r="S28" s="62">
        <f ca="1">AVERAGE(OFFSET($R$3,0,0,'Données projet'!$E$9+1,1))-AVERAGE(OFFSET($H$3,0,0,'Données projet'!$E$9+1,1))</f>
        <v>472.45436307638545</v>
      </c>
      <c r="T28" s="62">
        <f t="shared" si="34"/>
        <v>300.53096194142108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67.563600000000008</v>
      </c>
      <c r="AK28" s="14">
        <f t="shared" si="35"/>
        <v>19.06717177504256</v>
      </c>
      <c r="AL28" s="22">
        <f t="shared" si="4"/>
        <v>150.88192750819914</v>
      </c>
      <c r="AM28" s="62">
        <f t="shared" si="5"/>
        <v>348.14378838146843</v>
      </c>
      <c r="AN28" s="62">
        <f ca="1">AVERAGE(OFFSET($AM$3,0,0,'Données projet'!$E$10+1,1))-AVERAGE(OFFSET($H$3,0,0,'Données projet'!$E$10+1,1))</f>
        <v>451.73518123022563</v>
      </c>
      <c r="AO28" s="62">
        <f t="shared" si="36"/>
        <v>281.81514890308449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89.029256064672438</v>
      </c>
      <c r="BJ28" s="62">
        <f t="shared" si="38"/>
        <v>439.23889300132794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79.242161279727284</v>
      </c>
      <c r="BQ28" s="23">
        <f>EXP(-LN(2)/25)*BQ27+(1-EXP(-LN(2)/25))/(LN(2)/25)*Calculateur!BL28*Calculateur!BN28*VLOOKUP('Données projet'!$B$11,Paramètres!$A$1:$I$89,3,0)*0.475*44/12</f>
        <v>20.04510974366967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99.287271023396954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70.930080000000018</v>
      </c>
      <c r="P29" s="14">
        <f t="shared" si="33"/>
        <v>19.904251483253464</v>
      </c>
      <c r="Q29" s="22">
        <f t="shared" si="2"/>
        <v>158.20312733333313</v>
      </c>
      <c r="R29" s="62">
        <f t="shared" si="0"/>
        <v>358.2478215769911</v>
      </c>
      <c r="S29" s="62">
        <f ca="1">AVERAGE(OFFSET($R$3,0,0,'Données projet'!$E$9+1,1))-AVERAGE(OFFSET($H$3,0,0,'Données projet'!$E$9+1,1))</f>
        <v>472.45436307638545</v>
      </c>
      <c r="T29" s="62">
        <f t="shared" si="34"/>
        <v>300.53096194142108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66.611999999999995</v>
      </c>
      <c r="AK29" s="14">
        <f t="shared" si="35"/>
        <v>18.829683939536395</v>
      </c>
      <c r="AL29" s="22">
        <f t="shared" si="4"/>
        <v>148.81093286135922</v>
      </c>
      <c r="AM29" s="62">
        <f t="shared" si="5"/>
        <v>348.85562710501722</v>
      </c>
      <c r="AN29" s="62">
        <f ca="1">AVERAGE(OFFSET($AM$3,0,0,'Données projet'!$E$10+1,1))-AVERAGE(OFFSET($H$3,0,0,'Données projet'!$E$10+1,1))</f>
        <v>451.73518123022563</v>
      </c>
      <c r="AO29" s="62">
        <f t="shared" si="36"/>
        <v>281.81514890308449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89.029256064672438</v>
      </c>
      <c r="BJ29" s="62">
        <f t="shared" si="38"/>
        <v>439.23889300132794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77.688270829977725</v>
      </c>
      <c r="BQ29" s="23">
        <f>EXP(-LN(2)/25)*BQ28+(1-EXP(-LN(2)/25))/(LN(2)/25)*Calculateur!BL29*Calculateur!BN29*VLOOKUP('Données projet'!$B$11,Paramètres!$A$1:$I$89,3,0)*0.475*44/12</f>
        <v>19.496975163602514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97.185245993580239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78.680160000000029</v>
      </c>
      <c r="P30" s="14">
        <f t="shared" si="33"/>
        <v>21.814164609384523</v>
      </c>
      <c r="Q30" s="22">
        <f t="shared" si="2"/>
        <v>175.02761536134474</v>
      </c>
      <c r="R30" s="62">
        <f t="shared" si="0"/>
        <v>377.82806986097461</v>
      </c>
      <c r="S30" s="62">
        <f ca="1">AVERAGE(OFFSET($R$3,0,0,'Données projet'!$E$9+1,1))-AVERAGE(OFFSET($H$3,0,0,'Données projet'!$E$9+1,1))</f>
        <v>472.45436307638545</v>
      </c>
      <c r="T30" s="62">
        <f t="shared" si="34"/>
        <v>300.53096194142108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73.273200000000003</v>
      </c>
      <c r="AK30" s="14">
        <f t="shared" si="35"/>
        <v>20.484133942460197</v>
      </c>
      <c r="AL30" s="22">
        <f t="shared" si="4"/>
        <v>163.29402328311821</v>
      </c>
      <c r="AM30" s="62">
        <f t="shared" si="5"/>
        <v>366.09447778274807</v>
      </c>
      <c r="AN30" s="62">
        <f ca="1">AVERAGE(OFFSET($AM$3,0,0,'Données projet'!$E$10+1,1))-AVERAGE(OFFSET($H$3,0,0,'Données projet'!$E$10+1,1))</f>
        <v>451.73518123022563</v>
      </c>
      <c r="AO30" s="62">
        <f t="shared" si="36"/>
        <v>281.81514890308449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89.029256064672438</v>
      </c>
      <c r="BJ30" s="62">
        <f t="shared" si="38"/>
        <v>439.23889300132794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76.164851224168174</v>
      </c>
      <c r="BQ30" s="23">
        <f>EXP(-LN(2)/25)*BQ29+(1-EXP(-LN(2)/25))/(LN(2)/25)*Calculateur!BL30*Calculateur!BN30*VLOOKUP('Données projet'!$B$11,Paramètres!$A$1:$I$89,3,0)*0.475*44/12</f>
        <v>18.963829352452439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95.12868057662061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86.430240000000026</v>
      </c>
      <c r="P31" s="14">
        <f t="shared" si="33"/>
        <v>23.702267442352529</v>
      </c>
      <c r="Q31" s="22">
        <f t="shared" si="2"/>
        <v>191.81411712876402</v>
      </c>
      <c r="R31" s="62">
        <f t="shared" si="0"/>
        <v>397.34372842795761</v>
      </c>
      <c r="S31" s="62">
        <f ca="1">AVERAGE(OFFSET($R$3,0,0,'Données projet'!$E$9+1,1))-AVERAGE(OFFSET($H$3,0,0,'Données projet'!$E$9+1,1))</f>
        <v>472.45436307638545</v>
      </c>
      <c r="T31" s="62">
        <f t="shared" si="34"/>
        <v>300.53096194142108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79.934400000000011</v>
      </c>
      <c r="AK31" s="14">
        <f t="shared" si="35"/>
        <v>22.121143821921812</v>
      </c>
      <c r="AL31" s="22">
        <f t="shared" si="4"/>
        <v>177.74673882318049</v>
      </c>
      <c r="AM31" s="62">
        <f t="shared" si="5"/>
        <v>383.27635012237408</v>
      </c>
      <c r="AN31" s="62">
        <f ca="1">AVERAGE(OFFSET($AM$3,0,0,'Données projet'!$E$10+1,1))-AVERAGE(OFFSET($H$3,0,0,'Données projet'!$E$10+1,1))</f>
        <v>451.73518123022563</v>
      </c>
      <c r="AO31" s="62">
        <f t="shared" si="36"/>
        <v>281.81514890308449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89.029256064672438</v>
      </c>
      <c r="BJ31" s="62">
        <f t="shared" si="38"/>
        <v>439.23889300132794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74.67130494763434</v>
      </c>
      <c r="BQ31" s="23">
        <f>EXP(-LN(2)/25)*BQ30+(1-EXP(-LN(2)/25))/(LN(2)/25)*Calculateur!BL31*Calculateur!BN31*VLOOKUP('Données projet'!$B$11,Paramètres!$A$1:$I$89,3,0)*0.475*44/12</f>
        <v>18.445262441545186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93.116567389179522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94.180320000000037</v>
      </c>
      <c r="P32" s="14">
        <f t="shared" si="33"/>
        <v>25.570738079029208</v>
      </c>
      <c r="Q32" s="22">
        <f t="shared" si="2"/>
        <v>208.56642615430928</v>
      </c>
      <c r="R32" s="62">
        <f t="shared" si="0"/>
        <v>416.79905230715076</v>
      </c>
      <c r="S32" s="62">
        <f ca="1">AVERAGE(OFFSET($R$3,0,0,'Données projet'!$E$9+1,1))-AVERAGE(OFFSET($H$3,0,0,'Données projet'!$E$9+1,1))</f>
        <v>472.45436307638545</v>
      </c>
      <c r="T32" s="62">
        <f t="shared" si="34"/>
        <v>300.53096194142108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86.595600000000005</v>
      </c>
      <c r="AK32" s="14">
        <f t="shared" si="35"/>
        <v>23.742332153806089</v>
      </c>
      <c r="AL32" s="22">
        <f t="shared" si="4"/>
        <v>192.17189850121227</v>
      </c>
      <c r="AM32" s="62">
        <f t="shared" si="5"/>
        <v>400.40452465405372</v>
      </c>
      <c r="AN32" s="62">
        <f ca="1">AVERAGE(OFFSET($AM$3,0,0,'Données projet'!$E$10+1,1))-AVERAGE(OFFSET($H$3,0,0,'Données projet'!$E$10+1,1))</f>
        <v>451.73518123022563</v>
      </c>
      <c r="AO32" s="62">
        <f t="shared" si="36"/>
        <v>281.81514890308449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89.029256064672438</v>
      </c>
      <c r="BJ32" s="62">
        <f t="shared" si="38"/>
        <v>439.23889300132794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73.207046202610059</v>
      </c>
      <c r="BQ32" s="23">
        <f>EXP(-LN(2)/25)*BQ31+(1-EXP(-LN(2)/25))/(LN(2)/25)*Calculateur!BL32*Calculateur!BN32*VLOOKUP('Données projet'!$B$11,Paramètres!$A$1:$I$89,3,0)*0.475*44/12</f>
        <v>17.940875770086937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91.147921972696992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101.93040000000003</v>
      </c>
      <c r="P33" s="14">
        <f t="shared" si="33"/>
        <v>27.421375718582158</v>
      </c>
      <c r="Q33" s="22">
        <f t="shared" si="2"/>
        <v>225.28767604319731</v>
      </c>
      <c r="R33" s="62">
        <f t="shared" si="0"/>
        <v>436.19762860808771</v>
      </c>
      <c r="S33" s="62">
        <f ca="1">AVERAGE(OFFSET($R$3,0,0,'Données projet'!$E$9+1,1))-AVERAGE(OFFSET($H$3,0,0,'Données projet'!$E$9+1,1))</f>
        <v>472.45436307638545</v>
      </c>
      <c r="T33" s="62">
        <f t="shared" si="34"/>
        <v>300.53096194142108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8.6000000000000007E-2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2.2336164170296038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2.2336164170296038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93.256799999999998</v>
      </c>
      <c r="AK33" s="14">
        <f t="shared" si="35"/>
        <v>25.34905435685781</v>
      </c>
      <c r="AL33" s="22">
        <f t="shared" si="4"/>
        <v>206.57186300486069</v>
      </c>
      <c r="AM33" s="62">
        <f t="shared" si="5"/>
        <v>417.48181556975112</v>
      </c>
      <c r="AN33" s="62">
        <f ca="1">AVERAGE(OFFSET($AM$3,0,0,'Données projet'!$E$10+1,1))-AVERAGE(OFFSET($H$3,0,0,'Données projet'!$E$10+1,1))</f>
        <v>451.73518123022563</v>
      </c>
      <c r="AO33" s="62">
        <f t="shared" si="36"/>
        <v>281.81514890308449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89.029256064672438</v>
      </c>
      <c r="BJ33" s="62">
        <f t="shared" si="38"/>
        <v>439.23889300132794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71.771500678466055</v>
      </c>
      <c r="BQ33" s="23">
        <f>EXP(-LN(2)/25)*BQ32+(1-EXP(-LN(2)/25))/(LN(2)/25)*Calculateur!BL33*Calculateur!BN33*VLOOKUP('Données projet'!$B$11,Paramètres!$A$1:$I$89,3,0)*0.475*44/12</f>
        <v>17.450281578684258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89.221782257150309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87.441120000000041</v>
      </c>
      <c r="P34" s="14">
        <f t="shared" si="33"/>
        <v>23.947052577122424</v>
      </c>
      <c r="Q34" s="22">
        <f t="shared" si="2"/>
        <v>194.0010672384883</v>
      </c>
      <c r="R34" s="62">
        <f t="shared" si="0"/>
        <v>406.34088118863758</v>
      </c>
      <c r="S34" s="62">
        <f ca="1">AVERAGE(OFFSET($R$3,0,0,'Données projet'!$E$9+1,1))-AVERAGE(OFFSET($H$3,0,0,'Données projet'!$E$9+1,1))</f>
        <v>472.45436307638545</v>
      </c>
      <c r="T34" s="62">
        <f t="shared" si="34"/>
        <v>300.53096194142108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2.1725380586451468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2.1725380586451468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80.695679999999996</v>
      </c>
      <c r="AK34" s="14">
        <f t="shared" si="35"/>
        <v>22.307195695097128</v>
      </c>
      <c r="AL34" s="22">
        <f t="shared" si="4"/>
        <v>179.3966751689608</v>
      </c>
      <c r="AM34" s="62">
        <f t="shared" si="5"/>
        <v>391.7364891191101</v>
      </c>
      <c r="AN34" s="62">
        <f ca="1">AVERAGE(OFFSET($AM$3,0,0,'Données projet'!$E$10+1,1))-AVERAGE(OFFSET($H$3,0,0,'Données projet'!$E$10+1,1))</f>
        <v>451.73518123022563</v>
      </c>
      <c r="AO34" s="62">
        <f t="shared" si="36"/>
        <v>281.81514890308449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89.029256064672438</v>
      </c>
      <c r="BJ34" s="62">
        <f t="shared" si="38"/>
        <v>439.23889300132794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70.364105326454194</v>
      </c>
      <c r="BQ34" s="23">
        <f>EXP(-LN(2)/25)*BQ33+(1-EXP(-LN(2)/25))/(LN(2)/25)*Calculateur!BL34*Calculateur!BN34*VLOOKUP('Données projet'!$B$11,Paramètres!$A$1:$I$89,3,0)*0.475*44/12</f>
        <v>16.973102711244714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87.3372080376989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96.539040000000043</v>
      </c>
      <c r="P35" s="14">
        <f t="shared" si="33"/>
        <v>26.135788937894091</v>
      </c>
      <c r="Q35" s="22">
        <f t="shared" ref="Q35:Q66" si="53">(O35+P35)*0.475*44/12</f>
        <v>213.65866040016559</v>
      </c>
      <c r="R35" s="62">
        <f t="shared" si="0"/>
        <v>427.40353083723073</v>
      </c>
      <c r="S35" s="62">
        <f ca="1">AVERAGE(OFFSET($R$3,0,0,'Données projet'!$E$9+1,1))-AVERAGE(OFFSET($H$3,0,0,'Données projet'!$E$9+1,1))</f>
        <v>472.45436307638545</v>
      </c>
      <c r="T35" s="62">
        <f t="shared" si="34"/>
        <v>300.53096194142108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2.1131298911826844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2.1131298911826844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88.118160000000003</v>
      </c>
      <c r="AK35" s="14">
        <f t="shared" si="35"/>
        <v>24.110813848758355</v>
      </c>
      <c r="AL35" s="22">
        <f t="shared" si="4"/>
        <v>195.46546278658749</v>
      </c>
      <c r="AM35" s="62">
        <f t="shared" si="5"/>
        <v>409.21033322365264</v>
      </c>
      <c r="AN35" s="62">
        <f ca="1">AVERAGE(OFFSET($AM$3,0,0,'Données projet'!$E$10+1,1))-AVERAGE(OFFSET($H$3,0,0,'Données projet'!$E$10+1,1))</f>
        <v>451.73518123022563</v>
      </c>
      <c r="AO35" s="62">
        <f t="shared" si="36"/>
        <v>281.81514890308449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89.029256064672438</v>
      </c>
      <c r="BJ35" s="62">
        <f t="shared" si="38"/>
        <v>439.23889300132794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68.984308138868883</v>
      </c>
      <c r="BQ35" s="23">
        <f>EXP(-LN(2)/25)*BQ34+(1-EXP(-LN(2)/25))/(LN(2)/25)*Calculateur!BL35*Calculateur!BN35*VLOOKUP('Données projet'!$B$11,Paramètres!$A$1:$I$89,3,0)*0.475*44/12</f>
        <v>16.508972325029049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85.493280463897932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105.63696000000004</v>
      </c>
      <c r="P36" s="14">
        <f t="shared" si="33"/>
        <v>28.300609534766192</v>
      </c>
      <c r="Q36" s="22">
        <f t="shared" si="53"/>
        <v>233.27460027305116</v>
      </c>
      <c r="R36" s="62">
        <f t="shared" si="0"/>
        <v>448.40015260821986</v>
      </c>
      <c r="S36" s="62">
        <f ca="1">AVERAGE(OFFSET($R$3,0,0,'Données projet'!$E$9+1,1))-AVERAGE(OFFSET($H$3,0,0,'Données projet'!$E$9+1,1))</f>
        <v>472.45436307638545</v>
      </c>
      <c r="T36" s="62">
        <f t="shared" si="34"/>
        <v>300.53096194142108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2.0553462431836227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2.0553462431836227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95.540639999999996</v>
      </c>
      <c r="AK36" s="14">
        <f t="shared" si="35"/>
        <v>25.89681240703468</v>
      </c>
      <c r="AL36" s="22">
        <f t="shared" si="4"/>
        <v>211.50356294225205</v>
      </c>
      <c r="AM36" s="62">
        <f t="shared" si="5"/>
        <v>426.62911527742074</v>
      </c>
      <c r="AN36" s="62">
        <f ca="1">AVERAGE(OFFSET($AM$3,0,0,'Données projet'!$E$10+1,1))-AVERAGE(OFFSET($H$3,0,0,'Données projet'!$E$10+1,1))</f>
        <v>451.73518123022563</v>
      </c>
      <c r="AO36" s="62">
        <f t="shared" si="36"/>
        <v>281.81514890308449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89.029256064672438</v>
      </c>
      <c r="BJ36" s="62">
        <f t="shared" si="38"/>
        <v>439.23889300132794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67.631567932538943</v>
      </c>
      <c r="BQ36" s="23">
        <f>EXP(-LN(2)/25)*BQ35+(1-EXP(-LN(2)/25))/(LN(2)/25)*Calculateur!BL36*Calculateur!BN36*VLOOKUP('Données projet'!$B$11,Paramètres!$A$1:$I$89,3,0)*0.475*44/12</f>
        <v>16.057533608632006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83.689101541170942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114.73488000000005</v>
      </c>
      <c r="P37" s="14">
        <f t="shared" si="33"/>
        <v>30.443808287231871</v>
      </c>
      <c r="Q37" s="22">
        <f t="shared" si="53"/>
        <v>252.85288210026226</v>
      </c>
      <c r="R37" s="62">
        <f t="shared" si="0"/>
        <v>469.33516458934469</v>
      </c>
      <c r="S37" s="62">
        <f ca="1">AVERAGE(OFFSET($R$3,0,0,'Données projet'!$E$9+1,1))-AVERAGE(OFFSET($H$3,0,0,'Données projet'!$E$9+1,1))</f>
        <v>472.45436307638545</v>
      </c>
      <c r="T37" s="62">
        <f t="shared" si="34"/>
        <v>300.53096194142108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1.9991426920778053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1.9991426920778053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102.96311999999999</v>
      </c>
      <c r="AK37" s="14">
        <f t="shared" si="35"/>
        <v>27.666715856510024</v>
      </c>
      <c r="AL37" s="22">
        <f t="shared" si="4"/>
        <v>227.51363078342158</v>
      </c>
      <c r="AM37" s="62">
        <f t="shared" si="5"/>
        <v>443.99591327250397</v>
      </c>
      <c r="AN37" s="62">
        <f ca="1">AVERAGE(OFFSET($AM$3,0,0,'Données projet'!$E$10+1,1))-AVERAGE(OFFSET($H$3,0,0,'Données projet'!$E$10+1,1))</f>
        <v>451.73518123022563</v>
      </c>
      <c r="AO37" s="62">
        <f t="shared" si="36"/>
        <v>281.81514890308449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89.029256064672438</v>
      </c>
      <c r="BJ37" s="62">
        <f t="shared" si="38"/>
        <v>439.23889300132794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66.305354136565072</v>
      </c>
      <c r="BQ37" s="23">
        <f>EXP(-LN(2)/25)*BQ36+(1-EXP(-LN(2)/25))/(LN(2)/25)*Calculateur!BL37*Calculateur!BN37*VLOOKUP('Données projet'!$B$11,Paramètres!$A$1:$I$89,3,0)*0.475*44/12</f>
        <v>15.618439507674971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81.92379364424005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123.83280000000006</v>
      </c>
      <c r="P38" s="14">
        <f t="shared" si="33"/>
        <v>32.567294628684579</v>
      </c>
      <c r="Q38" s="22">
        <f t="shared" si="53"/>
        <v>272.39683147829243</v>
      </c>
      <c r="R38" s="62">
        <f t="shared" si="0"/>
        <v>490.21230788631237</v>
      </c>
      <c r="S38" s="62">
        <f ca="1">AVERAGE(OFFSET($R$3,0,0,'Données projet'!$E$9+1,1))-AVERAGE(OFFSET($H$3,0,0,'Données projet'!$E$9+1,1))</f>
        <v>472.45436307638545</v>
      </c>
      <c r="T38" s="62">
        <f t="shared" si="34"/>
        <v>300.53096194142108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1.9444760300325925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1.9444760300325925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110.3856</v>
      </c>
      <c r="AK38" s="14">
        <f t="shared" si="35"/>
        <v>29.421816429201407</v>
      </c>
      <c r="AL38" s="22">
        <f t="shared" si="4"/>
        <v>243.49791694752571</v>
      </c>
      <c r="AM38" s="62">
        <f t="shared" si="5"/>
        <v>461.3133933555456</v>
      </c>
      <c r="AN38" s="62">
        <f ca="1">AVERAGE(OFFSET($AM$3,0,0,'Données projet'!$E$10+1,1))-AVERAGE(OFFSET($H$3,0,0,'Données projet'!$E$10+1,1))</f>
        <v>451.73518123022563</v>
      </c>
      <c r="AO38" s="62">
        <f t="shared" si="36"/>
        <v>281.81514890308449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89.029256064672438</v>
      </c>
      <c r="BJ38" s="62">
        <f t="shared" si="38"/>
        <v>439.23889300132794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65.005146584219716</v>
      </c>
      <c r="BQ38" s="23">
        <f>EXP(-LN(2)/25)*BQ37+(1-EXP(-LN(2)/25))/(LN(2)/25)*Calculateur!BL38*Calculateur!BN38*VLOOKUP('Données projet'!$B$11,Paramètres!$A$1:$I$89,3,0)*0.475*44/12</f>
        <v>15.191352457999562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80.196499042219273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109.68048000000006</v>
      </c>
      <c r="P39" s="14">
        <f t="shared" si="33"/>
        <v>29.255690427909659</v>
      </c>
      <c r="Q39" s="22">
        <f t="shared" si="53"/>
        <v>241.9804968286094</v>
      </c>
      <c r="R39" s="62">
        <f t="shared" si="0"/>
        <v>461.10603922164836</v>
      </c>
      <c r="S39" s="62">
        <f ca="1">AVERAGE(OFFSET($R$3,0,0,'Données projet'!$E$9+1,1))-AVERAGE(OFFSET($H$3,0,0,'Données projet'!$E$9+1,1))</f>
        <v>472.45436307638545</v>
      </c>
      <c r="T39" s="62">
        <f t="shared" si="34"/>
        <v>300.53096194142108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1.891304230735801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1.891304230735801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98.395439999999994</v>
      </c>
      <c r="AK39" s="14">
        <f t="shared" si="35"/>
        <v>26.57937412584554</v>
      </c>
      <c r="AL39" s="22">
        <f t="shared" si="4"/>
        <v>217.66446793584763</v>
      </c>
      <c r="AM39" s="62">
        <f t="shared" si="5"/>
        <v>436.79001032888658</v>
      </c>
      <c r="AN39" s="62">
        <f ca="1">AVERAGE(OFFSET($AM$3,0,0,'Données projet'!$E$10+1,1))-AVERAGE(OFFSET($H$3,0,0,'Données projet'!$E$10+1,1))</f>
        <v>451.73518123022563</v>
      </c>
      <c r="AO39" s="62">
        <f t="shared" si="36"/>
        <v>281.81514890308449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89.029256064672438</v>
      </c>
      <c r="BJ39" s="62">
        <f t="shared" si="38"/>
        <v>439.23889300132794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63.730435308927547</v>
      </c>
      <c r="BQ39" s="23">
        <f>EXP(-LN(2)/25)*BQ38+(1-EXP(-LN(2)/25))/(LN(2)/25)*Calculateur!BL39*Calculateur!BN39*VLOOKUP('Données projet'!$B$11,Paramètres!$A$1:$I$89,3,0)*0.475*44/12</f>
        <v>14.775944126157059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78.506379435084611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119.11536000000004</v>
      </c>
      <c r="P40" s="14">
        <f t="shared" si="33"/>
        <v>31.468582772748093</v>
      </c>
      <c r="Q40" s="22">
        <f t="shared" si="53"/>
        <v>262.26703366253628</v>
      </c>
      <c r="R40" s="62">
        <f t="shared" si="0"/>
        <v>482.67991532462304</v>
      </c>
      <c r="S40" s="62">
        <f ca="1">AVERAGE(OFFSET($R$3,0,0,'Données projet'!$E$9+1,1))-AVERAGE(OFFSET($H$3,0,0,'Données projet'!$E$9+1,1))</f>
        <v>472.45436307638545</v>
      </c>
      <c r="T40" s="62">
        <f t="shared" si="34"/>
        <v>300.53096194142108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1.8395864170869636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1.8395864170869636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106.38887999999999</v>
      </c>
      <c r="AK40" s="14">
        <f t="shared" si="35"/>
        <v>28.478530760975403</v>
      </c>
      <c r="AL40" s="22">
        <f t="shared" si="4"/>
        <v>234.89407374203213</v>
      </c>
      <c r="AM40" s="62">
        <f t="shared" si="5"/>
        <v>455.30695540411887</v>
      </c>
      <c r="AN40" s="62">
        <f ca="1">AVERAGE(OFFSET($AM$3,0,0,'Données projet'!$E$10+1,1))-AVERAGE(OFFSET($H$3,0,0,'Données projet'!$E$10+1,1))</f>
        <v>451.73518123022563</v>
      </c>
      <c r="AO40" s="62">
        <f t="shared" si="36"/>
        <v>281.81514890308449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89.029256064672438</v>
      </c>
      <c r="BJ40" s="62">
        <f t="shared" si="38"/>
        <v>439.23889300132794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62.480720344246748</v>
      </c>
      <c r="BQ40" s="23">
        <f>EXP(-LN(2)/25)*BQ39+(1-EXP(-LN(2)/25))/(LN(2)/25)*Calculateur!BL40*Calculateur!BN40*VLOOKUP('Données projet'!$B$11,Paramètres!$A$1:$I$89,3,0)*0.475*44/12</f>
        <v>14.371895156994164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76.852615501240905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128.55024000000003</v>
      </c>
      <c r="P41" s="14">
        <f t="shared" si="33"/>
        <v>33.661144026076663</v>
      </c>
      <c r="Q41" s="22">
        <f t="shared" si="53"/>
        <v>282.51816051208363</v>
      </c>
      <c r="R41" s="62">
        <f t="shared" si="0"/>
        <v>504.19604898495959</v>
      </c>
      <c r="S41" s="62">
        <f ca="1">AVERAGE(OFFSET($R$3,0,0,'Données projet'!$E$9+1,1))-AVERAGE(OFFSET($H$3,0,0,'Données projet'!$E$9+1,1))</f>
        <v>472.45436307638545</v>
      </c>
      <c r="T41" s="62">
        <f t="shared" si="34"/>
        <v>300.53096194142108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1.7892828297720753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1.7892828297720753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114.38232000000001</v>
      </c>
      <c r="AK41" s="14">
        <f t="shared" si="35"/>
        <v>30.361134085955022</v>
      </c>
      <c r="AL41" s="22">
        <f t="shared" si="4"/>
        <v>252.09484919970498</v>
      </c>
      <c r="AM41" s="62">
        <f t="shared" si="5"/>
        <v>473.77273767258089</v>
      </c>
      <c r="AN41" s="62">
        <f ca="1">AVERAGE(OFFSET($AM$3,0,0,'Données projet'!$E$10+1,1))-AVERAGE(OFFSET($H$3,0,0,'Données projet'!$E$10+1,1))</f>
        <v>451.73518123022563</v>
      </c>
      <c r="AO41" s="62">
        <f t="shared" si="36"/>
        <v>281.81514890308449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89.029256064672438</v>
      </c>
      <c r="BJ41" s="62">
        <f t="shared" si="38"/>
        <v>439.23889300132794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61.255511527772484</v>
      </c>
      <c r="BQ41" s="23">
        <f>EXP(-LN(2)/25)*BQ40+(1-EXP(-LN(2)/25))/(LN(2)/25)*Calculateur!BL41*Calculateur!BN41*VLOOKUP('Données projet'!$B$11,Paramètres!$A$1:$I$89,3,0)*0.475*44/12</f>
        <v>13.97889492814104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75.234406455913529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137.98512000000002</v>
      </c>
      <c r="P42" s="14">
        <f t="shared" si="33"/>
        <v>35.835036067646342</v>
      </c>
      <c r="Q42" s="22">
        <f t="shared" si="53"/>
        <v>302.73677181781744</v>
      </c>
      <c r="R42" s="62">
        <f t="shared" si="0"/>
        <v>525.65772206144698</v>
      </c>
      <c r="S42" s="62">
        <f ca="1">AVERAGE(OFFSET($R$3,0,0,'Données projet'!$E$9+1,1))-AVERAGE(OFFSET($H$3,0,0,'Données projet'!$E$9+1,1))</f>
        <v>472.45436307638545</v>
      </c>
      <c r="T42" s="62">
        <f t="shared" si="34"/>
        <v>300.53096194142108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1.7403547966976634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1.7403547966976634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122.37576</v>
      </c>
      <c r="AK42" s="14">
        <f t="shared" si="35"/>
        <v>32.228472488687231</v>
      </c>
      <c r="AL42" s="22">
        <f t="shared" si="4"/>
        <v>269.26903825113021</v>
      </c>
      <c r="AM42" s="62">
        <f t="shared" si="5"/>
        <v>492.18998849475975</v>
      </c>
      <c r="AN42" s="62">
        <f ca="1">AVERAGE(OFFSET($AM$3,0,0,'Données projet'!$E$10+1,1))-AVERAGE(OFFSET($H$3,0,0,'Données projet'!$E$10+1,1))</f>
        <v>451.73518123022563</v>
      </c>
      <c r="AO42" s="62">
        <f t="shared" si="36"/>
        <v>281.81514890308449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89.029256064672438</v>
      </c>
      <c r="BJ42" s="62">
        <f t="shared" si="38"/>
        <v>439.23889300132794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60.054328308885687</v>
      </c>
      <c r="BQ42" s="23">
        <f>EXP(-LN(2)/25)*BQ41+(1-EXP(-LN(2)/25))/(LN(2)/25)*Calculateur!BL42*Calculateur!BN42*VLOOKUP('Données projet'!$B$11,Paramètres!$A$1:$I$89,3,0)*0.475*44/12</f>
        <v>13.596641311212888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73.650969620098579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147.42000000000002</v>
      </c>
      <c r="P43" s="14">
        <f t="shared" si="33"/>
        <v>37.991680647570291</v>
      </c>
      <c r="Q43" s="22">
        <f t="shared" si="53"/>
        <v>322.92534379451826</v>
      </c>
      <c r="R43" s="62">
        <f t="shared" si="0"/>
        <v>547.06779146624854</v>
      </c>
      <c r="S43" s="62">
        <f ca="1">AVERAGE(OFFSET($R$3,0,0,'Données projet'!$E$9+1,1))-AVERAGE(OFFSET($H$3,0,0,'Données projet'!$E$9+1,1))</f>
        <v>472.45436307638545</v>
      </c>
      <c r="T43" s="62">
        <f t="shared" si="34"/>
        <v>300.53096194142108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1.6927647032606847</v>
      </c>
      <c r="AB43" s="23">
        <f>EXP(-LN(2)/2)*AB42+(1-EXP(-LN(2)/2))/(LN(2)/2)*V43*Y43*VLOOKUP('Données projet'!$B$9,Paramètres!$A$1:$I$89,3,0)*0.475*44/12</f>
        <v>0</v>
      </c>
      <c r="AC43" s="24">
        <f t="shared" si="3"/>
        <v>1.6927647032606847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130.36920000000001</v>
      </c>
      <c r="AK43" s="14">
        <f t="shared" si="35"/>
        <v>34.081656526320486</v>
      </c>
      <c r="AL43" s="22">
        <f t="shared" si="4"/>
        <v>286.41857511667479</v>
      </c>
      <c r="AM43" s="62">
        <f t="shared" si="5"/>
        <v>510.56102278840513</v>
      </c>
      <c r="AN43" s="62">
        <f ca="1">AVERAGE(OFFSET($AM$3,0,0,'Données projet'!$E$10+1,1))-AVERAGE(OFFSET($H$3,0,0,'Données projet'!$E$10+1,1))</f>
        <v>451.73518123022563</v>
      </c>
      <c r="AO43" s="62">
        <f t="shared" si="36"/>
        <v>281.81514890308449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89.029256064672438</v>
      </c>
      <c r="BJ43" s="62">
        <f t="shared" si="38"/>
        <v>439.23889300132794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58.876699560271845</v>
      </c>
      <c r="BQ43" s="23">
        <f>EXP(-LN(2)/25)*BQ42+(1-EXP(-LN(2)/25))/(LN(2)/25)*Calculateur!BL43*Calculateur!BN43*VLOOKUP('Données projet'!$B$11,Paramètres!$A$1:$I$89,3,0)*0.475*44/12</f>
        <v>13.224840439541481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72.101539999813326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133.43616000000003</v>
      </c>
      <c r="P44" s="14">
        <f t="shared" si="33"/>
        <v>34.789145432008958</v>
      </c>
      <c r="Q44" s="22">
        <f t="shared" si="53"/>
        <v>292.99240696074895</v>
      </c>
      <c r="R44" s="62">
        <f t="shared" si="0"/>
        <v>518.33516181106165</v>
      </c>
      <c r="S44" s="62">
        <f ca="1">AVERAGE(OFFSET($R$3,0,0,'Données projet'!$E$9+1,1))-AVERAGE(OFFSET($H$3,0,0,'Données projet'!$E$9+1,1))</f>
        <v>472.45436307638545</v>
      </c>
      <c r="T44" s="62">
        <f t="shared" si="34"/>
        <v>300.53096194142108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1.6464759634313944</v>
      </c>
      <c r="AB44" s="23">
        <f>EXP(-LN(2)/2)*AB43+(1-EXP(-LN(2)/2))/(LN(2)/2)*V44*Y44*VLOOKUP('Données projet'!$B$9,Paramètres!$A$1:$I$89,3,0)*0.475*44/12</f>
        <v>0</v>
      </c>
      <c r="AC44" s="24">
        <f t="shared" si="3"/>
        <v>1.6464759634313944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118.37904</v>
      </c>
      <c r="AK44" s="14">
        <f t="shared" si="35"/>
        <v>31.296638268907181</v>
      </c>
      <c r="AL44" s="22">
        <f t="shared" si="4"/>
        <v>260.68513965168</v>
      </c>
      <c r="AM44" s="62">
        <f t="shared" si="5"/>
        <v>486.02789450199265</v>
      </c>
      <c r="AN44" s="62">
        <f ca="1">AVERAGE(OFFSET($AM$3,0,0,'Données projet'!$E$10+1,1))-AVERAGE(OFFSET($H$3,0,0,'Données projet'!$E$10+1,1))</f>
        <v>451.73518123022563</v>
      </c>
      <c r="AO44" s="62">
        <f t="shared" si="36"/>
        <v>281.81514890308449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89.029256064672438</v>
      </c>
      <c r="BJ44" s="62">
        <f t="shared" si="38"/>
        <v>439.23889300132794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57.722163393135709</v>
      </c>
      <c r="BQ44" s="23">
        <f>EXP(-LN(2)/25)*BQ43+(1-EXP(-LN(2)/25))/(LN(2)/25)*Calculateur!BL44*Calculateur!BN44*VLOOKUP('Données projet'!$B$11,Paramètres!$A$1:$I$89,3,0)*0.475*44/12</f>
        <v>12.863206482258086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70.585369875393795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143.03952000000001</v>
      </c>
      <c r="P45" s="14">
        <f t="shared" si="33"/>
        <v>36.992444033168439</v>
      </c>
      <c r="Q45" s="22">
        <f t="shared" si="53"/>
        <v>313.55567069110168</v>
      </c>
      <c r="R45" s="62">
        <f t="shared" si="0"/>
        <v>540.07791007393314</v>
      </c>
      <c r="S45" s="62">
        <f ca="1">AVERAGE(OFFSET($R$3,0,0,'Données projet'!$E$9+1,1))-AVERAGE(OFFSET($H$3,0,0,'Données projet'!$E$9+1,1))</f>
        <v>472.45436307638545</v>
      </c>
      <c r="T45" s="62">
        <f t="shared" si="34"/>
        <v>300.53096194142108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1.6014529916269551</v>
      </c>
      <c r="AB45" s="23">
        <f>EXP(-LN(2)/2)*AB44+(1-EXP(-LN(2)/2))/(LN(2)/2)*V45*Y45*VLOOKUP('Données projet'!$B$9,Paramètres!$A$1:$I$89,3,0)*0.475*44/12</f>
        <v>0</v>
      </c>
      <c r="AC45" s="24">
        <f t="shared" si="3"/>
        <v>1.6014529916269551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126.37248000000002</v>
      </c>
      <c r="AK45" s="14">
        <f t="shared" si="35"/>
        <v>33.156770349896092</v>
      </c>
      <c r="AL45" s="22">
        <f t="shared" si="4"/>
        <v>277.84677769273577</v>
      </c>
      <c r="AM45" s="62">
        <f t="shared" si="5"/>
        <v>504.36901707556717</v>
      </c>
      <c r="AN45" s="62">
        <f ca="1">AVERAGE(OFFSET($AM$3,0,0,'Données projet'!$E$10+1,1))-AVERAGE(OFFSET($H$3,0,0,'Données projet'!$E$10+1,1))</f>
        <v>451.73518123022563</v>
      </c>
      <c r="AO45" s="62">
        <f t="shared" si="36"/>
        <v>281.81514890308449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89.029256064672438</v>
      </c>
      <c r="BJ45" s="62">
        <f t="shared" si="38"/>
        <v>439.23889300132794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56.59026697603958</v>
      </c>
      <c r="BQ45" s="23">
        <f>EXP(-LN(2)/25)*BQ44+(1-EXP(-LN(2)/25))/(LN(2)/25)*Calculateur!BL45*Calculateur!BN45*VLOOKUP('Données projet'!$B$11,Paramètres!$A$1:$I$89,3,0)*0.475*44/12</f>
        <v>12.511461424554108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69.101728400593686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152.64288000000002</v>
      </c>
      <c r="P46" s="14">
        <f t="shared" si="33"/>
        <v>39.178577703588573</v>
      </c>
      <c r="Q46" s="22">
        <f t="shared" si="53"/>
        <v>334.08903883375007</v>
      </c>
      <c r="R46" s="62">
        <f t="shared" si="0"/>
        <v>561.77030132939342</v>
      </c>
      <c r="S46" s="62">
        <f ca="1">AVERAGE(OFFSET($R$3,0,0,'Données projet'!$E$9+1,1))-AVERAGE(OFFSET($H$3,0,0,'Données projet'!$E$9+1,1))</f>
        <v>472.45436307638545</v>
      </c>
      <c r="T46" s="62">
        <f t="shared" si="34"/>
        <v>300.53096194142108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1.5576611753541634</v>
      </c>
      <c r="AB46" s="23">
        <f>EXP(-LN(2)/2)*AB45+(1-EXP(-LN(2)/2))/(LN(2)/2)*V46*Y46*VLOOKUP('Données projet'!$B$9,Paramètres!$A$1:$I$89,3,0)*0.475*44/12</f>
        <v>0</v>
      </c>
      <c r="AC46" s="24">
        <f t="shared" si="3"/>
        <v>1.5576611753541634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134.36592000000002</v>
      </c>
      <c r="AK46" s="14">
        <f t="shared" si="35"/>
        <v>35.003247613199107</v>
      </c>
      <c r="AL46" s="22">
        <f t="shared" si="4"/>
        <v>294.98463359298847</v>
      </c>
      <c r="AM46" s="62">
        <f t="shared" si="5"/>
        <v>522.66589608863183</v>
      </c>
      <c r="AN46" s="62">
        <f ca="1">AVERAGE(OFFSET($AM$3,0,0,'Données projet'!$E$10+1,1))-AVERAGE(OFFSET($H$3,0,0,'Données projet'!$E$10+1,1))</f>
        <v>451.73518123022563</v>
      </c>
      <c r="AO46" s="62">
        <f t="shared" si="36"/>
        <v>281.81514890308449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89.029256064672438</v>
      </c>
      <c r="BJ46" s="62">
        <f t="shared" si="38"/>
        <v>439.23889300132794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55.480566357294059</v>
      </c>
      <c r="BQ46" s="23">
        <f>EXP(-LN(2)/25)*BQ45+(1-EXP(-LN(2)/25))/(LN(2)/25)*Calculateur!BL46*Calculateur!BN46*VLOOKUP('Données projet'!$B$11,Paramètres!$A$1:$I$89,3,0)*0.475*44/12</f>
        <v>12.169334853950515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67.649901211244568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162.24624000000003</v>
      </c>
      <c r="P47" s="14">
        <f t="shared" si="33"/>
        <v>41.348749290582795</v>
      </c>
      <c r="Q47" s="22">
        <f t="shared" si="53"/>
        <v>354.59460634776502</v>
      </c>
      <c r="R47" s="62">
        <f t="shared" si="0"/>
        <v>583.41478549640055</v>
      </c>
      <c r="S47" s="62">
        <f ca="1">AVERAGE(OFFSET($R$3,0,0,'Données projet'!$E$9+1,1))-AVERAGE(OFFSET($H$3,0,0,'Données projet'!$E$9+1,1))</f>
        <v>472.45436307638545</v>
      </c>
      <c r="T47" s="62">
        <f t="shared" si="34"/>
        <v>300.53096194142108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1.5150668486002627</v>
      </c>
      <c r="AB47" s="23">
        <f>EXP(-LN(2)/2)*AB46+(1-EXP(-LN(2)/2))/(LN(2)/2)*V47*Y47*VLOOKUP('Données projet'!$B$9,Paramètres!$A$1:$I$89,3,0)*0.475*44/12</f>
        <v>0</v>
      </c>
      <c r="AC47" s="24">
        <f t="shared" si="3"/>
        <v>1.5150668486002627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142.35936000000004</v>
      </c>
      <c r="AK47" s="14">
        <f t="shared" si="35"/>
        <v>36.836974905762489</v>
      </c>
      <c r="AL47" s="22">
        <f t="shared" si="4"/>
        <v>312.10028329420305</v>
      </c>
      <c r="AM47" s="62">
        <f t="shared" si="5"/>
        <v>540.92046244283858</v>
      </c>
      <c r="AN47" s="62">
        <f ca="1">AVERAGE(OFFSET($AM$3,0,0,'Données projet'!$E$10+1,1))-AVERAGE(OFFSET($H$3,0,0,'Données projet'!$E$10+1,1))</f>
        <v>451.73518123022563</v>
      </c>
      <c r="AO47" s="62">
        <f t="shared" si="36"/>
        <v>281.81514890308449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89.029256064672438</v>
      </c>
      <c r="BJ47" s="62">
        <f t="shared" si="38"/>
        <v>439.23889300132794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54.3926262908316</v>
      </c>
      <c r="BQ47" s="23">
        <f>EXP(-LN(2)/25)*BQ46+(1-EXP(-LN(2)/25))/(LN(2)/25)*Calculateur!BL47*Calculateur!BN47*VLOOKUP('Données projet'!$B$11,Paramètres!$A$1:$I$89,3,0)*0.475*44/12</f>
        <v>11.836563752411731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66.229190043243335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171.84960000000004</v>
      </c>
      <c r="P48" s="14">
        <f t="shared" si="33"/>
        <v>43.50401120412441</v>
      </c>
      <c r="Q48" s="22">
        <f t="shared" si="53"/>
        <v>375.07420618051674</v>
      </c>
      <c r="R48" s="62">
        <f t="shared" si="0"/>
        <v>605.01354432445123</v>
      </c>
      <c r="S48" s="62">
        <f ca="1">AVERAGE(OFFSET($R$3,0,0,'Données projet'!$E$9+1,1))-AVERAGE(OFFSET($H$3,0,0,'Données projet'!$E$9+1,1))</f>
        <v>472.45436307638545</v>
      </c>
      <c r="T48" s="62">
        <f t="shared" si="34"/>
        <v>300.53096194142108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1.4736372659513857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1.4736372659513857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150.35280000000003</v>
      </c>
      <c r="AK48" s="14">
        <f t="shared" si="35"/>
        <v>38.658749721546236</v>
      </c>
      <c r="AL48" s="22">
        <f t="shared" si="4"/>
        <v>329.1951157650264</v>
      </c>
      <c r="AM48" s="62">
        <f t="shared" si="5"/>
        <v>559.13445390896095</v>
      </c>
      <c r="AN48" s="62">
        <f ca="1">AVERAGE(OFFSET($AM$3,0,0,'Données projet'!$E$10+1,1))-AVERAGE(OFFSET($H$3,0,0,'Données projet'!$E$10+1,1))</f>
        <v>451.73518123022563</v>
      </c>
      <c r="AO48" s="62">
        <f t="shared" si="36"/>
        <v>281.81514890308449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89.029256064672438</v>
      </c>
      <c r="BJ48" s="62">
        <f t="shared" si="38"/>
        <v>439.23889300132794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53.326020065494546</v>
      </c>
      <c r="BQ48" s="23">
        <f>EXP(-LN(2)/25)*BQ47+(1-EXP(-LN(2)/25))/(LN(2)/25)*Calculateur!BL48*Calculateur!BN48*VLOOKUP('Données projet'!$B$11,Paramètres!$A$1:$I$89,3,0)*0.475*44/12</f>
        <v>11.512892294144198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64.838912359638741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157.52880000000005</v>
      </c>
      <c r="P49" s="14">
        <f t="shared" si="33"/>
        <v>40.284625411479013</v>
      </c>
      <c r="Q49" s="22">
        <f t="shared" si="53"/>
        <v>344.52504925832596</v>
      </c>
      <c r="R49" s="62">
        <f t="shared" si="0"/>
        <v>575.5641314910556</v>
      </c>
      <c r="S49" s="62">
        <f ca="1">AVERAGE(OFFSET($R$3,0,0,'Données projet'!$E$9+1,1))-AVERAGE(OFFSET($H$3,0,0,'Données projet'!$E$9+1,1))</f>
        <v>472.45436307638545</v>
      </c>
      <c r="T49" s="62">
        <f t="shared" si="34"/>
        <v>300.53096194142108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1.4333405774187293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1.4333405774187293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138.36264000000003</v>
      </c>
      <c r="AK49" s="14">
        <f t="shared" si="35"/>
        <v>35.921652875237001</v>
      </c>
      <c r="AL49" s="22">
        <f t="shared" si="4"/>
        <v>303.54514342437113</v>
      </c>
      <c r="AM49" s="62">
        <f t="shared" si="5"/>
        <v>534.58422565710089</v>
      </c>
      <c r="AN49" s="62">
        <f ca="1">AVERAGE(OFFSET($AM$3,0,0,'Données projet'!$E$10+1,1))-AVERAGE(OFFSET($H$3,0,0,'Données projet'!$E$10+1,1))</f>
        <v>451.73518123022563</v>
      </c>
      <c r="AO49" s="62">
        <f t="shared" si="36"/>
        <v>281.81514890308449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89.029256064672438</v>
      </c>
      <c r="BJ49" s="62">
        <f t="shared" si="38"/>
        <v>439.23889300132794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52.280329337670793</v>
      </c>
      <c r="BQ49" s="23">
        <f>EXP(-LN(2)/25)*BQ48+(1-EXP(-LN(2)/25))/(LN(2)/25)*Calculateur!BL49*Calculateur!BN49*VLOOKUP('Données projet'!$B$11,Paramètres!$A$1:$I$89,3,0)*0.475*44/12</f>
        <v>11.198071648924133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63.478400986594927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166.79520000000002</v>
      </c>
      <c r="P50" s="14">
        <f t="shared" si="33"/>
        <v>42.371461898472788</v>
      </c>
      <c r="Q50" s="22">
        <f t="shared" si="53"/>
        <v>364.29860280650678</v>
      </c>
      <c r="R50" s="62">
        <f t="shared" si="0"/>
        <v>596.41835102675054</v>
      </c>
      <c r="S50" s="62">
        <f ca="1">AVERAGE(OFFSET($R$3,0,0,'Données projet'!$E$9+1,1))-AVERAGE(OFFSET($H$3,0,0,'Données projet'!$E$9+1,1))</f>
        <v>472.45436307638545</v>
      </c>
      <c r="T50" s="62">
        <f t="shared" si="34"/>
        <v>300.53096194142108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1.3941458039531092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1.3941458039531092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146.35608000000005</v>
      </c>
      <c r="AK50" s="14">
        <f t="shared" si="35"/>
        <v>37.749310209780433</v>
      </c>
      <c r="AL50" s="22">
        <f t="shared" si="4"/>
        <v>320.65022128203435</v>
      </c>
      <c r="AM50" s="62">
        <f t="shared" si="5"/>
        <v>552.76996950227806</v>
      </c>
      <c r="AN50" s="62">
        <f ca="1">AVERAGE(OFFSET($AM$3,0,0,'Données projet'!$E$10+1,1))-AVERAGE(OFFSET($H$3,0,0,'Données projet'!$E$10+1,1))</f>
        <v>451.73518123022563</v>
      </c>
      <c r="AO50" s="62">
        <f t="shared" si="36"/>
        <v>281.81514890308449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89.029256064672438</v>
      </c>
      <c r="BJ50" s="62">
        <f t="shared" si="38"/>
        <v>439.23889300132794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51.255143967211303</v>
      </c>
      <c r="BQ50" s="23">
        <f>EXP(-LN(2)/25)*BQ49+(1-EXP(-LN(2)/25))/(LN(2)/25)*Calculateur!BL50*Calculateur!BN50*VLOOKUP('Données projet'!$B$11,Paramètres!$A$1:$I$89,3,0)*0.475*44/12</f>
        <v>10.891859790803307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62.147003758014613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176.06160000000006</v>
      </c>
      <c r="P51" s="14">
        <f t="shared" si="33"/>
        <v>44.444839741138928</v>
      </c>
      <c r="Q51" s="22">
        <f t="shared" si="53"/>
        <v>384.04871588248369</v>
      </c>
      <c r="R51" s="62">
        <f t="shared" si="0"/>
        <v>617.2303829513653</v>
      </c>
      <c r="S51" s="62">
        <f ca="1">AVERAGE(OFFSET($R$3,0,0,'Données projet'!$E$9+1,1))-AVERAGE(OFFSET($H$3,0,0,'Données projet'!$E$9+1,1))</f>
        <v>472.45436307638545</v>
      </c>
      <c r="T51" s="62">
        <f t="shared" si="34"/>
        <v>300.53096194142108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1.35602281362907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1.35602281362907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154.34952000000004</v>
      </c>
      <c r="AK51" s="14">
        <f t="shared" si="35"/>
        <v>39.565379265558612</v>
      </c>
      <c r="AL51" s="22">
        <f t="shared" si="4"/>
        <v>337.73511622084794</v>
      </c>
      <c r="AM51" s="62">
        <f t="shared" si="5"/>
        <v>570.91678328972944</v>
      </c>
      <c r="AN51" s="62">
        <f ca="1">AVERAGE(OFFSET($AM$3,0,0,'Données projet'!$E$10+1,1))-AVERAGE(OFFSET($H$3,0,0,'Données projet'!$E$10+1,1))</f>
        <v>451.73518123022563</v>
      </c>
      <c r="AO51" s="62">
        <f t="shared" si="36"/>
        <v>281.81514890308449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89.029256064672438</v>
      </c>
      <c r="BJ51" s="62">
        <f t="shared" si="38"/>
        <v>439.23889300132794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50.250061856565189</v>
      </c>
      <c r="BQ51" s="23">
        <f>EXP(-LN(2)/25)*BQ50+(1-EXP(-LN(2)/25))/(LN(2)/25)*Calculateur!BL51*Calculateur!BN51*VLOOKUP('Données projet'!$B$11,Paramètres!$A$1:$I$89,3,0)*0.475*44/12</f>
        <v>10.594021312045779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60.844083168610965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185.32800000000006</v>
      </c>
      <c r="P52" s="14">
        <f t="shared" si="33"/>
        <v>46.505548070897625</v>
      </c>
      <c r="Q52" s="22">
        <f t="shared" si="53"/>
        <v>403.77676289014676</v>
      </c>
      <c r="R52" s="62">
        <f t="shared" si="0"/>
        <v>638.00192688973721</v>
      </c>
      <c r="S52" s="62">
        <f ca="1">AVERAGE(OFFSET($R$3,0,0,'Données projet'!$E$9+1,1))-AVERAGE(OFFSET($H$3,0,0,'Données projet'!$E$9+1,1))</f>
        <v>472.45436307638545</v>
      </c>
      <c r="T52" s="62">
        <f t="shared" si="34"/>
        <v>300.53096194142108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1.3189422984802426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1.3189422984802426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162.34296000000006</v>
      </c>
      <c r="AK52" s="14">
        <f t="shared" si="35"/>
        <v>41.370528628187849</v>
      </c>
      <c r="AL52" s="22">
        <f t="shared" si="4"/>
        <v>354.80099269409396</v>
      </c>
      <c r="AM52" s="62">
        <f t="shared" si="5"/>
        <v>589.02615669368447</v>
      </c>
      <c r="AN52" s="62">
        <f ca="1">AVERAGE(OFFSET($AM$3,0,0,'Données projet'!$E$10+1,1))-AVERAGE(OFFSET($H$3,0,0,'Données projet'!$E$10+1,1))</f>
        <v>451.73518123022563</v>
      </c>
      <c r="AO52" s="62">
        <f t="shared" si="36"/>
        <v>281.81514890308449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89.029256064672438</v>
      </c>
      <c r="BJ52" s="62">
        <f t="shared" si="38"/>
        <v>439.23889300132794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49.26468879306929</v>
      </c>
      <c r="BQ52" s="23">
        <f>EXP(-LN(2)/25)*BQ51+(1-EXP(-LN(2)/25))/(LN(2)/25)*Calculateur!BL52*Calculateur!BN52*VLOOKUP('Données projet'!$B$11,Paramètres!$A$1:$I$89,3,0)*0.475*44/12</f>
        <v>10.304327242152519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59.569016035221807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194.59440000000004</v>
      </c>
      <c r="P53" s="14">
        <f t="shared" si="33"/>
        <v>48.554292648263456</v>
      </c>
      <c r="Q53" s="22">
        <f t="shared" si="53"/>
        <v>423.48397302905886</v>
      </c>
      <c r="R53" s="62">
        <f t="shared" si="0"/>
        <v>658.7345316205201</v>
      </c>
      <c r="S53" s="62">
        <f ca="1">AVERAGE(OFFSET($R$3,0,0,'Données projet'!$E$9+1,1))-AVERAGE(OFFSET($H$3,0,0,'Données projet'!$E$9+1,1))</f>
        <v>472.45436307638545</v>
      </c>
      <c r="T53" s="62">
        <f t="shared" si="34"/>
        <v>300.53096194142108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1.2828757519681393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1.2828757519681393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170.33640000000005</v>
      </c>
      <c r="AK53" s="14">
        <f t="shared" si="35"/>
        <v>43.165357324132231</v>
      </c>
      <c r="AL53" s="22">
        <f t="shared" si="4"/>
        <v>371.84889400619704</v>
      </c>
      <c r="AM53" s="62">
        <f t="shared" si="5"/>
        <v>607.09945259765823</v>
      </c>
      <c r="AN53" s="62">
        <f ca="1">AVERAGE(OFFSET($AM$3,0,0,'Données projet'!$E$10+1,1))-AVERAGE(OFFSET($H$3,0,0,'Données projet'!$E$10+1,1))</f>
        <v>451.73518123022563</v>
      </c>
      <c r="AO53" s="62">
        <f t="shared" si="36"/>
        <v>281.81514890308449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89.029256064672438</v>
      </c>
      <c r="BJ53" s="62">
        <f t="shared" si="38"/>
        <v>439.23889300132794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48.298638294330324</v>
      </c>
      <c r="BQ53" s="23">
        <f>EXP(-LN(2)/25)*BQ52+(1-EXP(-LN(2)/25))/(LN(2)/25)*Calculateur!BL53*Calculateur!BN53*VLOOKUP('Données projet'!$B$11,Paramètres!$A$1:$I$89,3,0)*0.475*44/12</f>
        <v>10.02255487183484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58.321193166165166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179.59968000000003</v>
      </c>
      <c r="P54" s="14">
        <f t="shared" si="33"/>
        <v>45.233110804333748</v>
      </c>
      <c r="Q54" s="22">
        <f t="shared" si="53"/>
        <v>391.58377731754803</v>
      </c>
      <c r="R54" s="62">
        <f t="shared" si="0"/>
        <v>627.84194219714982</v>
      </c>
      <c r="S54" s="62">
        <f ca="1">AVERAGE(OFFSET($R$3,0,0,'Données projet'!$E$9+1,1))-AVERAGE(OFFSET($H$3,0,0,'Données projet'!$E$9+1,1))</f>
        <v>472.45436307638545</v>
      </c>
      <c r="T54" s="62">
        <f t="shared" si="34"/>
        <v>300.53096194142108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1.2477954470670667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1.2477954470670667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157.96560000000005</v>
      </c>
      <c r="AK54" s="14">
        <f t="shared" si="35"/>
        <v>40.38330962462819</v>
      </c>
      <c r="AL54" s="22">
        <f t="shared" si="4"/>
        <v>345.45768426289419</v>
      </c>
      <c r="AM54" s="62">
        <f t="shared" si="5"/>
        <v>581.71584914249604</v>
      </c>
      <c r="AN54" s="62">
        <f ca="1">AVERAGE(OFFSET($AM$3,0,0,'Données projet'!$E$10+1,1))-AVERAGE(OFFSET($H$3,0,0,'Données projet'!$E$10+1,1))</f>
        <v>451.73518123022563</v>
      </c>
      <c r="AO54" s="62">
        <f t="shared" si="36"/>
        <v>281.81514890308449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89.029256064672438</v>
      </c>
      <c r="BJ54" s="62">
        <f t="shared" si="38"/>
        <v>439.23889300132794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47.351531456639009</v>
      </c>
      <c r="BQ54" s="23">
        <f>EXP(-LN(2)/25)*BQ53+(1-EXP(-LN(2)/25))/(LN(2)/25)*Calculateur!BL54*Calculateur!BN54*VLOOKUP('Données projet'!$B$11,Paramètres!$A$1:$I$89,3,0)*0.475*44/12</f>
        <v>9.7484875818012622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57.100019038440273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188.19216000000003</v>
      </c>
      <c r="P55" s="14">
        <f t="shared" si="33"/>
        <v>47.140042972585213</v>
      </c>
      <c r="Q55" s="22">
        <f t="shared" si="53"/>
        <v>409.870253510586</v>
      </c>
      <c r="R55" s="62">
        <f t="shared" si="0"/>
        <v>647.11854496189937</v>
      </c>
      <c r="S55" s="62">
        <f ca="1">AVERAGE(OFFSET($R$3,0,0,'Données projet'!$E$9+1,1))-AVERAGE(OFFSET($H$3,0,0,'Données projet'!$E$9+1,1))</f>
        <v>472.45436307638545</v>
      </c>
      <c r="T55" s="62">
        <f t="shared" si="34"/>
        <v>300.53096194142108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1.213674414948307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1.213674414948307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165.57840000000004</v>
      </c>
      <c r="AK55" s="14">
        <f t="shared" si="35"/>
        <v>42.098218509199697</v>
      </c>
      <c r="AL55" s="22">
        <f t="shared" si="4"/>
        <v>361.70344390352284</v>
      </c>
      <c r="AM55" s="62">
        <f t="shared" si="5"/>
        <v>598.95173535483627</v>
      </c>
      <c r="AN55" s="62">
        <f ca="1">AVERAGE(OFFSET($AM$3,0,0,'Données projet'!$E$10+1,1))-AVERAGE(OFFSET($H$3,0,0,'Données projet'!$E$10+1,1))</f>
        <v>451.73518123022563</v>
      </c>
      <c r="AO55" s="62">
        <f t="shared" si="36"/>
        <v>281.81514890308449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89.029256064672438</v>
      </c>
      <c r="BJ55" s="62">
        <f t="shared" si="38"/>
        <v>439.23889300132794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46.422996806356686</v>
      </c>
      <c r="BQ55" s="23">
        <f>EXP(-LN(2)/25)*BQ54+(1-EXP(-LN(2)/25))/(LN(2)/25)*Calculateur!BL55*Calculateur!BN55*VLOOKUP('Données projet'!$B$11,Paramètres!$A$1:$I$89,3,0)*0.475*44/12</f>
        <v>9.481914676226225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55.904911482582911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196.78464000000002</v>
      </c>
      <c r="P56" s="14">
        <f t="shared" si="33"/>
        <v>49.036863746442876</v>
      </c>
      <c r="Q56" s="22">
        <f t="shared" si="53"/>
        <v>428.1391190250547</v>
      </c>
      <c r="R56" s="62">
        <f t="shared" si="0"/>
        <v>666.36036056565183</v>
      </c>
      <c r="S56" s="62">
        <f ca="1">AVERAGE(OFFSET($R$3,0,0,'Données projet'!$E$9+1,1))-AVERAGE(OFFSET($H$3,0,0,'Données projet'!$E$9+1,1))</f>
        <v>472.45436307638545</v>
      </c>
      <c r="T56" s="62">
        <f t="shared" si="34"/>
        <v>300.53096194142108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1.180486424247182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1.180486424247182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173.19120000000007</v>
      </c>
      <c r="AK56" s="14">
        <f t="shared" si="35"/>
        <v>43.803970782681198</v>
      </c>
      <c r="AL56" s="22">
        <f t="shared" si="4"/>
        <v>377.93325577983654</v>
      </c>
      <c r="AM56" s="62">
        <f t="shared" si="5"/>
        <v>616.15449732043373</v>
      </c>
      <c r="AN56" s="62">
        <f ca="1">AVERAGE(OFFSET($AM$3,0,0,'Données projet'!$E$10+1,1))-AVERAGE(OFFSET($H$3,0,0,'Données projet'!$E$10+1,1))</f>
        <v>451.73518123022563</v>
      </c>
      <c r="AO56" s="62">
        <f t="shared" si="36"/>
        <v>281.81514890308449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89.029256064672438</v>
      </c>
      <c r="BJ56" s="62">
        <f t="shared" si="38"/>
        <v>439.23889300132794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45.512670154216188</v>
      </c>
      <c r="BQ56" s="23">
        <f>EXP(-LN(2)/25)*BQ55+(1-EXP(-LN(2)/25))/(LN(2)/25)*Calculateur!BL56*Calculateur!BN56*VLOOKUP('Données projet'!$B$11,Paramètres!$A$1:$I$89,3,0)*0.475*44/12</f>
        <v>9.2226312207725964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54.735301374988786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205.37711999999999</v>
      </c>
      <c r="P57" s="14">
        <f t="shared" si="33"/>
        <v>50.924065093909938</v>
      </c>
      <c r="Q57" s="22">
        <f t="shared" si="53"/>
        <v>446.39123070522641</v>
      </c>
      <c r="R57" s="62">
        <f t="shared" si="0"/>
        <v>685.56854382624874</v>
      </c>
      <c r="S57" s="62">
        <f ca="1">AVERAGE(OFFSET($R$3,0,0,'Données projet'!$E$9+1,1))-AVERAGE(OFFSET($H$3,0,0,'Données projet'!$E$9+1,1))</f>
        <v>472.45436307638545</v>
      </c>
      <c r="T57" s="62">
        <f t="shared" si="34"/>
        <v>300.53096194142108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1.1482059608970598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1.1482059608970598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180.80400000000006</v>
      </c>
      <c r="AK57" s="14">
        <f t="shared" si="35"/>
        <v>45.501014930459895</v>
      </c>
      <c r="AL57" s="22">
        <f t="shared" si="4"/>
        <v>394.14790100388433</v>
      </c>
      <c r="AM57" s="62">
        <f t="shared" si="5"/>
        <v>633.32521412490678</v>
      </c>
      <c r="AN57" s="62">
        <f ca="1">AVERAGE(OFFSET($AM$3,0,0,'Données projet'!$E$10+1,1))-AVERAGE(OFFSET($H$3,0,0,'Données projet'!$E$10+1,1))</f>
        <v>451.73518123022563</v>
      </c>
      <c r="AO57" s="62">
        <f t="shared" si="36"/>
        <v>281.81514890308449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89.029256064672438</v>
      </c>
      <c r="BJ57" s="62">
        <f t="shared" si="38"/>
        <v>439.23889300132794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44.62019445247973</v>
      </c>
      <c r="BQ57" s="23">
        <f>EXP(-LN(2)/25)*BQ56+(1-EXP(-LN(2)/25))/(LN(2)/25)*Calculateur!BL57*Calculateur!BN57*VLOOKUP('Données projet'!$B$11,Paramètres!$A$1:$I$89,3,0)*0.475*44/12</f>
        <v>8.9704378850434718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53.590632337523203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213.96960000000001</v>
      </c>
      <c r="P58" s="14">
        <f t="shared" si="33"/>
        <v>52.802095488627479</v>
      </c>
      <c r="Q58" s="22">
        <f t="shared" si="53"/>
        <v>464.62736964269283</v>
      </c>
      <c r="R58" s="62">
        <f t="shared" si="0"/>
        <v>704.74416863967599</v>
      </c>
      <c r="S58" s="62">
        <f ca="1">AVERAGE(OFFSET($R$3,0,0,'Données projet'!$E$9+1,1))-AVERAGE(OFFSET($H$3,0,0,'Données projet'!$E$9+1,1))</f>
        <v>472.45436307638545</v>
      </c>
      <c r="T58" s="62">
        <f t="shared" si="34"/>
        <v>300.53096194142108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1.1168082085148026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1.1168082085148026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188.41680000000005</v>
      </c>
      <c r="AK58" s="14">
        <f t="shared" si="35"/>
        <v>47.189759534268674</v>
      </c>
      <c r="AL58" s="22">
        <f t="shared" si="4"/>
        <v>410.34809118885141</v>
      </c>
      <c r="AM58" s="62">
        <f t="shared" si="5"/>
        <v>650.46489018583452</v>
      </c>
      <c r="AN58" s="62">
        <f ca="1">AVERAGE(OFFSET($AM$3,0,0,'Données projet'!$E$10+1,1))-AVERAGE(OFFSET($H$3,0,0,'Données projet'!$E$10+1,1))</f>
        <v>451.73518123022563</v>
      </c>
      <c r="AO58" s="62">
        <f t="shared" si="36"/>
        <v>281.81514890308449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89.029256064672438</v>
      </c>
      <c r="BJ58" s="62">
        <f t="shared" si="38"/>
        <v>439.23889300132794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43.745219654897895</v>
      </c>
      <c r="BQ58" s="23">
        <f>EXP(-LN(2)/25)*BQ57+(1-EXP(-LN(2)/25))/(LN(2)/25)*Calculateur!BL58*Calculateur!BN58*VLOOKUP('Données projet'!$B$11,Paramètres!$A$1:$I$89,3,0)*0.475*44/12</f>
        <v>8.7251407893421327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52.470360444240029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198.30096</v>
      </c>
      <c r="P59" s="14">
        <f t="shared" si="33"/>
        <v>49.3705849564736</v>
      </c>
      <c r="Q59" s="22">
        <f t="shared" si="53"/>
        <v>431.36127413252484</v>
      </c>
      <c r="R59" s="62">
        <f t="shared" si="0"/>
        <v>672.40126102589647</v>
      </c>
      <c r="S59" s="62">
        <f ca="1">AVERAGE(OFFSET($R$3,0,0,'Données projet'!$E$9+1,1))-AVERAGE(OFFSET($H$3,0,0,'Données projet'!$E$9+1,1))</f>
        <v>472.45436307638545</v>
      </c>
      <c r="T59" s="62">
        <f t="shared" si="34"/>
        <v>300.53096194142108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1.0862690293225741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1.0862690293225741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175.47504000000006</v>
      </c>
      <c r="AK59" s="14">
        <f t="shared" si="35"/>
        <v>44.313979066329459</v>
      </c>
      <c r="AL59" s="22">
        <f t="shared" si="4"/>
        <v>382.79920820719053</v>
      </c>
      <c r="AM59" s="62">
        <f t="shared" si="5"/>
        <v>623.83919510056216</v>
      </c>
      <c r="AN59" s="62">
        <f ca="1">AVERAGE(OFFSET($AM$3,0,0,'Données projet'!$E$10+1,1))-AVERAGE(OFFSET($H$3,0,0,'Données projet'!$E$10+1,1))</f>
        <v>451.73518123022563</v>
      </c>
      <c r="AO59" s="62">
        <f t="shared" si="36"/>
        <v>281.81514890308449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89.029256064672438</v>
      </c>
      <c r="BJ59" s="62">
        <f t="shared" si="38"/>
        <v>439.23889300132794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42.887402579414712</v>
      </c>
      <c r="BQ59" s="23">
        <f>EXP(-LN(2)/25)*BQ58+(1-EXP(-LN(2)/25))/(LN(2)/25)*Calculateur!BL59*Calculateur!BN59*VLOOKUP('Données projet'!$B$11,Paramètres!$A$1:$I$89,3,0)*0.475*44/12</f>
        <v>8.4865513556223586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51.373953935037072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206.21952000000002</v>
      </c>
      <c r="P60" s="14">
        <f t="shared" si="33"/>
        <v>51.108584284640322</v>
      </c>
      <c r="Q60" s="22">
        <f t="shared" si="53"/>
        <v>448.1797816290819</v>
      </c>
      <c r="R60" s="62">
        <f t="shared" si="0"/>
        <v>690.12694117277874</v>
      </c>
      <c r="S60" s="62">
        <f ca="1">AVERAGE(OFFSET($R$3,0,0,'Données projet'!$E$9+1,1))-AVERAGE(OFFSET($H$3,0,0,'Données projet'!$E$9+1,1))</f>
        <v>472.45436307638545</v>
      </c>
      <c r="T60" s="62">
        <f t="shared" si="34"/>
        <v>300.53096194142108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1.0565649455913428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1.0565649455913428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182.51688000000007</v>
      </c>
      <c r="AK60" s="14">
        <f t="shared" si="35"/>
        <v>45.881692259499843</v>
      </c>
      <c r="AL60" s="22">
        <f t="shared" si="4"/>
        <v>397.79418001862905</v>
      </c>
      <c r="AM60" s="62">
        <f t="shared" si="5"/>
        <v>639.74133956232583</v>
      </c>
      <c r="AN60" s="62">
        <f ca="1">AVERAGE(OFFSET($AM$3,0,0,'Données projet'!$E$10+1,1))-AVERAGE(OFFSET($H$3,0,0,'Données projet'!$E$10+1,1))</f>
        <v>451.73518123022563</v>
      </c>
      <c r="AO60" s="62">
        <f t="shared" si="36"/>
        <v>281.81514890308449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89.029256064672438</v>
      </c>
      <c r="BJ60" s="62">
        <f t="shared" si="38"/>
        <v>439.23889300132794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42.046406773565003</v>
      </c>
      <c r="BQ60" s="23">
        <f>EXP(-LN(2)/25)*BQ59+(1-EXP(-LN(2)/25))/(LN(2)/25)*Calculateur!BL60*Calculateur!BN60*VLOOKUP('Données projet'!$B$11,Paramètres!$A$1:$I$89,3,0)*0.475*44/12</f>
        <v>8.2544861625145263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50.300892936079528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214.13808</v>
      </c>
      <c r="P61" s="14">
        <f t="shared" si="33"/>
        <v>52.838830759579693</v>
      </c>
      <c r="Q61" s="22">
        <f t="shared" si="53"/>
        <v>464.98478623960131</v>
      </c>
      <c r="R61" s="62">
        <f t="shared" si="0"/>
        <v>707.82338101627431</v>
      </c>
      <c r="S61" s="62">
        <f ca="1">AVERAGE(OFFSET($R$3,0,0,'Données projet'!$E$9+1,1))-AVERAGE(OFFSET($H$3,0,0,'Données projet'!$E$9+1,1))</f>
        <v>472.45436307638545</v>
      </c>
      <c r="T61" s="62">
        <f t="shared" si="34"/>
        <v>300.53096194142108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1.0276731215918118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1.0276731215918118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189.55872000000008</v>
      </c>
      <c r="AK61" s="14">
        <f t="shared" si="35"/>
        <v>47.442378909817926</v>
      </c>
      <c r="AL61" s="22">
        <f t="shared" si="4"/>
        <v>412.77691393459969</v>
      </c>
      <c r="AM61" s="62">
        <f t="shared" si="5"/>
        <v>655.6155087112727</v>
      </c>
      <c r="AN61" s="62">
        <f ca="1">AVERAGE(OFFSET($AM$3,0,0,'Données projet'!$E$10+1,1))-AVERAGE(OFFSET($H$3,0,0,'Données projet'!$E$10+1,1))</f>
        <v>451.73518123022563</v>
      </c>
      <c r="AO61" s="62">
        <f t="shared" si="36"/>
        <v>281.81514890308449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89.029256064672438</v>
      </c>
      <c r="BJ61" s="62">
        <f t="shared" si="38"/>
        <v>439.23889300132794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41.221902382511217</v>
      </c>
      <c r="BQ61" s="23">
        <f>EXP(-LN(2)/25)*BQ60+(1-EXP(-LN(2)/25))/(LN(2)/25)*Calculateur!BL61*Calculateur!BN61*VLOOKUP('Données projet'!$B$11,Paramètres!$A$1:$I$89,3,0)*0.475*44/12</f>
        <v>8.028766804316005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49.250669186827224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222.05663999999999</v>
      </c>
      <c r="P62" s="14">
        <f t="shared" si="33"/>
        <v>54.561643903321311</v>
      </c>
      <c r="Q62" s="22">
        <f t="shared" si="53"/>
        <v>481.77684446495124</v>
      </c>
      <c r="R62" s="62">
        <f t="shared" si="0"/>
        <v>725.49141006625894</v>
      </c>
      <c r="S62" s="62">
        <f ca="1">AVERAGE(OFFSET($R$3,0,0,'Données projet'!$E$9+1,1))-AVERAGE(OFFSET($H$3,0,0,'Données projet'!$E$9+1,1))</f>
        <v>472.45436307638545</v>
      </c>
      <c r="T62" s="62">
        <f t="shared" si="34"/>
        <v>300.53096194142108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0.99957134603890296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0.99957134603890296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196.60056000000006</v>
      </c>
      <c r="AK62" s="14">
        <f t="shared" si="35"/>
        <v>48.99632993395123</v>
      </c>
      <c r="AL62" s="22">
        <f t="shared" si="4"/>
        <v>427.74791663496512</v>
      </c>
      <c r="AM62" s="62">
        <f t="shared" si="5"/>
        <v>671.46248223627276</v>
      </c>
      <c r="AN62" s="62">
        <f ca="1">AVERAGE(OFFSET($AM$3,0,0,'Données projet'!$E$10+1,1))-AVERAGE(OFFSET($H$3,0,0,'Données projet'!$E$10+1,1))</f>
        <v>451.73518123022563</v>
      </c>
      <c r="AO62" s="62">
        <f t="shared" si="36"/>
        <v>281.81514890308449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89.029256064672438</v>
      </c>
      <c r="BJ62" s="62">
        <f t="shared" si="38"/>
        <v>439.23889300132794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40.413566019667975</v>
      </c>
      <c r="BQ62" s="23">
        <f>EXP(-LN(2)/25)*BQ61+(1-EXP(-LN(2)/25))/(LN(2)/25)*Calculateur!BL62*Calculateur!BN62*VLOOKUP('Données projet'!$B$11,Paramètres!$A$1:$I$89,3,0)*0.475*44/12</f>
        <v>7.8092197538374872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48.222785773505464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229.9752</v>
      </c>
      <c r="P63" s="14">
        <f t="shared" si="33"/>
        <v>56.277319157664316</v>
      </c>
      <c r="Q63" s="22">
        <f t="shared" si="53"/>
        <v>498.55647086626527</v>
      </c>
      <c r="R63" s="62">
        <f t="shared" si="0"/>
        <v>743.13181115677764</v>
      </c>
      <c r="S63" s="62">
        <f ca="1">AVERAGE(OFFSET($R$3,0,0,'Données projet'!$E$9+1,1))-AVERAGE(OFFSET($H$3,0,0,'Données projet'!$E$9+1,1))</f>
        <v>472.45436307638545</v>
      </c>
      <c r="T63" s="62">
        <f t="shared" si="34"/>
        <v>300.53096194142108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0.97223801501629659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0.97223801501629659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203.64240000000009</v>
      </c>
      <c r="AK63" s="14">
        <f t="shared" si="35"/>
        <v>50.543814227115448</v>
      </c>
      <c r="AL63" s="22">
        <f t="shared" si="4"/>
        <v>442.70765644555962</v>
      </c>
      <c r="AM63" s="62">
        <f t="shared" si="5"/>
        <v>687.28299673607194</v>
      </c>
      <c r="AN63" s="62">
        <f ca="1">AVERAGE(OFFSET($AM$3,0,0,'Données projet'!$E$10+1,1))-AVERAGE(OFFSET($H$3,0,0,'Données projet'!$E$10+1,1))</f>
        <v>451.73518123022563</v>
      </c>
      <c r="AO63" s="62">
        <f t="shared" si="36"/>
        <v>281.81514890308449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89.029256064672438</v>
      </c>
      <c r="BJ63" s="62">
        <f t="shared" si="38"/>
        <v>439.23889300132794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39.621080639863585</v>
      </c>
      <c r="BQ63" s="23">
        <f>EXP(-LN(2)/25)*BQ62+(1-EXP(-LN(2)/25))/(LN(2)/25)*Calculateur!BL63*Calculateur!BN63*VLOOKUP('Données projet'!$B$11,Paramètres!$A$1:$I$89,3,0)*0.475*44/12</f>
        <v>7.5956762289997828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47.216756868863371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213.80112</v>
      </c>
      <c r="P64" s="14">
        <f t="shared" si="33"/>
        <v>52.765356850602878</v>
      </c>
      <c r="Q64" s="22">
        <f t="shared" si="53"/>
        <v>464.2699471814667</v>
      </c>
      <c r="R64" s="62">
        <f t="shared" si="0"/>
        <v>709.69112964472993</v>
      </c>
      <c r="S64" s="62">
        <f ca="1">AVERAGE(OFFSET($R$3,0,0,'Données projet'!$E$9+1,1))-AVERAGE(OFFSET($H$3,0,0,'Données projet'!$E$9+1,1))</f>
        <v>472.45436307638545</v>
      </c>
      <c r="T64" s="62">
        <f t="shared" si="34"/>
        <v>300.53096194142108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0.94565211536790084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0.94565211536790084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190.51032000000006</v>
      </c>
      <c r="AK64" s="14">
        <f t="shared" si="35"/>
        <v>47.652759738576194</v>
      </c>
      <c r="AL64" s="22">
        <f t="shared" si="4"/>
        <v>414.80069721135357</v>
      </c>
      <c r="AM64" s="62">
        <f t="shared" si="5"/>
        <v>660.22187967461673</v>
      </c>
      <c r="AN64" s="62">
        <f ca="1">AVERAGE(OFFSET($AM$3,0,0,'Données projet'!$E$10+1,1))-AVERAGE(OFFSET($H$3,0,0,'Données projet'!$E$10+1,1))</f>
        <v>451.73518123022563</v>
      </c>
      <c r="AO64" s="62">
        <f t="shared" si="36"/>
        <v>281.81514890308449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89.029256064672438</v>
      </c>
      <c r="BJ64" s="62">
        <f t="shared" si="38"/>
        <v>439.23889300132794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38.844135414988813</v>
      </c>
      <c r="BQ64" s="23">
        <f>EXP(-LN(2)/25)*BQ63+(1-EXP(-LN(2)/25))/(LN(2)/25)*Calculateur!BL64*Calculateur!BN64*VLOOKUP('Données projet'!$B$11,Paramètres!$A$1:$I$89,3,0)*0.475*44/12</f>
        <v>7.3879720630785313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46.232107478067341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221.21424000000002</v>
      </c>
      <c r="P65" s="14">
        <f t="shared" si="33"/>
        <v>54.378710185570377</v>
      </c>
      <c r="Q65" s="22">
        <f t="shared" si="53"/>
        <v>479.99105490653511</v>
      </c>
      <c r="R65" s="62">
        <f t="shared" si="0"/>
        <v>726.24340607187173</v>
      </c>
      <c r="S65" s="62">
        <f ca="1">AVERAGE(OFFSET($R$3,0,0,'Données projet'!$E$9+1,1))-AVERAGE(OFFSET($H$3,0,0,'Données projet'!$E$9+1,1))</f>
        <v>472.45436307638545</v>
      </c>
      <c r="T65" s="62">
        <f t="shared" si="34"/>
        <v>300.53096194142108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0.91979320854348212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0.91979320854348212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197.36184000000006</v>
      </c>
      <c r="AK65" s="14">
        <f t="shared" si="35"/>
        <v>49.163932700586031</v>
      </c>
      <c r="AL65" s="22">
        <f t="shared" si="4"/>
        <v>429.36572078685407</v>
      </c>
      <c r="AM65" s="62">
        <f t="shared" si="5"/>
        <v>675.6180719521908</v>
      </c>
      <c r="AN65" s="62">
        <f ca="1">AVERAGE(OFFSET($AM$3,0,0,'Données projet'!$E$10+1,1))-AVERAGE(OFFSET($H$3,0,0,'Données projet'!$E$10+1,1))</f>
        <v>451.73518123022563</v>
      </c>
      <c r="AO65" s="62">
        <f t="shared" si="36"/>
        <v>281.81514890308449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89.029256064672438</v>
      </c>
      <c r="BJ65" s="62">
        <f t="shared" si="38"/>
        <v>439.23889300132794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38.082425612084037</v>
      </c>
      <c r="BQ65" s="23">
        <f>EXP(-LN(2)/25)*BQ64+(1-EXP(-LN(2)/25))/(LN(2)/25)*Calculateur!BL65*Calculateur!BN65*VLOOKUP('Données projet'!$B$11,Paramètres!$A$1:$I$89,3,0)*0.475*44/12</f>
        <v>7.1859475784970837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45.268373190581123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228.62735999999998</v>
      </c>
      <c r="P66" s="14">
        <f t="shared" si="33"/>
        <v>55.985781352428695</v>
      </c>
      <c r="Q66" s="22">
        <f t="shared" si="53"/>
        <v>495.70122118881324</v>
      </c>
      <c r="R66" s="62">
        <f t="shared" si="0"/>
        <v>742.77032213745724</v>
      </c>
      <c r="S66" s="62">
        <f ca="1">AVERAGE(OFFSET($R$3,0,0,'Données projet'!$E$9+1,1))-AVERAGE(OFFSET($H$3,0,0,'Données projet'!$E$9+1,1))</f>
        <v>472.45436307638545</v>
      </c>
      <c r="T66" s="62">
        <f t="shared" si="34"/>
        <v>300.53096194142108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0.89464141488603799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0.89464141488603799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204.21336000000005</v>
      </c>
      <c r="AK66" s="14">
        <f t="shared" si="35"/>
        <v>50.669010210991836</v>
      </c>
      <c r="AL66" s="22">
        <f t="shared" si="4"/>
        <v>443.92012811747753</v>
      </c>
      <c r="AM66" s="62">
        <f t="shared" si="5"/>
        <v>690.98922906612154</v>
      </c>
      <c r="AN66" s="62">
        <f ca="1">AVERAGE(OFFSET($AM$3,0,0,'Données projet'!$E$10+1,1))-AVERAGE(OFFSET($H$3,0,0,'Données projet'!$E$10+1,1))</f>
        <v>451.73518123022563</v>
      </c>
      <c r="AO66" s="62">
        <f t="shared" si="36"/>
        <v>281.81514890308449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89.029256064672438</v>
      </c>
      <c r="BJ66" s="62">
        <f t="shared" si="38"/>
        <v>439.23889300132794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37.33565247381712</v>
      </c>
      <c r="BQ66" s="23">
        <f>EXP(-LN(2)/25)*BQ65+(1-EXP(-LN(2)/25))/(LN(2)/25)*Calculateur!BL66*Calculateur!BN66*VLOOKUP('Données projet'!$B$11,Paramètres!$A$1:$I$89,3,0)*0.475*44/12</f>
        <v>6.9894474640705218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44.325099937887643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236.04048</v>
      </c>
      <c r="P67" s="14">
        <f t="shared" si="33"/>
        <v>57.586797409506879</v>
      </c>
      <c r="Q67" s="22">
        <f t="shared" ref="Q67:Q98" si="54">(O67+P67)*0.475*44/12</f>
        <v>511.40084148822439</v>
      </c>
      <c r="R67" s="62">
        <f t="shared" ref="R67:R130" si="55">Q67+(I67+J67)*44/12</f>
        <v>759.27252343741418</v>
      </c>
      <c r="S67" s="62">
        <f ca="1">AVERAGE(OFFSET($R$3,0,0,'Données projet'!$E$9+1,1))-AVERAGE(OFFSET($H$3,0,0,'Données projet'!$E$9+1,1))</f>
        <v>472.45436307638545</v>
      </c>
      <c r="T67" s="62">
        <f t="shared" si="34"/>
        <v>300.53096194142108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0.87017739834883201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0.87017739834883201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211.06488000000004</v>
      </c>
      <c r="AK67" s="14">
        <f t="shared" si="35"/>
        <v>52.168220223304438</v>
      </c>
      <c r="AL67" s="22">
        <f t="shared" si="4"/>
        <v>458.46431622225526</v>
      </c>
      <c r="AM67" s="62">
        <f t="shared" si="5"/>
        <v>706.33599817144511</v>
      </c>
      <c r="AN67" s="62">
        <f ca="1">AVERAGE(OFFSET($AM$3,0,0,'Données projet'!$E$10+1,1))-AVERAGE(OFFSET($H$3,0,0,'Données projet'!$E$10+1,1))</f>
        <v>451.73518123022563</v>
      </c>
      <c r="AO67" s="62">
        <f t="shared" si="36"/>
        <v>281.81514890308449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89.029256064672438</v>
      </c>
      <c r="BJ67" s="62">
        <f t="shared" si="38"/>
        <v>439.23889300132794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36.60352310130498</v>
      </c>
      <c r="BQ67" s="23">
        <f>EXP(-LN(2)/25)*BQ66+(1-EXP(-LN(2)/25))/(LN(2)/25)*Calculateur!BL67*Calculateur!BN67*VLOOKUP('Données projet'!$B$11,Paramètres!$A$1:$I$89,3,0)*0.475*44/12</f>
        <v>6.7983206556064459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43.401843756911425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243.45360000000002</v>
      </c>
      <c r="P68" s="14">
        <f t="shared" si="33"/>
        <v>59.181970343065316</v>
      </c>
      <c r="Q68" s="22">
        <f t="shared" si="54"/>
        <v>527.09028501417208</v>
      </c>
      <c r="R68" s="62">
        <f t="shared" si="55"/>
        <v>775.75062497785063</v>
      </c>
      <c r="S68" s="62">
        <f ca="1">AVERAGE(OFFSET($R$3,0,0,'Données projet'!$E$9+1,1))-AVERAGE(OFFSET($H$3,0,0,'Données projet'!$E$9+1,1))</f>
        <v>472.45436307638545</v>
      </c>
      <c r="T68" s="62">
        <f t="shared" si="34"/>
        <v>300.53096194142108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0.84638235163034259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0.84638235163034259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217.91640000000004</v>
      </c>
      <c r="AK68" s="14">
        <f t="shared" si="35"/>
        <v>53.661775051402536</v>
      </c>
      <c r="AL68" s="22">
        <f t="shared" ref="AL68:AL131" si="58">(AJ68+AK68)*0.475*44/12</f>
        <v>472.99865488119281</v>
      </c>
      <c r="AM68" s="62">
        <f t="shared" ref="AM68:AM131" si="59">AL68+(AD68+AE68)*44/12</f>
        <v>721.65899484487136</v>
      </c>
      <c r="AN68" s="62">
        <f ca="1">AVERAGE(OFFSET($AM$3,0,0,'Données projet'!$E$10+1,1))-AVERAGE(OFFSET($H$3,0,0,'Données projet'!$E$10+1,1))</f>
        <v>451.73518123022563</v>
      </c>
      <c r="AO68" s="62">
        <f t="shared" si="36"/>
        <v>281.81514890308449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89.029256064672438</v>
      </c>
      <c r="BJ68" s="62">
        <f t="shared" si="38"/>
        <v>439.23889300132794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35.885750339232978</v>
      </c>
      <c r="BQ68" s="23">
        <f>EXP(-LN(2)/25)*BQ67+(1-EXP(-LN(2)/25))/(LN(2)/25)*Calculateur!BL68*Calculateur!BN68*VLOOKUP('Données projet'!$B$11,Paramètres!$A$1:$I$89,3,0)*0.475*44/12</f>
        <v>6.6124202197707422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42.498170559003718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226.77408</v>
      </c>
      <c r="P69" s="14">
        <f t="shared" ref="P69:P132" si="87">EXP(-1.0587+0.8836*LN(O69)+0.284)</f>
        <v>55.584589827360034</v>
      </c>
      <c r="Q69" s="22">
        <f t="shared" si="54"/>
        <v>491.77468328265195</v>
      </c>
      <c r="R69" s="62">
        <f t="shared" si="55"/>
        <v>741.20999980744307</v>
      </c>
      <c r="S69" s="62">
        <f ca="1">AVERAGE(OFFSET($R$3,0,0,'Données projet'!$E$9+1,1))-AVERAGE(OFFSET($H$3,0,0,'Données projet'!$E$9+1,1))</f>
        <v>472.45436307638545</v>
      </c>
      <c r="T69" s="62">
        <f t="shared" ref="T69:T132" si="88">$T$3</f>
        <v>300.53096194142108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0.8232379817156974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0.8232379817156974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204.40368000000004</v>
      </c>
      <c r="AK69" s="14">
        <f t="shared" ref="AK69:AK132" si="89">EXP(-1.0587+0.8836*LN(AJ69)+0.284)</f>
        <v>50.710733146553544</v>
      </c>
      <c r="AL69" s="22">
        <f t="shared" si="58"/>
        <v>444.3242695635808</v>
      </c>
      <c r="AM69" s="62">
        <f t="shared" si="59"/>
        <v>693.75958608837186</v>
      </c>
      <c r="AN69" s="62">
        <f ca="1">AVERAGE(OFFSET($AM$3,0,0,'Données projet'!$E$10+1,1))-AVERAGE(OFFSET($H$3,0,0,'Données projet'!$E$10+1,1))</f>
        <v>451.73518123022563</v>
      </c>
      <c r="AO69" s="62">
        <f t="shared" ref="AO69:AO132" si="90">$AO$3</f>
        <v>281.81514890308449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89.029256064672438</v>
      </c>
      <c r="BJ69" s="62">
        <f t="shared" ref="BJ69:BJ132" si="92">$BJ$3</f>
        <v>439.23889300132794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35.182052663227054</v>
      </c>
      <c r="BQ69" s="23">
        <f>EXP(-LN(2)/25)*BQ68+(1-EXP(-LN(2)/25))/(LN(2)/25)*Calculateur!BL69*Calculateur!BN69*VLOOKUP('Données projet'!$B$11,Paramètres!$A$1:$I$89,3,0)*0.475*44/12</f>
        <v>6.4316032411290447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41.613655904356101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233.68176</v>
      </c>
      <c r="P70" s="14">
        <f t="shared" si="87"/>
        <v>57.078026837098335</v>
      </c>
      <c r="Q70" s="22">
        <f t="shared" si="54"/>
        <v>506.40662874127952</v>
      </c>
      <c r="R70" s="62">
        <f t="shared" si="55"/>
        <v>756.60347771643592</v>
      </c>
      <c r="S70" s="62">
        <f ca="1">AVERAGE(OFFSET($R$3,0,0,'Données projet'!$E$9+1,1))-AVERAGE(OFFSET($H$3,0,0,'Données projet'!$E$9+1,1))</f>
        <v>472.45436307638545</v>
      </c>
      <c r="T70" s="62">
        <f t="shared" si="88"/>
        <v>300.53096194142108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0.80072649581347777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0.80072649581347777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210.87456000000003</v>
      </c>
      <c r="AK70" s="14">
        <f t="shared" si="89"/>
        <v>52.12665281185464</v>
      </c>
      <c r="AL70" s="22">
        <f t="shared" si="58"/>
        <v>458.06044564731354</v>
      </c>
      <c r="AM70" s="62">
        <f t="shared" si="59"/>
        <v>708.25729462246989</v>
      </c>
      <c r="AN70" s="62">
        <f ca="1">AVERAGE(OFFSET($AM$3,0,0,'Données projet'!$E$10+1,1))-AVERAGE(OFFSET($H$3,0,0,'Données projet'!$E$10+1,1))</f>
        <v>451.73518123022563</v>
      </c>
      <c r="AO70" s="62">
        <f t="shared" si="90"/>
        <v>281.81514890308449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89.029256064672438</v>
      </c>
      <c r="BJ70" s="62">
        <f t="shared" si="92"/>
        <v>439.23889300132794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34.492154069434406</v>
      </c>
      <c r="BQ70" s="23">
        <f>EXP(-LN(2)/25)*BQ69+(1-EXP(-LN(2)/25))/(LN(2)/25)*Calculateur!BL70*Calculateur!BN70*VLOOKUP('Données projet'!$B$11,Paramètres!$A$1:$I$89,3,0)*0.475*44/12</f>
        <v>6.2557307122770558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40.747884781711463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240.58944</v>
      </c>
      <c r="P71" s="14">
        <f t="shared" si="87"/>
        <v>58.56633325847811</v>
      </c>
      <c r="Q71" s="22">
        <f t="shared" si="54"/>
        <v>521.02963842518272</v>
      </c>
      <c r="R71" s="62">
        <f t="shared" si="55"/>
        <v>771.97480896522188</v>
      </c>
      <c r="S71" s="62">
        <f ca="1">AVERAGE(OFFSET($R$3,0,0,'Données projet'!$E$9+1,1))-AVERAGE(OFFSET($H$3,0,0,'Données projet'!$E$9+1,1))</f>
        <v>472.45436307638545</v>
      </c>
      <c r="T71" s="62">
        <f t="shared" si="88"/>
        <v>300.53096194142108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0.77883058767708191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0.77883058767708191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217.34544000000008</v>
      </c>
      <c r="AK71" s="14">
        <f t="shared" si="89"/>
        <v>53.537523221233521</v>
      </c>
      <c r="AL71" s="22">
        <f t="shared" si="58"/>
        <v>471.78782761031516</v>
      </c>
      <c r="AM71" s="62">
        <f t="shared" si="59"/>
        <v>722.73299815035432</v>
      </c>
      <c r="AN71" s="62">
        <f ca="1">AVERAGE(OFFSET($AM$3,0,0,'Données projet'!$E$10+1,1))-AVERAGE(OFFSET($H$3,0,0,'Données projet'!$E$10+1,1))</f>
        <v>451.73518123022563</v>
      </c>
      <c r="AO71" s="62">
        <f t="shared" si="90"/>
        <v>281.81514890308449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89.029256064672438</v>
      </c>
      <c r="BJ71" s="62">
        <f t="shared" si="92"/>
        <v>439.23889300132794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33.815783966269436</v>
      </c>
      <c r="BQ71" s="23">
        <f>EXP(-LN(2)/25)*BQ70+(1-EXP(-LN(2)/25))/(LN(2)/25)*Calculateur!BL71*Calculateur!BN71*VLOOKUP('Données projet'!$B$11,Paramètres!$A$1:$I$89,3,0)*0.475*44/12</f>
        <v>6.0846674269752592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39.900451393244694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247.49712</v>
      </c>
      <c r="P72" s="14">
        <f t="shared" si="87"/>
        <v>60.049673316050104</v>
      </c>
      <c r="Q72" s="22">
        <f t="shared" si="54"/>
        <v>535.64399835878714</v>
      </c>
      <c r="R72" s="62">
        <f t="shared" si="55"/>
        <v>787.32450875755501</v>
      </c>
      <c r="S72" s="62">
        <f ca="1">AVERAGE(OFFSET($R$3,0,0,'Données projet'!$E$9+1,1))-AVERAGE(OFFSET($H$3,0,0,'Données projet'!$E$9+1,1))</f>
        <v>472.45436307638545</v>
      </c>
      <c r="T72" s="62">
        <f t="shared" si="88"/>
        <v>300.53096194142108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0.75753342430013149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0.75753342430013149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223.81632000000008</v>
      </c>
      <c r="AK72" s="14">
        <f t="shared" si="89"/>
        <v>54.94351196072666</v>
      </c>
      <c r="AL72" s="22">
        <f t="shared" si="58"/>
        <v>485.50670733159899</v>
      </c>
      <c r="AM72" s="62">
        <f t="shared" si="59"/>
        <v>737.1872177303668</v>
      </c>
      <c r="AN72" s="62">
        <f ca="1">AVERAGE(OFFSET($AM$3,0,0,'Données projet'!$E$10+1,1))-AVERAGE(OFFSET($H$3,0,0,'Données projet'!$E$10+1,1))</f>
        <v>451.73518123022563</v>
      </c>
      <c r="AO72" s="62">
        <f t="shared" si="90"/>
        <v>281.81514890308449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89.029256064672438</v>
      </c>
      <c r="BJ72" s="62">
        <f t="shared" si="92"/>
        <v>439.23889300132794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33.1526770682825</v>
      </c>
      <c r="BQ72" s="23">
        <f>EXP(-LN(2)/25)*BQ71+(1-EXP(-LN(2)/25))/(LN(2)/25)*Calculateur!BL72*Calculateur!BN72*VLOOKUP('Données projet'!$B$11,Paramètres!$A$1:$I$89,3,0)*0.475*44/12</f>
        <v>5.9182818762058673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39.070958944488368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254.40479999999999</v>
      </c>
      <c r="P73" s="14">
        <f t="shared" si="87"/>
        <v>61.52820154571765</v>
      </c>
      <c r="Q73" s="22">
        <f t="shared" si="54"/>
        <v>550.24997769212484</v>
      </c>
      <c r="R73" s="62">
        <f t="shared" si="55"/>
        <v>802.65307144704593</v>
      </c>
      <c r="S73" s="62">
        <f ca="1">AVERAGE(OFFSET($R$3,0,0,'Données projet'!$E$9+1,1))-AVERAGE(OFFSET($H$3,0,0,'Données projet'!$E$9+1,1))</f>
        <v>472.45436307638545</v>
      </c>
      <c r="T73" s="62">
        <f t="shared" si="88"/>
        <v>300.53096194142108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0.73681863297569294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0.73681863297569294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230.2872000000001</v>
      </c>
      <c r="AK73" s="14">
        <f t="shared" si="89"/>
        <v>56.344776374960006</v>
      </c>
      <c r="AL73" s="22">
        <f t="shared" si="58"/>
        <v>499.21735885305549</v>
      </c>
      <c r="AM73" s="62">
        <f t="shared" si="59"/>
        <v>751.62045260797652</v>
      </c>
      <c r="AN73" s="62">
        <f ca="1">AVERAGE(OFFSET($AM$3,0,0,'Données projet'!$E$10+1,1))-AVERAGE(OFFSET($H$3,0,0,'Données projet'!$E$10+1,1))</f>
        <v>451.73518123022563</v>
      </c>
      <c r="AO73" s="62">
        <f t="shared" si="90"/>
        <v>281.81514890308449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89.029256064672438</v>
      </c>
      <c r="BJ73" s="62">
        <f t="shared" si="92"/>
        <v>439.23889300132794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32.502573292109822</v>
      </c>
      <c r="BQ73" s="23">
        <f>EXP(-LN(2)/25)*BQ72+(1-EXP(-LN(2)/25))/(LN(2)/25)*Calculateur!BL73*Calculateur!BN73*VLOOKUP('Données projet'!$B$11,Paramètres!$A$1:$I$89,3,0)*0.475*44/12</f>
        <v>5.7564461470721007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38.259019439181927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237.21984</v>
      </c>
      <c r="P74" s="14">
        <f t="shared" si="87"/>
        <v>57.840960489671517</v>
      </c>
      <c r="Q74" s="22">
        <f t="shared" si="54"/>
        <v>513.89756085284455</v>
      </c>
      <c r="R74" s="62">
        <f t="shared" si="55"/>
        <v>767.01070275814402</v>
      </c>
      <c r="S74" s="62">
        <f ca="1">AVERAGE(OFFSET($R$3,0,0,'Données projet'!$E$9+1,1))-AVERAGE(OFFSET($H$3,0,0,'Données projet'!$E$9+1,1))</f>
        <v>472.45436307638545</v>
      </c>
      <c r="T74" s="62">
        <f t="shared" si="88"/>
        <v>300.53096194142108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0.71667028870936478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0.71667028870936478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216.3938400000001</v>
      </c>
      <c r="AK74" s="14">
        <f t="shared" si="89"/>
        <v>53.330352339128915</v>
      </c>
      <c r="AL74" s="22">
        <f t="shared" si="58"/>
        <v>469.76963499064965</v>
      </c>
      <c r="AM74" s="62">
        <f t="shared" si="59"/>
        <v>722.88277689594906</v>
      </c>
      <c r="AN74" s="62">
        <f ca="1">AVERAGE(OFFSET($AM$3,0,0,'Données projet'!$E$10+1,1))-AVERAGE(OFFSET($H$3,0,0,'Données projet'!$E$10+1,1))</f>
        <v>451.73518123022563</v>
      </c>
      <c r="AO74" s="62">
        <f t="shared" si="90"/>
        <v>281.81514890308449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89.029256064672438</v>
      </c>
      <c r="BJ74" s="62">
        <f t="shared" si="92"/>
        <v>439.23889300132794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31.865217654463738</v>
      </c>
      <c r="BQ74" s="23">
        <f>EXP(-LN(2)/25)*BQ73+(1-EXP(-LN(2)/25))/(LN(2)/25)*Calculateur!BL74*Calculateur!BN74*VLOOKUP('Données projet'!$B$11,Paramètres!$A$1:$I$89,3,0)*0.475*44/12</f>
        <v>5.5990358244620682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37.464253478925805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243.62208000000001</v>
      </c>
      <c r="P75" s="14">
        <f t="shared" si="87"/>
        <v>59.218157943988587</v>
      </c>
      <c r="Q75" s="22">
        <f t="shared" si="54"/>
        <v>527.44674775244675</v>
      </c>
      <c r="R75" s="62">
        <f t="shared" si="55"/>
        <v>781.25762006014543</v>
      </c>
      <c r="S75" s="62">
        <f ca="1">AVERAGE(OFFSET($R$3,0,0,'Données projet'!$E$9+1,1))-AVERAGE(OFFSET($H$3,0,0,'Données projet'!$E$9+1,1))</f>
        <v>472.45436307638545</v>
      </c>
      <c r="T75" s="62">
        <f t="shared" si="88"/>
        <v>300.53096194142108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0.69707290197655469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0.69707290197655469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222.48408000000009</v>
      </c>
      <c r="AK75" s="14">
        <f t="shared" si="89"/>
        <v>54.654434919149701</v>
      </c>
      <c r="AL75" s="22">
        <f t="shared" si="58"/>
        <v>482.6829134841858</v>
      </c>
      <c r="AM75" s="62">
        <f t="shared" si="59"/>
        <v>736.49378579188442</v>
      </c>
      <c r="AN75" s="62">
        <f ca="1">AVERAGE(OFFSET($AM$3,0,0,'Données projet'!$E$10+1,1))-AVERAGE(OFFSET($H$3,0,0,'Données projet'!$E$10+1,1))</f>
        <v>451.73518123022563</v>
      </c>
      <c r="AO75" s="62">
        <f t="shared" si="90"/>
        <v>281.81514890308449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89.029256064672438</v>
      </c>
      <c r="BJ75" s="62">
        <f t="shared" si="92"/>
        <v>439.23889300132794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31.240360172123342</v>
      </c>
      <c r="BQ75" s="23">
        <f>EXP(-LN(2)/25)*BQ74+(1-EXP(-LN(2)/25))/(LN(2)/25)*Calculateur!BL75*Calculateur!BN75*VLOOKUP('Données projet'!$B$11,Paramètres!$A$1:$I$89,3,0)*0.475*44/12</f>
        <v>5.4459298954016555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36.686290067525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250.02432000000005</v>
      </c>
      <c r="P76" s="14">
        <f t="shared" si="87"/>
        <v>60.591148584829206</v>
      </c>
      <c r="Q76" s="22">
        <f t="shared" si="54"/>
        <v>540.9886077852442</v>
      </c>
      <c r="R76" s="62">
        <f t="shared" si="55"/>
        <v>795.48510643275188</v>
      </c>
      <c r="S76" s="62">
        <f ca="1">AVERAGE(OFFSET($R$3,0,0,'Données projet'!$E$9+1,1))-AVERAGE(OFFSET($H$3,0,0,'Données projet'!$E$9+1,1))</f>
        <v>472.45436307638545</v>
      </c>
      <c r="T76" s="62">
        <f t="shared" si="88"/>
        <v>300.53096194142108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0.67801140681453509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0.67801140681453509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228.57432000000009</v>
      </c>
      <c r="AK76" s="14">
        <f t="shared" si="89"/>
        <v>55.974304715857535</v>
      </c>
      <c r="AL76" s="22">
        <f t="shared" si="58"/>
        <v>495.58885471345201</v>
      </c>
      <c r="AM76" s="62">
        <f t="shared" si="59"/>
        <v>750.08535336095974</v>
      </c>
      <c r="AN76" s="62">
        <f ca="1">AVERAGE(OFFSET($AM$3,0,0,'Données projet'!$E$10+1,1))-AVERAGE(OFFSET($H$3,0,0,'Données projet'!$E$10+1,1))</f>
        <v>451.73518123022563</v>
      </c>
      <c r="AO76" s="62">
        <f t="shared" si="90"/>
        <v>281.81514890308449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89.029256064672438</v>
      </c>
      <c r="BJ76" s="62">
        <f t="shared" si="92"/>
        <v>439.23889300132794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30.62775576388621</v>
      </c>
      <c r="BQ76" s="23">
        <f>EXP(-LN(2)/25)*BQ75+(1-EXP(-LN(2)/25))/(LN(2)/25)*Calculateur!BL76*Calculateur!BN76*VLOOKUP('Données projet'!$B$11,Paramètres!$A$1:$I$89,3,0)*0.475*44/12</f>
        <v>5.2970106560228905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35.924766419909098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256.42656000000005</v>
      </c>
      <c r="P77" s="14">
        <f t="shared" si="87"/>
        <v>61.960052520146306</v>
      </c>
      <c r="Q77" s="22">
        <f t="shared" si="54"/>
        <v>554.52335013925483</v>
      </c>
      <c r="R77" s="62">
        <f t="shared" si="55"/>
        <v>809.69358104240678</v>
      </c>
      <c r="S77" s="62">
        <f ca="1">AVERAGE(OFFSET($R$3,0,0,'Données projet'!$E$9+1,1))-AVERAGE(OFFSET($H$3,0,0,'Données projet'!$E$9+1,1))</f>
        <v>472.45436307638545</v>
      </c>
      <c r="T77" s="62">
        <f t="shared" si="88"/>
        <v>300.53096194142108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0.6594711492401214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0.6594711492401214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234.66456000000011</v>
      </c>
      <c r="AK77" s="14">
        <f t="shared" si="89"/>
        <v>57.290086878049642</v>
      </c>
      <c r="AL77" s="22">
        <f t="shared" si="58"/>
        <v>508.48767664593657</v>
      </c>
      <c r="AM77" s="62">
        <f t="shared" si="59"/>
        <v>763.65790754908858</v>
      </c>
      <c r="AN77" s="62">
        <f ca="1">AVERAGE(OFFSET($AM$3,0,0,'Données projet'!$E$10+1,1))-AVERAGE(OFFSET($H$3,0,0,'Données projet'!$E$10+1,1))</f>
        <v>451.73518123022563</v>
      </c>
      <c r="AO77" s="62">
        <f t="shared" si="90"/>
        <v>281.81514890308449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89.029256064672438</v>
      </c>
      <c r="BJ77" s="62">
        <f t="shared" si="92"/>
        <v>439.23889300132794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30.027164154442815</v>
      </c>
      <c r="BQ77" s="23">
        <f>EXP(-LN(2)/25)*BQ76+(1-EXP(-LN(2)/25))/(LN(2)/25)*Calculateur!BL77*Calculateur!BN77*VLOOKUP('Données projet'!$B$11,Paramètres!$A$1:$I$89,3,0)*0.475*44/12</f>
        <v>5.1521636210762605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35.179327775519077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262.82880000000006</v>
      </c>
      <c r="P78" s="14">
        <f t="shared" si="87"/>
        <v>63.324983518559485</v>
      </c>
      <c r="Q78" s="22">
        <f t="shared" si="54"/>
        <v>568.05117296149115</v>
      </c>
      <c r="R78" s="62">
        <f t="shared" si="55"/>
        <v>823.88344837189152</v>
      </c>
      <c r="S78" s="62">
        <f ca="1">AVERAGE(OFFSET($R$3,0,0,'Données projet'!$E$9+1,1))-AVERAGE(OFFSET($H$3,0,0,'Données projet'!$E$9+1,1))</f>
        <v>472.45436307638545</v>
      </c>
      <c r="T78" s="62">
        <f t="shared" si="88"/>
        <v>300.53096194142108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0.64143787598406976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0.64143787598406976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240.7548000000001</v>
      </c>
      <c r="AK78" s="14">
        <f t="shared" si="89"/>
        <v>58.601899688541096</v>
      </c>
      <c r="AL78" s="22">
        <f t="shared" si="58"/>
        <v>521.37958529087587</v>
      </c>
      <c r="AM78" s="62">
        <f t="shared" si="59"/>
        <v>777.21186070127624</v>
      </c>
      <c r="AN78" s="62">
        <f ca="1">AVERAGE(OFFSET($AM$3,0,0,'Données projet'!$E$10+1,1))-AVERAGE(OFFSET($H$3,0,0,'Données projet'!$E$10+1,1))</f>
        <v>451.73518123022563</v>
      </c>
      <c r="AO78" s="62">
        <f t="shared" si="90"/>
        <v>281.81514890308449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89.029256064672438</v>
      </c>
      <c r="BJ78" s="62">
        <f t="shared" si="92"/>
        <v>439.23889300132794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29.438349780135894</v>
      </c>
      <c r="BQ78" s="23">
        <f>EXP(-LN(2)/25)*BQ77+(1-EXP(-LN(2)/25))/(LN(2)/25)*Calculateur!BL78*Calculateur!BN78*VLOOKUP('Données projet'!$B$11,Paramètres!$A$1:$I$89,3,0)*0.475*44/12</f>
        <v>5.011277435917421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34.449627216053315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245.30688000000009</v>
      </c>
      <c r="P79" s="14">
        <f t="shared" si="87"/>
        <v>59.579874112906374</v>
      </c>
      <c r="Q79" s="22">
        <f t="shared" si="54"/>
        <v>531.01109674664542</v>
      </c>
      <c r="R79" s="62">
        <f t="shared" si="55"/>
        <v>787.4939316722033</v>
      </c>
      <c r="S79" s="62">
        <f ca="1">AVERAGE(OFFSET($R$3,0,0,'Données projet'!$E$9+1,1))-AVERAGE(OFFSET($H$3,0,0,'Données projet'!$E$9+1,1))</f>
        <v>472.45436307638545</v>
      </c>
      <c r="T79" s="62">
        <f t="shared" si="88"/>
        <v>300.53096194142108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0.62389772353353345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0.62389772353353345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226.4808000000001</v>
      </c>
      <c r="AK79" s="14">
        <f t="shared" si="89"/>
        <v>55.52106670316202</v>
      </c>
      <c r="AL79" s="22">
        <f t="shared" si="58"/>
        <v>491.15325117467404</v>
      </c>
      <c r="AM79" s="62">
        <f t="shared" si="59"/>
        <v>747.63608610023198</v>
      </c>
      <c r="AN79" s="62">
        <f ca="1">AVERAGE(OFFSET($AM$3,0,0,'Données projet'!$E$10+1,1))-AVERAGE(OFFSET($H$3,0,0,'Données projet'!$E$10+1,1))</f>
        <v>451.73518123022563</v>
      </c>
      <c r="AO79" s="62">
        <f t="shared" si="90"/>
        <v>281.81514890308449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89.029256064672438</v>
      </c>
      <c r="BJ79" s="62">
        <f t="shared" si="92"/>
        <v>439.23889300132794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28.861081696567826</v>
      </c>
      <c r="BQ79" s="23">
        <f>EXP(-LN(2)/25)*BQ78+(1-EXP(-LN(2)/25))/(LN(2)/25)*Calculateur!BL79*Calculateur!BN79*VLOOKUP('Données projet'!$B$11,Paramètres!$A$1:$I$89,3,0)*0.475*44/12</f>
        <v>4.874243790900632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33.735325487468458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251.37216000000004</v>
      </c>
      <c r="P80" s="14">
        <f t="shared" si="87"/>
        <v>60.879674595707343</v>
      </c>
      <c r="Q80" s="22">
        <f t="shared" si="54"/>
        <v>543.83861192085692</v>
      </c>
      <c r="R80" s="62">
        <f t="shared" si="55"/>
        <v>800.96072060841743</v>
      </c>
      <c r="S80" s="62">
        <f ca="1">AVERAGE(OFFSET($R$3,0,0,'Données projet'!$E$9+1,1))-AVERAGE(OFFSET($H$3,0,0,'Données projet'!$E$9+1,1))</f>
        <v>472.45436307638545</v>
      </c>
      <c r="T80" s="62">
        <f t="shared" si="88"/>
        <v>300.53096194142108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0.60683720747415359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0.60683720747415359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232.1904000000001</v>
      </c>
      <c r="AK80" s="14">
        <f t="shared" si="89"/>
        <v>56.756035639094605</v>
      </c>
      <c r="AL80" s="22">
        <f t="shared" si="58"/>
        <v>503.24837540475659</v>
      </c>
      <c r="AM80" s="62">
        <f t="shared" si="59"/>
        <v>760.37048409231716</v>
      </c>
      <c r="AN80" s="62">
        <f ca="1">AVERAGE(OFFSET($AM$3,0,0,'Données projet'!$E$10+1,1))-AVERAGE(OFFSET($H$3,0,0,'Données projet'!$E$10+1,1))</f>
        <v>451.73518123022563</v>
      </c>
      <c r="AO80" s="62">
        <f t="shared" si="90"/>
        <v>281.81514890308449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89.029256064672438</v>
      </c>
      <c r="BJ80" s="62">
        <f t="shared" si="92"/>
        <v>439.23889300132794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28.295133488019761</v>
      </c>
      <c r="BQ80" s="23">
        <f>EXP(-LN(2)/25)*BQ79+(1-EXP(-LN(2)/25))/(LN(2)/25)*Calculateur!BL80*Calculateur!BN80*VLOOKUP('Données projet'!$B$11,Paramètres!$A$1:$I$89,3,0)*0.475*44/12</f>
        <v>4.7409573381131134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33.036090826132877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257.43744000000004</v>
      </c>
      <c r="P81" s="14">
        <f t="shared" si="87"/>
        <v>62.175829233865038</v>
      </c>
      <c r="Q81" s="22">
        <f t="shared" si="54"/>
        <v>556.65977724898164</v>
      </c>
      <c r="R81" s="62">
        <f t="shared" si="55"/>
        <v>814.41006972797618</v>
      </c>
      <c r="S81" s="62">
        <f ca="1">AVERAGE(OFFSET($R$3,0,0,'Données projet'!$E$9+1,1))-AVERAGE(OFFSET($H$3,0,0,'Données projet'!$E$9+1,1))</f>
        <v>472.45436307638545</v>
      </c>
      <c r="T81" s="62">
        <f t="shared" si="88"/>
        <v>300.53096194142108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0.5902432121235911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0.5902432121235911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237.90000000000009</v>
      </c>
      <c r="AK81" s="14">
        <f t="shared" si="89"/>
        <v>57.987474407587477</v>
      </c>
      <c r="AL81" s="22">
        <f t="shared" si="58"/>
        <v>515.33735125988164</v>
      </c>
      <c r="AM81" s="62">
        <f t="shared" si="59"/>
        <v>773.08764373887607</v>
      </c>
      <c r="AN81" s="62">
        <f ca="1">AVERAGE(OFFSET($AM$3,0,0,'Données projet'!$E$10+1,1))-AVERAGE(OFFSET($H$3,0,0,'Données projet'!$E$10+1,1))</f>
        <v>451.73518123022563</v>
      </c>
      <c r="AO81" s="62">
        <f t="shared" si="90"/>
        <v>281.81514890308449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89.029256064672438</v>
      </c>
      <c r="BJ81" s="62">
        <f t="shared" si="92"/>
        <v>439.23889300132794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27.740283178647005</v>
      </c>
      <c r="BQ81" s="23">
        <f>EXP(-LN(2)/25)*BQ80+(1-EXP(-LN(2)/25))/(LN(2)/25)*Calculateur!BL81*Calculateur!BN81*VLOOKUP('Données projet'!$B$11,Paramètres!$A$1:$I$89,3,0)*0.475*44/12</f>
        <v>4.6113156103862991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32.351598789033304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263.50272000000001</v>
      </c>
      <c r="P82" s="14">
        <f t="shared" si="87"/>
        <v>63.468433809179743</v>
      </c>
      <c r="Q82" s="22">
        <f t="shared" si="54"/>
        <v>569.4747595509881</v>
      </c>
      <c r="R82" s="62">
        <f t="shared" si="55"/>
        <v>827.8423382370438</v>
      </c>
      <c r="S82" s="62">
        <f ca="1">AVERAGE(OFFSET($R$3,0,0,'Données projet'!$E$9+1,1))-AVERAGE(OFFSET($H$3,0,0,'Données projet'!$E$9+1,1))</f>
        <v>472.45436307638545</v>
      </c>
      <c r="T82" s="62">
        <f t="shared" si="88"/>
        <v>300.53096194142108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0.57410298044853003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0.57410298044853003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243.60960000000009</v>
      </c>
      <c r="AK82" s="14">
        <f t="shared" si="89"/>
        <v>59.21547748087886</v>
      </c>
      <c r="AL82" s="22">
        <f t="shared" si="58"/>
        <v>527.42034327919737</v>
      </c>
      <c r="AM82" s="62">
        <f t="shared" si="59"/>
        <v>785.78792196525296</v>
      </c>
      <c r="AN82" s="62">
        <f ca="1">AVERAGE(OFFSET($AM$3,0,0,'Données projet'!$E$10+1,1))-AVERAGE(OFFSET($H$3,0,0,'Données projet'!$E$10+1,1))</f>
        <v>451.73518123022563</v>
      </c>
      <c r="AO82" s="62">
        <f t="shared" si="90"/>
        <v>281.81514890308449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89.029256064672438</v>
      </c>
      <c r="BJ82" s="62">
        <f t="shared" si="92"/>
        <v>439.23889300132794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27.196313145415775</v>
      </c>
      <c r="BQ82" s="23">
        <f>EXP(-LN(2)/25)*BQ81+(1-EXP(-LN(2)/25))/(LN(2)/25)*Calculateur!BL82*Calculateur!BN82*VLOOKUP('Données projet'!$B$11,Paramètres!$A$1:$I$89,3,0)*0.475*44/12</f>
        <v>4.4852189425217368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31.681532087937512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269.56800000000004</v>
      </c>
      <c r="P83" s="14">
        <f t="shared" si="87"/>
        <v>64.757579442439862</v>
      </c>
      <c r="Q83" s="22">
        <f t="shared" si="54"/>
        <v>582.28371752891621</v>
      </c>
      <c r="R83" s="62">
        <f t="shared" si="55"/>
        <v>841.25787388638582</v>
      </c>
      <c r="S83" s="62">
        <f ca="1">AVERAGE(OFFSET($R$3,0,0,'Données projet'!$E$9+1,1))-AVERAGE(OFFSET($H$3,0,0,'Données projet'!$E$9+1,1))</f>
        <v>472.45436307638545</v>
      </c>
      <c r="T83" s="62">
        <f t="shared" si="88"/>
        <v>300.53096194142108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0.55840410425740139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0.55840410425740139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249.31920000000014</v>
      </c>
      <c r="AK83" s="14">
        <f t="shared" si="89"/>
        <v>60.440134650185556</v>
      </c>
      <c r="AL83" s="22">
        <f t="shared" si="58"/>
        <v>539.49750784907337</v>
      </c>
      <c r="AM83" s="62">
        <f t="shared" si="59"/>
        <v>798.47166420654298</v>
      </c>
      <c r="AN83" s="62">
        <f ca="1">AVERAGE(OFFSET($AM$3,0,0,'Données projet'!$E$10+1,1))-AVERAGE(OFFSET($H$3,0,0,'Données projet'!$E$10+1,1))</f>
        <v>451.73518123022563</v>
      </c>
      <c r="AO83" s="62">
        <f t="shared" si="90"/>
        <v>281.81514890308449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89.029256064672438</v>
      </c>
      <c r="BJ83" s="62">
        <f t="shared" si="92"/>
        <v>439.23889300132794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26.663010032747252</v>
      </c>
      <c r="BQ83" s="23">
        <f>EXP(-LN(2)/25)*BQ82+(1-EXP(-LN(2)/25))/(LN(2)/25)*Calculateur!BL83*Calculateur!BN83*VLOOKUP('Données projet'!$B$11,Paramètres!$A$1:$I$89,3,0)*0.475*44/12</f>
        <v>4.3625703946710672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31.025580427418319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251.70912000000001</v>
      </c>
      <c r="P84" s="14">
        <f t="shared" si="87"/>
        <v>60.951777927910598</v>
      </c>
      <c r="Q84" s="22">
        <f t="shared" si="54"/>
        <v>544.55106389111097</v>
      </c>
      <c r="R84" s="62">
        <f t="shared" si="55"/>
        <v>804.12127515349971</v>
      </c>
      <c r="S84" s="62">
        <f ca="1">AVERAGE(OFFSET($R$3,0,0,'Données projet'!$E$9+1,1))-AVERAGE(OFFSET($H$3,0,0,'Données projet'!$E$9+1,1))</f>
        <v>472.45436307638545</v>
      </c>
      <c r="T84" s="62">
        <f t="shared" si="88"/>
        <v>300.53096194142108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0.54313451466128715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0.54313451466128715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234.66456000000011</v>
      </c>
      <c r="AK84" s="14">
        <f t="shared" si="89"/>
        <v>57.290086878049642</v>
      </c>
      <c r="AL84" s="22">
        <f t="shared" si="58"/>
        <v>508.48767664593657</v>
      </c>
      <c r="AM84" s="62">
        <f t="shared" si="59"/>
        <v>768.05788790832537</v>
      </c>
      <c r="AN84" s="62">
        <f ca="1">AVERAGE(OFFSET($AM$3,0,0,'Données projet'!$E$10+1,1))-AVERAGE(OFFSET($H$3,0,0,'Données projet'!$E$10+1,1))</f>
        <v>451.73518123022563</v>
      </c>
      <c r="AO84" s="62">
        <f t="shared" si="90"/>
        <v>281.81514890308449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89.029256064672438</v>
      </c>
      <c r="BJ84" s="62">
        <f t="shared" si="92"/>
        <v>439.23889300132794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26.140164668835379</v>
      </c>
      <c r="BQ84" s="23">
        <f>EXP(-LN(2)/25)*BQ83+(1-EXP(-LN(2)/25))/(LN(2)/25)*Calculateur!BL84*Calculateur!BN84*VLOOKUP('Données projet'!$B$11,Paramètres!$A$1:$I$89,3,0)*0.475*44/12</f>
        <v>4.2432756778111802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30.383440346646559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257.43744000000004</v>
      </c>
      <c r="P85" s="14">
        <f t="shared" si="87"/>
        <v>62.175829233865038</v>
      </c>
      <c r="Q85" s="22">
        <f t="shared" si="54"/>
        <v>556.65977724898164</v>
      </c>
      <c r="R85" s="62">
        <f t="shared" si="55"/>
        <v>816.8157031962686</v>
      </c>
      <c r="S85" s="62">
        <f ca="1">AVERAGE(OFFSET($R$3,0,0,'Données projet'!$E$9+1,1))-AVERAGE(OFFSET($H$3,0,0,'Données projet'!$E$9+1,1))</f>
        <v>472.45436307638545</v>
      </c>
      <c r="T85" s="62">
        <f t="shared" si="88"/>
        <v>300.53096194142108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0.52828247279567153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0.52828247279567153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239.9935200000001</v>
      </c>
      <c r="AK85" s="14">
        <f t="shared" si="89"/>
        <v>58.438136276457072</v>
      </c>
      <c r="AL85" s="22">
        <f t="shared" si="58"/>
        <v>519.76846801482952</v>
      </c>
      <c r="AM85" s="62">
        <f t="shared" si="59"/>
        <v>779.92439396211648</v>
      </c>
      <c r="AN85" s="62">
        <f ca="1">AVERAGE(OFFSET($AM$3,0,0,'Données projet'!$E$10+1,1))-AVERAGE(OFFSET($H$3,0,0,'Données projet'!$E$10+1,1))</f>
        <v>451.73518123022563</v>
      </c>
      <c r="AO85" s="62">
        <f t="shared" si="90"/>
        <v>281.81514890308449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89.029256064672438</v>
      </c>
      <c r="BJ85" s="62">
        <f t="shared" si="92"/>
        <v>439.23889300132794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25.627571983605634</v>
      </c>
      <c r="BQ85" s="23">
        <f>EXP(-LN(2)/25)*BQ84+(1-EXP(-LN(2)/25))/(LN(2)/25)*Calculateur!BL85*Calculateur!BN85*VLOOKUP('Données projet'!$B$11,Paramètres!$A$1:$I$89,3,0)*0.475*44/12</f>
        <v>4.127243081257264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29.754815064862896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263.16576000000003</v>
      </c>
      <c r="P86" s="14">
        <f t="shared" si="87"/>
        <v>63.396714008817959</v>
      </c>
      <c r="Q86" s="22">
        <f t="shared" si="54"/>
        <v>568.76297556535803</v>
      </c>
      <c r="R86" s="62">
        <f t="shared" si="55"/>
        <v>829.49445535722202</v>
      </c>
      <c r="S86" s="62">
        <f ca="1">AVERAGE(OFFSET($R$3,0,0,'Données projet'!$E$9+1,1))-AVERAGE(OFFSET($H$3,0,0,'Données projet'!$E$9+1,1))</f>
        <v>472.45436307638545</v>
      </c>
      <c r="T86" s="62">
        <f t="shared" si="88"/>
        <v>300.53096194142108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0.51383656079590601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0.51383656079590601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245.3224800000001</v>
      </c>
      <c r="AK86" s="14">
        <f t="shared" si="89"/>
        <v>59.58322198263604</v>
      </c>
      <c r="AL86" s="22">
        <f t="shared" si="58"/>
        <v>531.04409761975785</v>
      </c>
      <c r="AM86" s="62">
        <f t="shared" si="59"/>
        <v>791.77557741162173</v>
      </c>
      <c r="AN86" s="62">
        <f ca="1">AVERAGE(OFFSET($AM$3,0,0,'Données projet'!$E$10+1,1))-AVERAGE(OFFSET($H$3,0,0,'Données projet'!$E$10+1,1))</f>
        <v>451.73518123022563</v>
      </c>
      <c r="AO86" s="62">
        <f t="shared" si="90"/>
        <v>281.81514890308449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89.029256064672438</v>
      </c>
      <c r="BJ86" s="62">
        <f t="shared" si="92"/>
        <v>439.23889300132794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25.125030928282577</v>
      </c>
      <c r="BQ86" s="23">
        <f>EXP(-LN(2)/25)*BQ85+(1-EXP(-LN(2)/25))/(LN(2)/25)*Calculateur!BL86*Calculateur!BN86*VLOOKUP('Données projet'!$B$11,Paramètres!$A$1:$I$89,3,0)*0.475*44/12</f>
        <v>4.0143834021580034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29.13941433044058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268.89408000000003</v>
      </c>
      <c r="P87" s="14">
        <f t="shared" si="87"/>
        <v>64.614509116360949</v>
      </c>
      <c r="Q87" s="22">
        <f t="shared" si="54"/>
        <v>580.86079271099538</v>
      </c>
      <c r="R87" s="62">
        <f t="shared" si="55"/>
        <v>842.15784177497858</v>
      </c>
      <c r="S87" s="62">
        <f ca="1">AVERAGE(OFFSET($R$3,0,0,'Données projet'!$E$9+1,1))-AVERAGE(OFFSET($H$3,0,0,'Données projet'!$E$9+1,1))</f>
        <v>472.45436307638545</v>
      </c>
      <c r="T87" s="62">
        <f t="shared" si="88"/>
        <v>300.53096194142108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0.49978567301945159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0.49978567301945159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250.65144000000015</v>
      </c>
      <c r="AK87" s="14">
        <f t="shared" si="89"/>
        <v>60.725415788925183</v>
      </c>
      <c r="AL87" s="22">
        <f t="shared" si="58"/>
        <v>542.3146904990449</v>
      </c>
      <c r="AM87" s="62">
        <f t="shared" si="59"/>
        <v>803.6117395630281</v>
      </c>
      <c r="AN87" s="62">
        <f ca="1">AVERAGE(OFFSET($AM$3,0,0,'Données projet'!$E$10+1,1))-AVERAGE(OFFSET($H$3,0,0,'Données projet'!$E$10+1,1))</f>
        <v>451.73518123022563</v>
      </c>
      <c r="AO87" s="62">
        <f t="shared" si="90"/>
        <v>281.81514890308449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89.029256064672438</v>
      </c>
      <c r="BJ87" s="62">
        <f t="shared" si="92"/>
        <v>439.23889300132794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24.632344396534627</v>
      </c>
      <c r="BQ87" s="23">
        <f>EXP(-LN(2)/25)*BQ86+(1-EXP(-LN(2)/25))/(LN(2)/25)*Calculateur!BL87*Calculateur!BN87*VLOOKUP('Données projet'!$B$11,Paramètres!$A$1:$I$89,3,0)*0.475*44/12</f>
        <v>3.9046098769187445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28.536954273453372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274.62240000000008</v>
      </c>
      <c r="P88" s="14">
        <f t="shared" si="87"/>
        <v>65.829287958103762</v>
      </c>
      <c r="Q88" s="22">
        <f t="shared" si="54"/>
        <v>592.95335652703079</v>
      </c>
      <c r="R88" s="62">
        <f t="shared" si="55"/>
        <v>854.80616350068544</v>
      </c>
      <c r="S88" s="62">
        <f ca="1">AVERAGE(OFFSET($R$3,0,0,'Données projet'!$E$9+1,1))-AVERAGE(OFFSET($H$3,0,0,'Données projet'!$E$9+1,1))</f>
        <v>472.45436307638545</v>
      </c>
      <c r="T88" s="62">
        <f t="shared" si="88"/>
        <v>300.53096194142108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0.4861190075081484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0.4861190075081484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255.98040000000015</v>
      </c>
      <c r="AK88" s="14">
        <f t="shared" si="89"/>
        <v>61.864786260587792</v>
      </c>
      <c r="AL88" s="22">
        <f t="shared" si="58"/>
        <v>553.58036607052395</v>
      </c>
      <c r="AM88" s="62">
        <f t="shared" si="59"/>
        <v>815.4331730441786</v>
      </c>
      <c r="AN88" s="62">
        <f ca="1">AVERAGE(OFFSET($AM$3,0,0,'Données projet'!$E$10+1,1))-AVERAGE(OFFSET($H$3,0,0,'Données projet'!$E$10+1,1))</f>
        <v>451.73518123022563</v>
      </c>
      <c r="AO88" s="62">
        <f t="shared" si="90"/>
        <v>281.81514890308449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89.029256064672438</v>
      </c>
      <c r="BJ88" s="62">
        <f t="shared" si="92"/>
        <v>439.23889300132794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24.149319147165144</v>
      </c>
      <c r="BQ88" s="23">
        <f>EXP(-LN(2)/25)*BQ87+(1-EXP(-LN(2)/25))/(LN(2)/25)*Calculateur!BL88*Calculateur!BN88*VLOOKUP('Données projet'!$B$11,Paramètres!$A$1:$I$89,3,0)*0.475*44/12</f>
        <v>3.7978381144998923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27.947157261665037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256.42656000000005</v>
      </c>
      <c r="P89" s="14">
        <f t="shared" si="87"/>
        <v>61.960052520146306</v>
      </c>
      <c r="Q89" s="22">
        <f t="shared" si="54"/>
        <v>554.52335013925483</v>
      </c>
      <c r="R89" s="62">
        <f t="shared" si="55"/>
        <v>816.92227386533659</v>
      </c>
      <c r="S89" s="62">
        <f ca="1">AVERAGE(OFFSET($R$3,0,0,'Données projet'!$E$9+1,1))-AVERAGE(OFFSET($H$3,0,0,'Données projet'!$E$9+1,1))</f>
        <v>472.45436307638545</v>
      </c>
      <c r="T89" s="62">
        <f t="shared" si="88"/>
        <v>300.53096194142108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0.47282605768395053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0.47282605768395053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241.13544000000016</v>
      </c>
      <c r="AK89" s="14">
        <f t="shared" si="89"/>
        <v>58.6837587821827</v>
      </c>
      <c r="AL89" s="22">
        <f t="shared" si="58"/>
        <v>522.18510454563523</v>
      </c>
      <c r="AM89" s="62">
        <f t="shared" si="59"/>
        <v>784.58402827171699</v>
      </c>
      <c r="AN89" s="62">
        <f ca="1">AVERAGE(OFFSET($AM$3,0,0,'Données projet'!$E$10+1,1))-AVERAGE(OFFSET($H$3,0,0,'Données projet'!$E$10+1,1))</f>
        <v>451.73518123022563</v>
      </c>
      <c r="AO89" s="62">
        <f t="shared" si="90"/>
        <v>281.81514890308449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89.029256064672438</v>
      </c>
      <c r="BJ89" s="62">
        <f t="shared" si="92"/>
        <v>439.23889300132794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23.675765728319487</v>
      </c>
      <c r="BQ89" s="23">
        <f>EXP(-LN(2)/25)*BQ88+(1-EXP(-LN(2)/25))/(LN(2)/25)*Calculateur!BL89*Calculateur!BN89*VLOOKUP('Données projet'!$B$11,Paramètres!$A$1:$I$89,3,0)*0.475*44/12</f>
        <v>3.6939860315392665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27.369751759858755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261.81792000000002</v>
      </c>
      <c r="P90" s="14">
        <f t="shared" si="87"/>
        <v>63.109727755181751</v>
      </c>
      <c r="Q90" s="22">
        <f t="shared" si="54"/>
        <v>565.91565317360812</v>
      </c>
      <c r="R90" s="62">
        <f t="shared" si="55"/>
        <v>828.8512197473965</v>
      </c>
      <c r="S90" s="62">
        <f ca="1">AVERAGE(OFFSET($R$3,0,0,'Données projet'!$E$9+1,1))-AVERAGE(OFFSET($H$3,0,0,'Données projet'!$E$9+1,1))</f>
        <v>472.45436307638545</v>
      </c>
      <c r="T90" s="62">
        <f t="shared" si="88"/>
        <v>300.53096194142108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0.45989660427174117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0.45989660427174117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246.27408000000014</v>
      </c>
      <c r="AK90" s="14">
        <f t="shared" si="89"/>
        <v>59.787395242924525</v>
      </c>
      <c r="AL90" s="22">
        <f t="shared" si="58"/>
        <v>533.05706938142703</v>
      </c>
      <c r="AM90" s="62">
        <f t="shared" si="59"/>
        <v>795.99263595521552</v>
      </c>
      <c r="AN90" s="62">
        <f ca="1">AVERAGE(OFFSET($AM$3,0,0,'Données projet'!$E$10+1,1))-AVERAGE(OFFSET($H$3,0,0,'Données projet'!$E$10+1,1))</f>
        <v>451.73518123022563</v>
      </c>
      <c r="AO90" s="62">
        <f t="shared" si="90"/>
        <v>281.81514890308449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89.029256064672438</v>
      </c>
      <c r="BJ90" s="62">
        <f t="shared" si="92"/>
        <v>439.23889300132794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23.211498403178325</v>
      </c>
      <c r="BQ90" s="23">
        <f>EXP(-LN(2)/25)*BQ89+(1-EXP(-LN(2)/25))/(LN(2)/25)*Calculateur!BL90*Calculateur!BN90*VLOOKUP('Données projet'!$B$11,Paramètres!$A$1:$I$89,3,0)*0.475*44/12</f>
        <v>3.5929737892485427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26.804472192426868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267.20928000000004</v>
      </c>
      <c r="P91" s="14">
        <f t="shared" si="87"/>
        <v>64.256650415058076</v>
      </c>
      <c r="Q91" s="22">
        <f t="shared" si="54"/>
        <v>577.3031621395595</v>
      </c>
      <c r="R91" s="62">
        <f t="shared" si="55"/>
        <v>840.76606200740059</v>
      </c>
      <c r="S91" s="62">
        <f ca="1">AVERAGE(OFFSET($R$3,0,0,'Données projet'!$E$9+1,1))-AVERAGE(OFFSET($H$3,0,0,'Données projet'!$E$9+1,1))</f>
        <v>472.45436307638545</v>
      </c>
      <c r="T91" s="62">
        <f t="shared" si="88"/>
        <v>300.53096194142108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0.44732070744301911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0.44732070744301911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251.41272000000012</v>
      </c>
      <c r="AK91" s="14">
        <f t="shared" si="89"/>
        <v>60.888354295829252</v>
      </c>
      <c r="AL91" s="22">
        <f t="shared" si="58"/>
        <v>543.92437106523619</v>
      </c>
      <c r="AM91" s="62">
        <f t="shared" si="59"/>
        <v>807.38727093307728</v>
      </c>
      <c r="AN91" s="62">
        <f ca="1">AVERAGE(OFFSET($AM$3,0,0,'Données projet'!$E$10+1,1))-AVERAGE(OFFSET($H$3,0,0,'Données projet'!$E$10+1,1))</f>
        <v>451.73518123022563</v>
      </c>
      <c r="AO91" s="62">
        <f t="shared" si="90"/>
        <v>281.81514890308449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89.029256064672438</v>
      </c>
      <c r="BJ91" s="62">
        <f t="shared" si="92"/>
        <v>439.23889300132794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22.756335077108076</v>
      </c>
      <c r="BQ91" s="23">
        <f>EXP(-LN(2)/25)*BQ90+(1-EXP(-LN(2)/25))/(LN(2)/25)*Calculateur!BL91*Calculateur!BN91*VLOOKUP('Données projet'!$B$11,Paramètres!$A$1:$I$89,3,0)*0.475*44/12</f>
        <v>3.4947237320352618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26.251058809143338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272.60064</v>
      </c>
      <c r="P92" s="14">
        <f t="shared" si="87"/>
        <v>65.400882437522853</v>
      </c>
      <c r="Q92" s="22">
        <f t="shared" si="54"/>
        <v>588.68598491201885</v>
      </c>
      <c r="R92" s="62">
        <f t="shared" si="55"/>
        <v>852.66707002020144</v>
      </c>
      <c r="S92" s="62">
        <f ca="1">AVERAGE(OFFSET($R$3,0,0,'Données projet'!$E$9+1,1))-AVERAGE(OFFSET($H$3,0,0,'Données projet'!$E$9+1,1))</f>
        <v>472.45436307638545</v>
      </c>
      <c r="T92" s="62">
        <f t="shared" si="88"/>
        <v>300.53096194142108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0.43508869917441612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0.43508869917441612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256.5513600000001</v>
      </c>
      <c r="AK92" s="14">
        <f t="shared" si="89"/>
        <v>61.986696970400196</v>
      </c>
      <c r="AL92" s="22">
        <f t="shared" si="58"/>
        <v>554.78711589011391</v>
      </c>
      <c r="AM92" s="62">
        <f t="shared" si="59"/>
        <v>818.76820099829638</v>
      </c>
      <c r="AN92" s="62">
        <f ca="1">AVERAGE(OFFSET($AM$3,0,0,'Données projet'!$E$10+1,1))-AVERAGE(OFFSET($H$3,0,0,'Données projet'!$E$10+1,1))</f>
        <v>451.73518123022563</v>
      </c>
      <c r="AO92" s="62">
        <f t="shared" si="90"/>
        <v>281.81514890308449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89.029256064672438</v>
      </c>
      <c r="BJ92" s="62">
        <f t="shared" si="92"/>
        <v>439.23889300132794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22.310097226239847</v>
      </c>
      <c r="BQ92" s="23">
        <f>EXP(-LN(2)/25)*BQ91+(1-EXP(-LN(2)/25))/(LN(2)/25)*Calculateur!BL92*Calculateur!BN92*VLOOKUP('Données projet'!$B$11,Paramètres!$A$1:$I$89,3,0)*0.475*44/12</f>
        <v>3.3991603278032239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25.70925755404307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277.99200000000002</v>
      </c>
      <c r="P93" s="14">
        <f t="shared" si="87"/>
        <v>66.542483170264177</v>
      </c>
      <c r="Q93" s="22">
        <f t="shared" si="54"/>
        <v>600.06422485487678</v>
      </c>
      <c r="R93" s="62">
        <f t="shared" si="55"/>
        <v>864.55450584796949</v>
      </c>
      <c r="S93" s="62">
        <f ca="1">AVERAGE(OFFSET($R$3,0,0,'Données projet'!$E$9+1,1))-AVERAGE(OFFSET($H$3,0,0,'Données projet'!$E$9+1,1))</f>
        <v>472.45436307638545</v>
      </c>
      <c r="T93" s="62">
        <f t="shared" si="88"/>
        <v>300.53096194142108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0.42319117581517141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0.42319117581517141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261.69000000000005</v>
      </c>
      <c r="AK93" s="14">
        <f t="shared" si="89"/>
        <v>63.0824817115464</v>
      </c>
      <c r="AL93" s="22">
        <f t="shared" si="58"/>
        <v>565.64540564761012</v>
      </c>
      <c r="AM93" s="62">
        <f t="shared" si="59"/>
        <v>830.13568664070294</v>
      </c>
      <c r="AN93" s="62">
        <f ca="1">AVERAGE(OFFSET($AM$3,0,0,'Données projet'!$E$10+1,1))-AVERAGE(OFFSET($H$3,0,0,'Données projet'!$E$10+1,1))</f>
        <v>451.73518123022563</v>
      </c>
      <c r="AO93" s="62">
        <f t="shared" si="90"/>
        <v>281.81514890308449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89.029256064672438</v>
      </c>
      <c r="BJ93" s="62">
        <f t="shared" si="92"/>
        <v>439.23889300132794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21.872609827448933</v>
      </c>
      <c r="BQ93" s="23">
        <f>EXP(-LN(2)/25)*BQ92+(1-EXP(-LN(2)/25))/(LN(2)/25)*Calculateur!BL93*Calculateur!BN93*VLOOKUP('Données projet'!$B$11,Paramètres!$A$1:$I$89,3,0)*0.475*44/12</f>
        <v>3.306210109885372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25.178819937334303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259.45920000000001</v>
      </c>
      <c r="P94" s="14">
        <f t="shared" si="87"/>
        <v>62.607087284635128</v>
      </c>
      <c r="Q94" s="22">
        <f t="shared" si="54"/>
        <v>560.93211702073938</v>
      </c>
      <c r="R94" s="62">
        <f t="shared" si="55"/>
        <v>825.92276048853057</v>
      </c>
      <c r="S94" s="62">
        <f ca="1">AVERAGE(OFFSET($R$3,0,0,'Données projet'!$E$9+1,1))-AVERAGE(OFFSET($H$3,0,0,'Données projet'!$E$9+1,1))</f>
        <v>472.45436307638545</v>
      </c>
      <c r="T94" s="62">
        <f t="shared" si="88"/>
        <v>300.53096194142108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0.41161899085784881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0.41161899085784881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246.46440000000007</v>
      </c>
      <c r="AK94" s="14">
        <f t="shared" si="89"/>
        <v>59.828218865086818</v>
      </c>
      <c r="AL94" s="22">
        <f t="shared" si="58"/>
        <v>533.45964452335954</v>
      </c>
      <c r="AM94" s="62">
        <f t="shared" si="59"/>
        <v>798.45028799115073</v>
      </c>
      <c r="AN94" s="62">
        <f ca="1">AVERAGE(OFFSET($AM$3,0,0,'Données projet'!$E$10+1,1))-AVERAGE(OFFSET($H$3,0,0,'Données projet'!$E$10+1,1))</f>
        <v>451.73518123022563</v>
      </c>
      <c r="AO94" s="62">
        <f t="shared" si="90"/>
        <v>281.81514890308449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89.029256064672438</v>
      </c>
      <c r="BJ94" s="62">
        <f t="shared" si="92"/>
        <v>439.23889300132794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21.443701289707342</v>
      </c>
      <c r="BQ94" s="23">
        <f>EXP(-LN(2)/25)*BQ93+(1-EXP(-LN(2)/25))/(LN(2)/25)*Calculateur!BL94*Calculateur!BN94*VLOOKUP('Données projet'!$B$11,Paramètres!$A$1:$I$89,3,0)*0.475*44/12</f>
        <v>3.2158016205645232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24.659502910271865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264.51359999999994</v>
      </c>
      <c r="P95" s="14">
        <f t="shared" si="87"/>
        <v>63.683529223278974</v>
      </c>
      <c r="Q95" s="22">
        <f t="shared" si="54"/>
        <v>571.61000006387746</v>
      </c>
      <c r="R95" s="62">
        <f t="shared" si="55"/>
        <v>837.092325836074</v>
      </c>
      <c r="S95" s="62">
        <f ca="1">AVERAGE(OFFSET($R$3,0,0,'Données projet'!$E$9+1,1))-AVERAGE(OFFSET($H$3,0,0,'Données projet'!$E$9+1,1))</f>
        <v>472.45436307638545</v>
      </c>
      <c r="T95" s="62">
        <f t="shared" si="88"/>
        <v>300.53096194142108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0.40036324790673899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0.40036324790673899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251.22240000000005</v>
      </c>
      <c r="AK95" s="14">
        <f t="shared" si="89"/>
        <v>60.847625059749809</v>
      </c>
      <c r="AL95" s="22">
        <f t="shared" si="58"/>
        <v>543.52196031239771</v>
      </c>
      <c r="AM95" s="62">
        <f t="shared" si="59"/>
        <v>809.00428608459424</v>
      </c>
      <c r="AN95" s="62">
        <f ca="1">AVERAGE(OFFSET($AM$3,0,0,'Données projet'!$E$10+1,1))-AVERAGE(OFFSET($H$3,0,0,'Données projet'!$E$10+1,1))</f>
        <v>451.73518123022563</v>
      </c>
      <c r="AO95" s="62">
        <f t="shared" si="90"/>
        <v>281.81514890308449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89.029256064672438</v>
      </c>
      <c r="BJ95" s="62">
        <f t="shared" si="92"/>
        <v>439.23889300132794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21.023203386782487</v>
      </c>
      <c r="BQ95" s="23">
        <f>EXP(-LN(2)/25)*BQ94+(1-EXP(-LN(2)/25))/(LN(2)/25)*Calculateur!BL95*Calculateur!BN95*VLOOKUP('Données projet'!$B$11,Paramètres!$A$1:$I$89,3,0)*0.475*44/12</f>
        <v>3.1278653561385288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24.151068742921016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269.56799999999998</v>
      </c>
      <c r="P96" s="14">
        <f t="shared" si="87"/>
        <v>64.757579442439862</v>
      </c>
      <c r="Q96" s="22">
        <f t="shared" si="54"/>
        <v>582.2837175289161</v>
      </c>
      <c r="R96" s="62">
        <f t="shared" si="55"/>
        <v>848.24919601677357</v>
      </c>
      <c r="S96" s="62">
        <f ca="1">AVERAGE(OFFSET($R$3,0,0,'Données projet'!$E$9+1,1))-AVERAGE(OFFSET($H$3,0,0,'Données projet'!$E$9+1,1))</f>
        <v>472.45436307638545</v>
      </c>
      <c r="T96" s="62">
        <f t="shared" si="88"/>
        <v>300.53096194142108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0.38941529383854107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0.38941529383854107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255.98040000000006</v>
      </c>
      <c r="AK96" s="14">
        <f t="shared" si="89"/>
        <v>61.864786260587792</v>
      </c>
      <c r="AL96" s="22">
        <f t="shared" si="58"/>
        <v>553.58036607052384</v>
      </c>
      <c r="AM96" s="62">
        <f t="shared" si="59"/>
        <v>819.5458445583813</v>
      </c>
      <c r="AN96" s="62">
        <f ca="1">AVERAGE(OFFSET($AM$3,0,0,'Données projet'!$E$10+1,1))-AVERAGE(OFFSET($H$3,0,0,'Données projet'!$E$10+1,1))</f>
        <v>451.73518123022563</v>
      </c>
      <c r="AO96" s="62">
        <f t="shared" si="90"/>
        <v>281.81514890308449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89.029256064672438</v>
      </c>
      <c r="BJ96" s="62">
        <f t="shared" si="92"/>
        <v>439.23889300132794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20.610951191255594</v>
      </c>
      <c r="BQ96" s="23">
        <f>EXP(-LN(2)/25)*BQ95+(1-EXP(-LN(2)/25))/(LN(2)/25)*Calculateur!BL96*Calculateur!BN96*VLOOKUP('Données projet'!$B$11,Paramètres!$A$1:$I$89,3,0)*0.475*44/12</f>
        <v>3.0423337134876305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23.653284904743224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274.62239999999997</v>
      </c>
      <c r="P97" s="14">
        <f t="shared" si="87"/>
        <v>65.829287958103762</v>
      </c>
      <c r="Q97" s="22">
        <f t="shared" si="54"/>
        <v>592.95335652703068</v>
      </c>
      <c r="R97" s="62">
        <f t="shared" si="55"/>
        <v>859.39360611109987</v>
      </c>
      <c r="S97" s="62">
        <f ca="1">AVERAGE(OFFSET($R$3,0,0,'Données projet'!$E$9+1,1))-AVERAGE(OFFSET($H$3,0,0,'Données projet'!$E$9+1,1))</f>
        <v>472.45436307638545</v>
      </c>
      <c r="T97" s="62">
        <f t="shared" si="88"/>
        <v>300.53096194142108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0.37876671215006585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0.37876671215006585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260.73840000000007</v>
      </c>
      <c r="AK97" s="14">
        <f t="shared" si="89"/>
        <v>62.879749008354764</v>
      </c>
      <c r="AL97" s="22">
        <f t="shared" si="58"/>
        <v>563.634942856218</v>
      </c>
      <c r="AM97" s="62">
        <f t="shared" si="59"/>
        <v>830.0751924402872</v>
      </c>
      <c r="AN97" s="62">
        <f ca="1">AVERAGE(OFFSET($AM$3,0,0,'Données projet'!$E$10+1,1))-AVERAGE(OFFSET($H$3,0,0,'Données projet'!$E$10+1,1))</f>
        <v>451.73518123022563</v>
      </c>
      <c r="AO97" s="62">
        <f t="shared" si="90"/>
        <v>281.81514890308449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89.029256064672438</v>
      </c>
      <c r="BJ97" s="62">
        <f t="shared" si="92"/>
        <v>439.23889300132794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20.206783009833973</v>
      </c>
      <c r="BQ97" s="23">
        <f>EXP(-LN(2)/25)*BQ96+(1-EXP(-LN(2)/25))/(LN(2)/25)*Calculateur!BL97*Calculateur!BN97*VLOOKUP('Données projet'!$B$11,Paramètres!$A$1:$I$89,3,0)*0.475*44/12</f>
        <v>2.9591409381029345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23.165923947936907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279.67679999999996</v>
      </c>
      <c r="P98" s="14">
        <f t="shared" si="87"/>
        <v>66.898702839783041</v>
      </c>
      <c r="Q98" s="22">
        <f t="shared" si="54"/>
        <v>603.61900077928863</v>
      </c>
      <c r="R98" s="62">
        <f t="shared" si="55"/>
        <v>870.52578524247951</v>
      </c>
      <c r="S98" s="62">
        <f ca="1">AVERAGE(OFFSET($R$3,0,0,'Données projet'!$E$9+1,1))-AVERAGE(OFFSET($H$3,0,0,'Données projet'!$E$9+1,1))</f>
        <v>472.45436307638545</v>
      </c>
      <c r="T98" s="62">
        <f t="shared" si="88"/>
        <v>300.53096194142108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0.36840931648784658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0.36840931648784658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265.49640000000005</v>
      </c>
      <c r="AK98" s="14">
        <f t="shared" si="89"/>
        <v>63.892558047989588</v>
      </c>
      <c r="AL98" s="22">
        <f t="shared" si="58"/>
        <v>573.68576860024859</v>
      </c>
      <c r="AM98" s="62">
        <f t="shared" si="59"/>
        <v>840.59255306343948</v>
      </c>
      <c r="AN98" s="62">
        <f ca="1">AVERAGE(OFFSET($AM$3,0,0,'Données projet'!$E$10+1,1))-AVERAGE(OFFSET($H$3,0,0,'Données projet'!$E$10+1,1))</f>
        <v>451.73518123022563</v>
      </c>
      <c r="AO98" s="62">
        <f t="shared" si="90"/>
        <v>281.81514890308449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89.029256064672438</v>
      </c>
      <c r="BJ98" s="62">
        <f t="shared" si="92"/>
        <v>439.23889300132794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19.810540319931782</v>
      </c>
      <c r="BQ98" s="23">
        <f>EXP(-LN(2)/25)*BQ97+(1-EXP(-LN(2)/25))/(LN(2)/25)*Calculateur!BL98*Calculateur!BN98*VLOOKUP('Données projet'!$B$11,Paramètres!$A$1:$I$89,3,0)*0.475*44/12</f>
        <v>2.8782230735360512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22.688763393467834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260.97551999999996</v>
      </c>
      <c r="P99" s="14">
        <f t="shared" si="87"/>
        <v>62.930274054356879</v>
      </c>
      <c r="Q99" s="22">
        <f t="shared" ref="Q99:Q130" si="107">(O99+P99)*0.475*44/12</f>
        <v>564.13592464467149</v>
      </c>
      <c r="R99" s="62">
        <f t="shared" si="55"/>
        <v>831.50115064984698</v>
      </c>
      <c r="S99" s="62">
        <f ca="1">AVERAGE(OFFSET($R$3,0,0,'Données projet'!$E$9+1,1))-AVERAGE(OFFSET($H$3,0,0,'Données projet'!$E$9+1,1))</f>
        <v>472.45436307638545</v>
      </c>
      <c r="T99" s="62">
        <f t="shared" si="88"/>
        <v>300.53096194142108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0.3583351443546825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0.3583351443546825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250.08048000000008</v>
      </c>
      <c r="AK99" s="14">
        <f t="shared" si="89"/>
        <v>60.60317411022308</v>
      </c>
      <c r="AL99" s="22">
        <f t="shared" si="58"/>
        <v>541.10736424197205</v>
      </c>
      <c r="AM99" s="62">
        <f t="shared" si="59"/>
        <v>808.47259024714754</v>
      </c>
      <c r="AN99" s="62">
        <f ca="1">AVERAGE(OFFSET($AM$3,0,0,'Données projet'!$E$10+1,1))-AVERAGE(OFFSET($H$3,0,0,'Données projet'!$E$10+1,1))</f>
        <v>451.73518123022563</v>
      </c>
      <c r="AO99" s="62">
        <f t="shared" si="90"/>
        <v>281.81514890308449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89.029256064672438</v>
      </c>
      <c r="BJ99" s="62">
        <f t="shared" si="92"/>
        <v>439.23889300132794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19.422067707494396</v>
      </c>
      <c r="BQ99" s="23">
        <f>EXP(-LN(2)/25)*BQ98+(1-EXP(-LN(2)/25))/(LN(2)/25)*Calculateur!BL99*Calculateur!BN99*VLOOKUP('Données projet'!$B$11,Paramètres!$A$1:$I$89,3,0)*0.475*44/12</f>
        <v>2.7995179122310345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22.221585619725431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265.86144000000002</v>
      </c>
      <c r="P100" s="14">
        <f t="shared" si="87"/>
        <v>63.970174371268861</v>
      </c>
      <c r="Q100" s="22">
        <f t="shared" si="107"/>
        <v>574.45672836329322</v>
      </c>
      <c r="R100" s="62">
        <f t="shared" si="55"/>
        <v>842.27244297462175</v>
      </c>
      <c r="S100" s="62">
        <f ca="1">AVERAGE(OFFSET($R$3,0,0,'Données projet'!$E$9+1,1))-AVERAGE(OFFSET($H$3,0,0,'Données projet'!$E$9+1,1))</f>
        <v>472.45436307638545</v>
      </c>
      <c r="T100" s="62">
        <f t="shared" si="88"/>
        <v>300.53096194142108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0.34853645098827746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0.34853645098827746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254.64816000000008</v>
      </c>
      <c r="AK100" s="14">
        <f t="shared" si="89"/>
        <v>61.580204695956198</v>
      </c>
      <c r="AL100" s="22">
        <f t="shared" si="58"/>
        <v>550.76440184545709</v>
      </c>
      <c r="AM100" s="62">
        <f t="shared" si="59"/>
        <v>818.58011645678562</v>
      </c>
      <c r="AN100" s="62">
        <f ca="1">AVERAGE(OFFSET($AM$3,0,0,'Données projet'!$E$10+1,1))-AVERAGE(OFFSET($H$3,0,0,'Données projet'!$E$10+1,1))</f>
        <v>451.73518123022563</v>
      </c>
      <c r="AO100" s="62">
        <f t="shared" si="90"/>
        <v>281.81514890308449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89.029256064672438</v>
      </c>
      <c r="BJ100" s="62">
        <f t="shared" si="92"/>
        <v>439.23889300132794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19.041212806042008</v>
      </c>
      <c r="BQ100" s="23">
        <f>EXP(-LN(2)/25)*BQ99+(1-EXP(-LN(2)/25))/(LN(2)/25)*Calculateur!BL100*Calculateur!BN100*VLOOKUP('Données projet'!$B$11,Paramètres!$A$1:$I$89,3,0)*0.475*44/12</f>
        <v>2.7229649477008282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21.764177753742835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270.74736000000001</v>
      </c>
      <c r="P101" s="14">
        <f t="shared" si="87"/>
        <v>65.007852416747113</v>
      </c>
      <c r="Q101" s="22">
        <f t="shared" si="107"/>
        <v>584.77366162583451</v>
      </c>
      <c r="R101" s="62">
        <f t="shared" si="55"/>
        <v>853.03204987314086</v>
      </c>
      <c r="S101" s="62">
        <f ca="1">AVERAGE(OFFSET($R$3,0,0,'Données projet'!$E$9+1,1))-AVERAGE(OFFSET($H$3,0,0,'Données projet'!$E$9+1,1))</f>
        <v>472.45436307638545</v>
      </c>
      <c r="T101" s="62">
        <f t="shared" si="88"/>
        <v>300.53096194142108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0.33900570340726766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0.33900570340726766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259.21584000000007</v>
      </c>
      <c r="AK101" s="14">
        <f t="shared" si="89"/>
        <v>62.555197359548295</v>
      </c>
      <c r="AL101" s="22">
        <f t="shared" si="58"/>
        <v>560.41789006787997</v>
      </c>
      <c r="AM101" s="62">
        <f t="shared" si="59"/>
        <v>828.67627831518632</v>
      </c>
      <c r="AN101" s="62">
        <f ca="1">AVERAGE(OFFSET($AM$3,0,0,'Données projet'!$E$10+1,1))-AVERAGE(OFFSET($H$3,0,0,'Données projet'!$E$10+1,1))</f>
        <v>451.73518123022563</v>
      </c>
      <c r="AO101" s="62">
        <f t="shared" si="90"/>
        <v>281.81514890308449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89.029256064672438</v>
      </c>
      <c r="BJ101" s="62">
        <f t="shared" si="92"/>
        <v>439.23889300132794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18.667826236908549</v>
      </c>
      <c r="BQ101" s="23">
        <f>EXP(-LN(2)/25)*BQ100+(1-EXP(-LN(2)/25))/(LN(2)/25)*Calculateur!BL101*Calculateur!BN101*VLOOKUP('Données projet'!$B$11,Paramètres!$A$1:$I$89,3,0)*0.475*44/12</f>
        <v>2.6485053280114457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21.316331564919995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275.63328000000001</v>
      </c>
      <c r="P102" s="14">
        <f t="shared" si="87"/>
        <v>66.043352919930101</v>
      </c>
      <c r="Q102" s="22">
        <f t="shared" si="107"/>
        <v>595.08680233554503</v>
      </c>
      <c r="R102" s="62">
        <f t="shared" si="55"/>
        <v>863.780184820915</v>
      </c>
      <c r="S102" s="62">
        <f ca="1">AVERAGE(OFFSET($R$3,0,0,'Données projet'!$E$9+1,1))-AVERAGE(OFFSET($H$3,0,0,'Données projet'!$E$9+1,1))</f>
        <v>472.45436307638545</v>
      </c>
      <c r="T102" s="62">
        <f t="shared" si="88"/>
        <v>300.53096194142108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0.32973557462006081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0.32973557462006081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263.78352000000012</v>
      </c>
      <c r="AK102" s="14">
        <f t="shared" si="89"/>
        <v>63.5281921545985</v>
      </c>
      <c r="AL102" s="22">
        <f t="shared" si="58"/>
        <v>570.06789866925931</v>
      </c>
      <c r="AM102" s="62">
        <f t="shared" si="59"/>
        <v>838.76128115462927</v>
      </c>
      <c r="AN102" s="62">
        <f ca="1">AVERAGE(OFFSET($AM$3,0,0,'Données projet'!$E$10+1,1))-AVERAGE(OFFSET($H$3,0,0,'Données projet'!$E$10+1,1))</f>
        <v>451.73518123022563</v>
      </c>
      <c r="AO102" s="62">
        <f t="shared" si="90"/>
        <v>281.81514890308449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89.029256064672438</v>
      </c>
      <c r="BJ102" s="62">
        <f t="shared" si="92"/>
        <v>439.23889300132794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18.301761550652479</v>
      </c>
      <c r="BQ102" s="23">
        <f>EXP(-LN(2)/25)*BQ101+(1-EXP(-LN(2)/25))/(LN(2)/25)*Calculateur!BL102*Calculateur!BN102*VLOOKUP('Données projet'!$B$11,Paramètres!$A$1:$I$89,3,0)*0.475*44/12</f>
        <v>2.5760818105381307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20.87784336119061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280.51920000000007</v>
      </c>
      <c r="P103" s="14">
        <f t="shared" si="87"/>
        <v>67.07671893338123</v>
      </c>
      <c r="Q103" s="22">
        <f t="shared" si="107"/>
        <v>605.39622547563897</v>
      </c>
      <c r="R103" s="62">
        <f t="shared" si="55"/>
        <v>874.51705602154357</v>
      </c>
      <c r="S103" s="62">
        <f ca="1">AVERAGE(OFFSET($R$3,0,0,'Données projet'!$E$9+1,1))-AVERAGE(OFFSET($H$3,0,0,'Données projet'!$E$9+1,1))</f>
        <v>472.45436307638545</v>
      </c>
      <c r="T103" s="62">
        <f t="shared" si="88"/>
        <v>300.53096194142108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0.32071893799203499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0.32071893799203499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268.35120000000012</v>
      </c>
      <c r="AK103" s="14">
        <f t="shared" si="89"/>
        <v>64.499227668096125</v>
      </c>
      <c r="AL103" s="22">
        <f t="shared" si="58"/>
        <v>579.71449485526762</v>
      </c>
      <c r="AM103" s="62">
        <f t="shared" si="59"/>
        <v>848.83532540117221</v>
      </c>
      <c r="AN103" s="62">
        <f ca="1">AVERAGE(OFFSET($AM$3,0,0,'Données projet'!$E$10+1,1))-AVERAGE(OFFSET($H$3,0,0,'Données projet'!$E$10+1,1))</f>
        <v>451.73518123022563</v>
      </c>
      <c r="AO103" s="62">
        <f t="shared" si="90"/>
        <v>281.81514890308449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89.029256064672438</v>
      </c>
      <c r="BJ103" s="62">
        <f t="shared" si="92"/>
        <v>439.23889300132794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17.942875169616478</v>
      </c>
      <c r="BQ103" s="23">
        <f>EXP(-LN(2)/25)*BQ102+(1-EXP(-LN(2)/25))/(LN(2)/25)*Calculateur!BL103*Calculateur!BN103*VLOOKUP('Données projet'!$B$11,Paramètres!$A$1:$I$89,3,0)*0.475*44/12</f>
        <v>2.505638717958711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20.448513887575189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262.32336000000004</v>
      </c>
      <c r="P104" s="14">
        <f t="shared" si="87"/>
        <v>63.217367706132244</v>
      </c>
      <c r="Q104" s="22">
        <f t="shared" si="107"/>
        <v>566.98343408818027</v>
      </c>
      <c r="R104" s="62">
        <f t="shared" si="55"/>
        <v>836.52429742639993</v>
      </c>
      <c r="S104" s="62">
        <f ca="1">AVERAGE(OFFSET($R$3,0,0,'Données projet'!$E$9+1,1))-AVERAGE(OFFSET($H$3,0,0,'Données projet'!$E$9+1,1))</f>
        <v>472.45436307638545</v>
      </c>
      <c r="T104" s="62">
        <f t="shared" si="88"/>
        <v>300.53096194142108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0.31194886176676684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0.31194886176676684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252.55464000000012</v>
      </c>
      <c r="AK104" s="14">
        <f t="shared" si="89"/>
        <v>61.132654455470124</v>
      </c>
      <c r="AL104" s="22">
        <f t="shared" si="58"/>
        <v>546.33870450994402</v>
      </c>
      <c r="AM104" s="62">
        <f t="shared" si="59"/>
        <v>815.87956784816379</v>
      </c>
      <c r="AN104" s="62">
        <f ca="1">AVERAGE(OFFSET($AM$3,0,0,'Données projet'!$E$10+1,1))-AVERAGE(OFFSET($H$3,0,0,'Données projet'!$E$10+1,1))</f>
        <v>451.73518123022563</v>
      </c>
      <c r="AO104" s="62">
        <f t="shared" si="90"/>
        <v>281.81514890308449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89.029256064672438</v>
      </c>
      <c r="BJ104" s="62">
        <f t="shared" si="92"/>
        <v>439.23889300132794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17.591026331613516</v>
      </c>
      <c r="BQ104" s="23">
        <f>EXP(-LN(2)/25)*BQ103+(1-EXP(-LN(2)/25))/(LN(2)/25)*Calculateur!BL104*Calculateur!BN104*VLOOKUP('Données projet'!$B$11,Paramètres!$A$1:$I$89,3,0)*0.475*44/12</f>
        <v>2.4371218954503164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20.028148227063834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266.87231999999995</v>
      </c>
      <c r="P105" s="14">
        <f t="shared" si="87"/>
        <v>64.185047205393062</v>
      </c>
      <c r="Q105" s="22">
        <f t="shared" si="107"/>
        <v>576.59158121605947</v>
      </c>
      <c r="R105" s="62">
        <f t="shared" si="55"/>
        <v>846.54519071670029</v>
      </c>
      <c r="S105" s="62">
        <f ca="1">AVERAGE(OFFSET($R$3,0,0,'Données projet'!$E$9+1,1))-AVERAGE(OFFSET($H$3,0,0,'Données projet'!$E$9+1,1))</f>
        <v>472.45436307638545</v>
      </c>
      <c r="T105" s="62">
        <f t="shared" si="88"/>
        <v>300.53096194142108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0.30341860373707691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0.30341860373707691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256.74168000000003</v>
      </c>
      <c r="AK105" s="14">
        <f t="shared" si="89"/>
        <v>62.027326852695715</v>
      </c>
      <c r="AL105" s="22">
        <f t="shared" si="58"/>
        <v>555.18935360177841</v>
      </c>
      <c r="AM105" s="62">
        <f t="shared" si="59"/>
        <v>825.14296310241912</v>
      </c>
      <c r="AN105" s="62">
        <f ca="1">AVERAGE(OFFSET($AM$3,0,0,'Données projet'!$E$10+1,1))-AVERAGE(OFFSET($H$3,0,0,'Données projet'!$E$10+1,1))</f>
        <v>451.73518123022563</v>
      </c>
      <c r="AO105" s="62">
        <f t="shared" si="90"/>
        <v>281.81514890308449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89.029256064672438</v>
      </c>
      <c r="BJ105" s="62">
        <f t="shared" si="92"/>
        <v>439.23889300132794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17.246077034717192</v>
      </c>
      <c r="BQ105" s="23">
        <f>EXP(-LN(2)/25)*BQ104+(1-EXP(-LN(2)/25))/(LN(2)/25)*Calculateur!BL105*Calculateur!BN105*VLOOKUP('Données projet'!$B$11,Paramètres!$A$1:$I$89,3,0)*0.475*44/12</f>
        <v>2.3704786690565571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19.616555703773749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271.42127999999997</v>
      </c>
      <c r="P106" s="14">
        <f t="shared" si="87"/>
        <v>65.15080854578764</v>
      </c>
      <c r="Q106" s="22">
        <f t="shared" si="107"/>
        <v>586.19638755057997</v>
      </c>
      <c r="R106" s="62">
        <f t="shared" si="55"/>
        <v>856.55558299048596</v>
      </c>
      <c r="S106" s="62">
        <f ca="1">AVERAGE(OFFSET($R$3,0,0,'Données projet'!$E$9+1,1))-AVERAGE(OFFSET($H$3,0,0,'Données projet'!$E$9+1,1))</f>
        <v>472.45436307638545</v>
      </c>
      <c r="T106" s="62">
        <f t="shared" si="88"/>
        <v>300.53096194142108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0.29512160606179566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0.29512160606179566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260.92872000000006</v>
      </c>
      <c r="AK106" s="14">
        <f t="shared" si="89"/>
        <v>62.920302429198031</v>
      </c>
      <c r="AL106" s="22">
        <f t="shared" si="58"/>
        <v>564.03704739752004</v>
      </c>
      <c r="AM106" s="62">
        <f t="shared" si="59"/>
        <v>834.39624283742603</v>
      </c>
      <c r="AN106" s="62">
        <f ca="1">AVERAGE(OFFSET($AM$3,0,0,'Données projet'!$E$10+1,1))-AVERAGE(OFFSET($H$3,0,0,'Données projet'!$E$10+1,1))</f>
        <v>451.73518123022563</v>
      </c>
      <c r="AO106" s="62">
        <f t="shared" si="90"/>
        <v>281.81514890308449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89.029256064672438</v>
      </c>
      <c r="BJ106" s="62">
        <f t="shared" si="92"/>
        <v>439.23889300132794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16.907891983134707</v>
      </c>
      <c r="BQ106" s="23">
        <f>EXP(-LN(2)/25)*BQ105+(1-EXP(-LN(2)/25))/(LN(2)/25)*Calculateur!BL106*Calculateur!BN106*VLOOKUP('Données projet'!$B$11,Paramètres!$A$1:$I$89,3,0)*0.475*44/12</f>
        <v>2.30565780519315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19.213549788327857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275.97023999999993</v>
      </c>
      <c r="P107" s="14">
        <f t="shared" si="87"/>
        <v>66.114687585645072</v>
      </c>
      <c r="Q107" s="22">
        <f t="shared" si="107"/>
        <v>595.79791554499843</v>
      </c>
      <c r="R107" s="62">
        <f t="shared" si="55"/>
        <v>866.55566091487776</v>
      </c>
      <c r="S107" s="62">
        <f ca="1">AVERAGE(OFFSET($R$3,0,0,'Données projet'!$E$9+1,1))-AVERAGE(OFFSET($H$3,0,0,'Données projet'!$E$9+1,1))</f>
        <v>472.45436307638545</v>
      </c>
      <c r="T107" s="62">
        <f t="shared" si="88"/>
        <v>300.53096194142108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0.28705149022426513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0.28705149022426513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265.11576000000002</v>
      </c>
      <c r="AK107" s="14">
        <f t="shared" si="89"/>
        <v>63.811611556951746</v>
      </c>
      <c r="AL107" s="22">
        <f t="shared" si="58"/>
        <v>572.88183879502435</v>
      </c>
      <c r="AM107" s="62">
        <f t="shared" si="59"/>
        <v>843.63958416490368</v>
      </c>
      <c r="AN107" s="62">
        <f ca="1">AVERAGE(OFFSET($AM$3,0,0,'Données projet'!$E$10+1,1))-AVERAGE(OFFSET($H$3,0,0,'Données projet'!$E$10+1,1))</f>
        <v>451.73518123022563</v>
      </c>
      <c r="AO107" s="62">
        <f t="shared" si="90"/>
        <v>281.81514890308449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89.029256064672438</v>
      </c>
      <c r="BJ107" s="62">
        <f t="shared" si="92"/>
        <v>439.23889300132794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16.576338534141243</v>
      </c>
      <c r="BQ107" s="23">
        <f>EXP(-LN(2)/25)*BQ106+(1-EXP(-LN(2)/25))/(LN(2)/25)*Calculateur!BL107*Calculateur!BN107*VLOOKUP('Données projet'!$B$11,Paramètres!$A$1:$I$89,3,0)*0.475*44/12</f>
        <v>2.2426094712608688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18.818948005402113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280.5191999999999</v>
      </c>
      <c r="P108" s="14">
        <f t="shared" si="87"/>
        <v>67.076718933381159</v>
      </c>
      <c r="Q108" s="22">
        <f t="shared" si="107"/>
        <v>605.39622547563874</v>
      </c>
      <c r="R108" s="62">
        <f t="shared" si="55"/>
        <v>876.54560682523038</v>
      </c>
      <c r="S108" s="62">
        <f ca="1">AVERAGE(OFFSET($R$3,0,0,'Données projet'!$E$9+1,1))-AVERAGE(OFFSET($H$3,0,0,'Données projet'!$E$9+1,1))</f>
        <v>472.45436307638545</v>
      </c>
      <c r="T108" s="62">
        <f t="shared" si="88"/>
        <v>300.53096194142108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0.27920205212870081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0.27920205212870081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269.30279999999999</v>
      </c>
      <c r="AK108" s="14">
        <f t="shared" si="89"/>
        <v>64.70128359355995</v>
      </c>
      <c r="AL108" s="22">
        <f t="shared" si="58"/>
        <v>581.72377892545023</v>
      </c>
      <c r="AM108" s="62">
        <f t="shared" si="59"/>
        <v>852.87316027504198</v>
      </c>
      <c r="AN108" s="62">
        <f ca="1">AVERAGE(OFFSET($AM$3,0,0,'Données projet'!$E$10+1,1))-AVERAGE(OFFSET($H$3,0,0,'Données projet'!$E$10+1,1))</f>
        <v>451.73518123022563</v>
      </c>
      <c r="AO108" s="62">
        <f t="shared" si="90"/>
        <v>281.81514890308449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89.029256064672438</v>
      </c>
      <c r="BJ108" s="62">
        <f t="shared" si="92"/>
        <v>439.23889300132794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16.251286646054904</v>
      </c>
      <c r="BQ108" s="23">
        <f>EXP(-LN(2)/25)*BQ107+(1-EXP(-LN(2)/25))/(LN(2)/25)*Calculateur!BL108*Calculateur!BN108*VLOOKUP('Données projet'!$B$11,Paramètres!$A$1:$I$89,3,0)*0.475*44/12</f>
        <v>2.1812851973355341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18.432571843390438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262.82879999999994</v>
      </c>
      <c r="P109" s="14">
        <f t="shared" si="87"/>
        <v>63.324983518559428</v>
      </c>
      <c r="Q109" s="22">
        <f t="shared" si="107"/>
        <v>568.05117296149081</v>
      </c>
      <c r="R109" s="62">
        <f t="shared" si="55"/>
        <v>839.58539628211383</v>
      </c>
      <c r="S109" s="62">
        <f ca="1">AVERAGE(OFFSET($R$3,0,0,'Données projet'!$E$9+1,1))-AVERAGE(OFFSET($H$3,0,0,'Données projet'!$E$9+1,1))</f>
        <v>472.45436307638545</v>
      </c>
      <c r="T109" s="62">
        <f t="shared" si="88"/>
        <v>300.53096194142108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0.27156725733064369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0.27156725733064369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254.26751999999999</v>
      </c>
      <c r="AK109" s="14">
        <f t="shared" si="89"/>
        <v>61.498863881116201</v>
      </c>
      <c r="AL109" s="22">
        <f t="shared" si="58"/>
        <v>549.95978525961073</v>
      </c>
      <c r="AM109" s="62">
        <f t="shared" si="59"/>
        <v>821.49400858023364</v>
      </c>
      <c r="AN109" s="62">
        <f ca="1">AVERAGE(OFFSET($AM$3,0,0,'Données projet'!$E$10+1,1))-AVERAGE(OFFSET($H$3,0,0,'Données projet'!$E$10+1,1))</f>
        <v>451.73518123022563</v>
      </c>
      <c r="AO109" s="62">
        <f t="shared" si="90"/>
        <v>281.81514890308449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89.029256064672438</v>
      </c>
      <c r="BJ109" s="62">
        <f t="shared" si="92"/>
        <v>439.23889300132794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15.932608827231862</v>
      </c>
      <c r="BQ109" s="23">
        <f>EXP(-LN(2)/25)*BQ108+(1-EXP(-LN(2)/25))/(LN(2)/25)*Calculateur!BL109*Calculateur!BN109*VLOOKUP('Données projet'!$B$11,Paramètres!$A$1:$I$89,3,0)*0.475*44/12</f>
        <v>2.1216378389055905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18.054246666137452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267.04079999999993</v>
      </c>
      <c r="P110" s="14">
        <f t="shared" si="87"/>
        <v>64.220850124833518</v>
      </c>
      <c r="Q110" s="22">
        <f t="shared" si="107"/>
        <v>576.94737396741823</v>
      </c>
      <c r="R110" s="62">
        <f t="shared" si="55"/>
        <v>848.85976311125285</v>
      </c>
      <c r="S110" s="62">
        <f ca="1">AVERAGE(OFFSET($R$3,0,0,'Données projet'!$E$9+1,1))-AVERAGE(OFFSET($H$3,0,0,'Données projet'!$E$9+1,1))</f>
        <v>472.45436307638545</v>
      </c>
      <c r="T110" s="62">
        <f t="shared" si="88"/>
        <v>300.53096194142108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0.26414123639783582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0.26414123639783582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258.26423999999997</v>
      </c>
      <c r="AK110" s="14">
        <f t="shared" si="89"/>
        <v>62.352239950788103</v>
      </c>
      <c r="AL110" s="22">
        <f t="shared" si="58"/>
        <v>558.40703591428917</v>
      </c>
      <c r="AM110" s="62">
        <f t="shared" si="59"/>
        <v>830.31942505812378</v>
      </c>
      <c r="AN110" s="62">
        <f ca="1">AVERAGE(OFFSET($AM$3,0,0,'Données projet'!$E$10+1,1))-AVERAGE(OFFSET($H$3,0,0,'Données projet'!$E$10+1,1))</f>
        <v>451.73518123022563</v>
      </c>
      <c r="AO110" s="62">
        <f t="shared" si="90"/>
        <v>281.81514890308449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89.029256064672438</v>
      </c>
      <c r="BJ110" s="62">
        <f t="shared" si="92"/>
        <v>439.23889300132794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15.620180086061664</v>
      </c>
      <c r="BQ110" s="23">
        <f>EXP(-LN(2)/25)*BQ109+(1-EXP(-LN(2)/25))/(LN(2)/25)*Calculateur!BL110*Calculateur!BN110*VLOOKUP('Données projet'!$B$11,Paramètres!$A$1:$I$89,3,0)*0.475*44/12</f>
        <v>2.0636215406286325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17.683801626690297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271.25279999999992</v>
      </c>
      <c r="P111" s="14">
        <f t="shared" si="87"/>
        <v>65.115073390838859</v>
      </c>
      <c r="Q111" s="22">
        <f t="shared" si="107"/>
        <v>585.84071282237755</v>
      </c>
      <c r="R111" s="62">
        <f t="shared" si="55"/>
        <v>858.12470745784321</v>
      </c>
      <c r="S111" s="62">
        <f ca="1">AVERAGE(OFFSET($R$3,0,0,'Données projet'!$E$9+1,1))-AVERAGE(OFFSET($H$3,0,0,'Données projet'!$E$9+1,1))</f>
        <v>472.45436307638545</v>
      </c>
      <c r="T111" s="62">
        <f t="shared" si="88"/>
        <v>300.53096194142108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0.25691828039795306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0.25691828039795306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262.26096000000001</v>
      </c>
      <c r="AK111" s="14">
        <f t="shared" si="89"/>
        <v>63.204080130428764</v>
      </c>
      <c r="AL111" s="22">
        <f t="shared" si="58"/>
        <v>566.85161156049674</v>
      </c>
      <c r="AM111" s="62">
        <f t="shared" si="59"/>
        <v>839.13560619596251</v>
      </c>
      <c r="AN111" s="62">
        <f ca="1">AVERAGE(OFFSET($AM$3,0,0,'Données projet'!$E$10+1,1))-AVERAGE(OFFSET($H$3,0,0,'Données projet'!$E$10+1,1))</f>
        <v>451.73518123022563</v>
      </c>
      <c r="AO111" s="62">
        <f t="shared" si="90"/>
        <v>281.81514890308449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89.029256064672438</v>
      </c>
      <c r="BJ111" s="62">
        <f t="shared" si="92"/>
        <v>439.23889300132794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15.313877881943098</v>
      </c>
      <c r="BQ111" s="23">
        <f>EXP(-LN(2)/25)*BQ110+(1-EXP(-LN(2)/25))/(LN(2)/25)*Calculateur!BL111*Calculateur!BN111*VLOOKUP('Données projet'!$B$11,Paramètres!$A$1:$I$89,3,0)*0.475*44/12</f>
        <v>2.0071917010790021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17.321069583022101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275.46479999999997</v>
      </c>
      <c r="P112" s="14">
        <f t="shared" si="87"/>
        <v>66.007681781116673</v>
      </c>
      <c r="Q112" s="22">
        <f t="shared" si="107"/>
        <v>594.73123910211143</v>
      </c>
      <c r="R112" s="62">
        <f t="shared" si="55"/>
        <v>867.38039270471381</v>
      </c>
      <c r="S112" s="62">
        <f ca="1">AVERAGE(OFFSET($R$3,0,0,'Données projet'!$E$9+1,1))-AVERAGE(OFFSET($H$3,0,0,'Données projet'!$E$9+1,1))</f>
        <v>472.45436307638545</v>
      </c>
      <c r="T112" s="62">
        <f t="shared" si="88"/>
        <v>300.53096194142108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0.24989283650972585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0.24989283650972585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266.25767999999994</v>
      </c>
      <c r="AK112" s="14">
        <f t="shared" si="89"/>
        <v>64.054410529549571</v>
      </c>
      <c r="AL112" s="22">
        <f t="shared" si="58"/>
        <v>575.29355767229868</v>
      </c>
      <c r="AM112" s="62">
        <f t="shared" si="59"/>
        <v>847.94271127490106</v>
      </c>
      <c r="AN112" s="62">
        <f ca="1">AVERAGE(OFFSET($AM$3,0,0,'Données projet'!$E$10+1,1))-AVERAGE(OFFSET($H$3,0,0,'Données projet'!$E$10+1,1))</f>
        <v>451.73518123022563</v>
      </c>
      <c r="AO112" s="62">
        <f t="shared" si="90"/>
        <v>281.81514890308449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89.029256064672438</v>
      </c>
      <c r="BJ112" s="62">
        <f t="shared" si="92"/>
        <v>439.23889300132794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15.0135820772214</v>
      </c>
      <c r="BQ112" s="23">
        <f>EXP(-LN(2)/25)*BQ111+(1-EXP(-LN(2)/25))/(LN(2)/25)*Calculateur!BL112*Calculateur!BN112*VLOOKUP('Données projet'!$B$11,Paramètres!$A$1:$I$89,3,0)*0.475*44/12</f>
        <v>1.9523049384593727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16.965887015680774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279.6767999999999</v>
      </c>
      <c r="P113" s="14">
        <f t="shared" si="87"/>
        <v>66.898702839783041</v>
      </c>
      <c r="Q113" s="22">
        <f t="shared" si="107"/>
        <v>603.61900077928851</v>
      </c>
      <c r="R113" s="62">
        <f t="shared" si="55"/>
        <v>876.62697865732093</v>
      </c>
      <c r="S113" s="62">
        <f ca="1">AVERAGE(OFFSET($R$3,0,0,'Données projet'!$E$9+1,1))-AVERAGE(OFFSET($H$3,0,0,'Données projet'!$E$9+1,1))</f>
        <v>472.45436307638545</v>
      </c>
      <c r="T113" s="62">
        <f t="shared" si="88"/>
        <v>300.53096194142108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0.24305950375407426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0.24305950375407426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270.25439999999992</v>
      </c>
      <c r="AK113" s="14">
        <f t="shared" si="89"/>
        <v>64.903256428828257</v>
      </c>
      <c r="AL113" s="22">
        <f t="shared" si="58"/>
        <v>583.73291828020911</v>
      </c>
      <c r="AM113" s="62">
        <f t="shared" si="59"/>
        <v>856.74089615824141</v>
      </c>
      <c r="AN113" s="62">
        <f ca="1">AVERAGE(OFFSET($AM$3,0,0,'Données projet'!$E$10+1,1))-AVERAGE(OFFSET($H$3,0,0,'Données projet'!$E$10+1,1))</f>
        <v>451.73518123022563</v>
      </c>
      <c r="AO113" s="62">
        <f t="shared" si="90"/>
        <v>281.81514890308449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89.029256064672438</v>
      </c>
      <c r="BJ113" s="62">
        <f t="shared" si="92"/>
        <v>439.23889300132794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14.71917489006794</v>
      </c>
      <c r="BQ113" s="23">
        <f>EXP(-LN(2)/25)*BQ112+(1-EXP(-LN(2)/25))/(LN(2)/25)*Calculateur!BL113*Calculateur!BN113*VLOOKUP('Données projet'!$B$11,Paramètres!$A$1:$I$89,3,0)*0.475*44/12</f>
        <v>1.8989190572499466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16.618093947317888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262.49183999999991</v>
      </c>
      <c r="P114" s="14">
        <f t="shared" si="87"/>
        <v>63.253242323102796</v>
      </c>
      <c r="Q114" s="22">
        <f t="shared" si="107"/>
        <v>567.33935171273708</v>
      </c>
      <c r="R114" s="62">
        <f t="shared" si="55"/>
        <v>840.69992906723155</v>
      </c>
      <c r="S114" s="62">
        <f ca="1">AVERAGE(OFFSET($R$3,0,0,'Données projet'!$E$9+1,1))-AVERAGE(OFFSET($H$3,0,0,'Données projet'!$E$9+1,1))</f>
        <v>472.45436307638545</v>
      </c>
      <c r="T114" s="62">
        <f t="shared" si="88"/>
        <v>300.53096194142108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0.23641302884197532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0.23641302884197532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255.79007999999996</v>
      </c>
      <c r="AK114" s="14">
        <f t="shared" si="89"/>
        <v>61.824142326633051</v>
      </c>
      <c r="AL114" s="22">
        <f t="shared" si="58"/>
        <v>553.17810388555245</v>
      </c>
      <c r="AM114" s="62">
        <f t="shared" si="59"/>
        <v>826.53868124004703</v>
      </c>
      <c r="AN114" s="62">
        <f ca="1">AVERAGE(OFFSET($AM$3,0,0,'Données projet'!$E$10+1,1))-AVERAGE(OFFSET($H$3,0,0,'Données projet'!$E$10+1,1))</f>
        <v>451.73518123022563</v>
      </c>
      <c r="AO114" s="62">
        <f t="shared" si="90"/>
        <v>281.81514890308449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89.029256064672438</v>
      </c>
      <c r="BJ114" s="62">
        <f t="shared" si="92"/>
        <v>439.23889300132794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14.430540848283906</v>
      </c>
      <c r="BQ114" s="23">
        <f>EXP(-LN(2)/25)*BQ113+(1-EXP(-LN(2)/25))/(LN(2)/25)*Calculateur!BL114*Calculateur!BN114*VLOOKUP('Données projet'!$B$11,Paramètres!$A$1:$I$89,3,0)*0.475*44/12</f>
        <v>1.8469930157696337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16.277533864053538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266.36687999999992</v>
      </c>
      <c r="P115" s="14">
        <f t="shared" si="87"/>
        <v>64.077622653233107</v>
      </c>
      <c r="Q115" s="22">
        <f t="shared" si="107"/>
        <v>575.52417545438084</v>
      </c>
      <c r="R115" s="62">
        <f t="shared" si="55"/>
        <v>849.2312354727153</v>
      </c>
      <c r="S115" s="62">
        <f ca="1">AVERAGE(OFFSET($R$3,0,0,'Données projet'!$E$9+1,1))-AVERAGE(OFFSET($H$3,0,0,'Données projet'!$E$9+1,1))</f>
        <v>472.45436307638545</v>
      </c>
      <c r="T115" s="62">
        <f t="shared" si="88"/>
        <v>300.53096194142108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0.22994830213587064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0.22994830213587064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259.40615999999994</v>
      </c>
      <c r="AK115" s="14">
        <f t="shared" si="89"/>
        <v>62.595778424976366</v>
      </c>
      <c r="AL115" s="22">
        <f t="shared" si="58"/>
        <v>560.82004275683369</v>
      </c>
      <c r="AM115" s="62">
        <f t="shared" si="59"/>
        <v>834.52710277516803</v>
      </c>
      <c r="AN115" s="62">
        <f ca="1">AVERAGE(OFFSET($AM$3,0,0,'Données projet'!$E$10+1,1))-AVERAGE(OFFSET($H$3,0,0,'Données projet'!$E$10+1,1))</f>
        <v>451.73518123022563</v>
      </c>
      <c r="AO115" s="62">
        <f t="shared" si="90"/>
        <v>281.81514890308449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89.029256064672438</v>
      </c>
      <c r="BJ115" s="62">
        <f t="shared" si="92"/>
        <v>439.23889300132794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14.147566744009874</v>
      </c>
      <c r="BQ115" s="23">
        <f>EXP(-LN(2)/25)*BQ114+(1-EXP(-LN(2)/25))/(LN(2)/25)*Calculateur!BL115*Calculateur!BN115*VLOOKUP('Données projet'!$B$11,Paramètres!$A$1:$I$89,3,0)*0.475*44/12</f>
        <v>1.7964868946242718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15.944053638634145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270.24191999999999</v>
      </c>
      <c r="P116" s="14">
        <f t="shared" si="87"/>
        <v>64.900608141065092</v>
      </c>
      <c r="Q116" s="22">
        <f t="shared" si="107"/>
        <v>583.70656984568836</v>
      </c>
      <c r="R116" s="62">
        <f t="shared" si="55"/>
        <v>857.7541018282642</v>
      </c>
      <c r="S116" s="62">
        <f ca="1">AVERAGE(OFFSET($R$3,0,0,'Données projet'!$E$9+1,1))-AVERAGE(OFFSET($H$3,0,0,'Données projet'!$E$9+1,1))</f>
        <v>472.45436307638545</v>
      </c>
      <c r="T116" s="62">
        <f t="shared" si="88"/>
        <v>300.53096194142108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0.22366035372150961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0.22366035372150961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263.02224000000001</v>
      </c>
      <c r="AK116" s="14">
        <f t="shared" si="89"/>
        <v>63.3661634411352</v>
      </c>
      <c r="AL116" s="22">
        <f t="shared" si="58"/>
        <v>568.45980265997707</v>
      </c>
      <c r="AM116" s="62">
        <f t="shared" si="59"/>
        <v>842.50733464255291</v>
      </c>
      <c r="AN116" s="62">
        <f ca="1">AVERAGE(OFFSET($AM$3,0,0,'Données projet'!$E$10+1,1))-AVERAGE(OFFSET($H$3,0,0,'Données projet'!$E$10+1,1))</f>
        <v>451.73518123022563</v>
      </c>
      <c r="AO116" s="62">
        <f t="shared" si="90"/>
        <v>281.81514890308449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89.029256064672438</v>
      </c>
      <c r="BJ116" s="62">
        <f t="shared" si="92"/>
        <v>439.23889300132794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13.870141589323495</v>
      </c>
      <c r="BQ116" s="23">
        <f>EXP(-LN(2)/25)*BQ115+(1-EXP(-LN(2)/25))/(LN(2)/25)*Calculateur!BL116*Calculateur!BN116*VLOOKUP('Données projet'!$B$11,Paramètres!$A$1:$I$89,3,0)*0.475*44/12</f>
        <v>1.7473618660176313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15.617503455341126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274.11696000000001</v>
      </c>
      <c r="P117" s="14">
        <f t="shared" si="87"/>
        <v>65.722221098469348</v>
      </c>
      <c r="Q117" s="22">
        <f t="shared" si="107"/>
        <v>591.88657374650074</v>
      </c>
      <c r="R117" s="62">
        <f t="shared" si="55"/>
        <v>866.26867126591969</v>
      </c>
      <c r="S117" s="62">
        <f ca="1">AVERAGE(OFFSET($R$3,0,0,'Données projet'!$E$9+1,1))-AVERAGE(OFFSET($H$3,0,0,'Données projet'!$E$9+1,1))</f>
        <v>472.45436307638545</v>
      </c>
      <c r="T117" s="62">
        <f t="shared" si="88"/>
        <v>300.53096194142108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0.21754434958720811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0.21754434958720811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266.63832000000002</v>
      </c>
      <c r="AK117" s="14">
        <f t="shared" si="89"/>
        <v>64.135316563180027</v>
      </c>
      <c r="AL117" s="22">
        <f t="shared" si="58"/>
        <v>576.09741701420523</v>
      </c>
      <c r="AM117" s="62">
        <f t="shared" si="59"/>
        <v>850.4795145336243</v>
      </c>
      <c r="AN117" s="62">
        <f ca="1">AVERAGE(OFFSET($AM$3,0,0,'Données projet'!$E$10+1,1))-AVERAGE(OFFSET($H$3,0,0,'Données projet'!$E$10+1,1))</f>
        <v>451.73518123022563</v>
      </c>
      <c r="AO117" s="62">
        <f t="shared" si="90"/>
        <v>281.81514890308449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89.029256064672438</v>
      </c>
      <c r="BJ117" s="62">
        <f t="shared" si="92"/>
        <v>439.23889300132794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13.598156572707881</v>
      </c>
      <c r="BQ117" s="23">
        <f>EXP(-LN(2)/25)*BQ116+(1-EXP(-LN(2)/25))/(LN(2)/25)*Calculateur!BL117*Calculateur!BN117*VLOOKUP('Données projet'!$B$11,Paramètres!$A$1:$I$89,3,0)*0.475*44/12</f>
        <v>1.6995801639016124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15.297736736609494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277.99200000000002</v>
      </c>
      <c r="P118" s="14">
        <f t="shared" si="87"/>
        <v>66.542483170264177</v>
      </c>
      <c r="Q118" s="22">
        <f t="shared" si="107"/>
        <v>600.06422485487678</v>
      </c>
      <c r="R118" s="62">
        <f t="shared" si="55"/>
        <v>874.77508394705114</v>
      </c>
      <c r="S118" s="62">
        <f ca="1">AVERAGE(OFFSET($R$3,0,0,'Données projet'!$E$9+1,1))-AVERAGE(OFFSET($H$3,0,0,'Données projet'!$E$9+1,1))</f>
        <v>472.45436307638545</v>
      </c>
      <c r="T118" s="62">
        <f t="shared" si="88"/>
        <v>300.53096194142108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0.21159558790758576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0.21159558790758576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270.25440000000003</v>
      </c>
      <c r="AK118" s="14">
        <f t="shared" si="89"/>
        <v>64.903256428828314</v>
      </c>
      <c r="AL118" s="22">
        <f t="shared" si="58"/>
        <v>583.73291828020922</v>
      </c>
      <c r="AM118" s="62">
        <f t="shared" si="59"/>
        <v>858.44377737238369</v>
      </c>
      <c r="AN118" s="62">
        <f ca="1">AVERAGE(OFFSET($AM$3,0,0,'Données projet'!$E$10+1,1))-AVERAGE(OFFSET($H$3,0,0,'Données projet'!$E$10+1,1))</f>
        <v>451.73518123022563</v>
      </c>
      <c r="AO118" s="62">
        <f t="shared" si="90"/>
        <v>281.81514890308449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89.029256064672438</v>
      </c>
      <c r="BJ118" s="62">
        <f t="shared" si="92"/>
        <v>439.23889300132794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13.331505016373619</v>
      </c>
      <c r="BQ118" s="23">
        <f>EXP(-LN(2)/25)*BQ117+(1-EXP(-LN(2)/25))/(LN(2)/25)*Calculateur!BL118*Calculateur!BN118*VLOOKUP('Données projet'!$B$11,Paramètres!$A$1:$I$89,3,0)*0.475*44/12</f>
        <v>1.6531050549426864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14.984610071316306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472.45436307638545</v>
      </c>
      <c r="T119" s="62">
        <f t="shared" si="88"/>
        <v>300.53096194142108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0.20580949542892446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0.20580949542892446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256.55136000000005</v>
      </c>
      <c r="AK119" s="14">
        <f t="shared" si="89"/>
        <v>61.986696970400196</v>
      </c>
      <c r="AL119" s="22">
        <f t="shared" si="58"/>
        <v>554.7871158901138</v>
      </c>
      <c r="AM119" s="62">
        <f t="shared" si="59"/>
        <v>829.82103327675713</v>
      </c>
      <c r="AN119" s="62">
        <f ca="1">AVERAGE(OFFSET($AM$3,0,0,'Données projet'!$E$10+1,1))-AVERAGE(OFFSET($H$3,0,0,'Données projet'!$E$10+1,1))</f>
        <v>451.73518123022563</v>
      </c>
      <c r="AO119" s="62">
        <f t="shared" si="90"/>
        <v>281.81514890308449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89.029256064672438</v>
      </c>
      <c r="BJ119" s="62">
        <f t="shared" si="92"/>
        <v>439.23889300132794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13.070082334417682</v>
      </c>
      <c r="BQ119" s="23">
        <f>EXP(-LN(2)/25)*BQ118+(1-EXP(-LN(2)/25))/(LN(2)/25)*Calculateur!BL119*Calculateur!BN119*VLOOKUP('Données projet'!$B$11,Paramètres!$A$1:$I$89,3,0)*0.475*44/12</f>
        <v>1.6079008102822621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14.677983144699944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472.45436307638545</v>
      </c>
      <c r="T120" s="62">
        <f t="shared" si="88"/>
        <v>300.53096194142108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0.20018162395336955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0.20018162395336955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259.97712000000001</v>
      </c>
      <c r="AK120" s="14">
        <f t="shared" si="89"/>
        <v>62.717500839785117</v>
      </c>
      <c r="AL120" s="22">
        <f t="shared" si="58"/>
        <v>562.02646462929238</v>
      </c>
      <c r="AM120" s="62">
        <f t="shared" si="59"/>
        <v>837.37783597124564</v>
      </c>
      <c r="AN120" s="62">
        <f ca="1">AVERAGE(OFFSET($AM$3,0,0,'Données projet'!$E$10+1,1))-AVERAGE(OFFSET($H$3,0,0,'Données projet'!$E$10+1,1))</f>
        <v>451.73518123022563</v>
      </c>
      <c r="AO120" s="62">
        <f t="shared" si="90"/>
        <v>281.81514890308449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89.029256064672438</v>
      </c>
      <c r="BJ120" s="62">
        <f t="shared" si="92"/>
        <v>439.23889300132794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12.81378599180281</v>
      </c>
      <c r="BQ120" s="23">
        <f>EXP(-LN(2)/25)*BQ119+(1-EXP(-LN(2)/25))/(LN(2)/25)*Calculateur!BL120*Calculateur!BN120*VLOOKUP('Données projet'!$B$11,Paramètres!$A$1:$I$89,3,0)*0.475*44/12</f>
        <v>1.5639326780692648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14.377718669872074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472.45436307638545</v>
      </c>
      <c r="T121" s="62">
        <f t="shared" si="88"/>
        <v>300.53096194142108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0.19470764691927059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0.19470764691927059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263.4028800000001</v>
      </c>
      <c r="AK121" s="14">
        <f t="shared" si="89"/>
        <v>63.447184611504625</v>
      </c>
      <c r="AL121" s="22">
        <f t="shared" si="58"/>
        <v>569.26386253170404</v>
      </c>
      <c r="AM121" s="62">
        <f t="shared" si="59"/>
        <v>844.92718071256331</v>
      </c>
      <c r="AN121" s="62">
        <f ca="1">AVERAGE(OFFSET($AM$3,0,0,'Données projet'!$E$10+1,1))-AVERAGE(OFFSET($H$3,0,0,'Données projet'!$E$10+1,1))</f>
        <v>451.73518123022563</v>
      </c>
      <c r="AO121" s="62">
        <f t="shared" si="90"/>
        <v>281.81514890308449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89.029256064672438</v>
      </c>
      <c r="BJ121" s="62">
        <f t="shared" si="92"/>
        <v>439.23889300132794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12.562515464141281</v>
      </c>
      <c r="BQ121" s="23">
        <f>EXP(-LN(2)/25)*BQ120+(1-EXP(-LN(2)/25))/(LN(2)/25)*Calculateur!BL121*Calculateur!BN121*VLOOKUP('Données projet'!$B$11,Paramètres!$A$1:$I$89,3,0)*0.475*44/12</f>
        <v>1.5211668567438157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14.083682320885098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472.45436307638545</v>
      </c>
      <c r="T122" s="62">
        <f t="shared" si="88"/>
        <v>300.53096194142108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0.18938335607503298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0.18938335607503298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266.82864000000006</v>
      </c>
      <c r="AK122" s="14">
        <f t="shared" si="89"/>
        <v>64.175764537605787</v>
      </c>
      <c r="AL122" s="22">
        <f t="shared" si="58"/>
        <v>576.4993379029969</v>
      </c>
      <c r="AM122" s="62">
        <f t="shared" si="59"/>
        <v>852.46919134251584</v>
      </c>
      <c r="AN122" s="62">
        <f ca="1">AVERAGE(OFFSET($AM$3,0,0,'Données projet'!$E$10+1,1))-AVERAGE(OFFSET($H$3,0,0,'Données projet'!$E$10+1,1))</f>
        <v>451.73518123022563</v>
      </c>
      <c r="AO122" s="62">
        <f t="shared" si="90"/>
        <v>281.81514890308449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89.029256064672438</v>
      </c>
      <c r="BJ122" s="62">
        <f t="shared" si="92"/>
        <v>439.23889300132794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12.316172198267306</v>
      </c>
      <c r="BQ122" s="23">
        <f>EXP(-LN(2)/25)*BQ121+(1-EXP(-LN(2)/25))/(LN(2)/25)*Calculateur!BL122*Calculateur!BN122*VLOOKUP('Données projet'!$B$11,Paramètres!$A$1:$I$89,3,0)*0.475*44/12</f>
        <v>1.4795704690514677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13.795742667318773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472.45436307638545</v>
      </c>
      <c r="T123" s="62">
        <f t="shared" si="88"/>
        <v>300.53096194142108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0.18420465824392335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0.18420465824392335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270.25440000000009</v>
      </c>
      <c r="AK123" s="14">
        <f t="shared" si="89"/>
        <v>64.903256428828314</v>
      </c>
      <c r="AL123" s="22">
        <f t="shared" si="58"/>
        <v>583.73291828020945</v>
      </c>
      <c r="AM123" s="62">
        <f t="shared" si="59"/>
        <v>860.00398927696062</v>
      </c>
      <c r="AN123" s="62">
        <f ca="1">AVERAGE(OFFSET($AM$3,0,0,'Données projet'!$E$10+1,1))-AVERAGE(OFFSET($H$3,0,0,'Données projet'!$E$10+1,1))</f>
        <v>451.73518123022563</v>
      </c>
      <c r="AO123" s="62">
        <f t="shared" si="90"/>
        <v>281.81514890308449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89.029256064672438</v>
      </c>
      <c r="BJ123" s="62">
        <f t="shared" si="92"/>
        <v>439.23889300132794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12.074659573582565</v>
      </c>
      <c r="BQ123" s="23">
        <f>EXP(-LN(2)/25)*BQ122+(1-EXP(-LN(2)/25))/(LN(2)/25)*Calculateur!BL123*Calculateur!BN123*VLOOKUP('Données projet'!$B$11,Paramètres!$A$1:$I$89,3,0)*0.475*44/12</f>
        <v>1.4391115367680261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13.513771110350591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472.45436307638545</v>
      </c>
      <c r="T124" s="62">
        <f t="shared" si="88"/>
        <v>300.53096194142108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0.17916757217734128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0.17916757217734128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2">
        <f t="shared" si="59"/>
        <v>276.56706310278992</v>
      </c>
      <c r="AN124" s="62">
        <f ca="1">AVERAGE(OFFSET($AM$3,0,0,'Données projet'!$E$10+1,1))-AVERAGE(OFFSET($H$3,0,0,'Données projet'!$E$10+1,1))</f>
        <v>451.73518123022563</v>
      </c>
      <c r="AO124" s="62">
        <f t="shared" si="90"/>
        <v>281.81514890308449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89.029256064672438</v>
      </c>
      <c r="BJ124" s="62">
        <f t="shared" si="92"/>
        <v>439.23889300132794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11.837882864159736</v>
      </c>
      <c r="BQ124" s="23">
        <f>EXP(-LN(2)/25)*BQ123+(1-EXP(-LN(2)/25))/(LN(2)/25)*Calculateur!BL124*Calculateur!BN124*VLOOKUP('Données projet'!$B$11,Paramètres!$A$1:$I$89,3,0)*0.475*44/12</f>
        <v>1.3997589561155177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13.237641820275254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472.45436307638545</v>
      </c>
      <c r="T125" s="62">
        <f t="shared" si="88"/>
        <v>300.53096194142108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0.17426822549413876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0.17426822549413876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2">
        <f t="shared" si="59"/>
        <v>276.85792040752517</v>
      </c>
      <c r="AN125" s="62">
        <f ca="1">AVERAGE(OFFSET($AM$3,0,0,'Données projet'!$E$10+1,1))-AVERAGE(OFFSET($H$3,0,0,'Données projet'!$E$10+1,1))</f>
        <v>451.73518123022563</v>
      </c>
      <c r="AO125" s="62">
        <f t="shared" si="90"/>
        <v>281.81514890308449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89.029256064672438</v>
      </c>
      <c r="BJ125" s="62">
        <f t="shared" si="92"/>
        <v>439.23889300132794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11.605749201589155</v>
      </c>
      <c r="BQ125" s="23">
        <f>EXP(-LN(2)/25)*BQ124+(1-EXP(-LN(2)/25))/(LN(2)/25)*Calculateur!BL125*Calculateur!BN125*VLOOKUP('Données projet'!$B$11,Paramètres!$A$1:$I$89,3,0)*0.475*44/12</f>
        <v>1.3614824738504145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12.967231675439571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472.45436307638545</v>
      </c>
      <c r="T126" s="62">
        <f t="shared" si="88"/>
        <v>300.53096194142108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0.16950285170363386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0.16950285170363386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2">
        <f t="shared" si="59"/>
        <v>277.14373198828275</v>
      </c>
      <c r="AN126" s="62">
        <f ca="1">AVERAGE(OFFSET($AM$3,0,0,'Données projet'!$E$10+1,1))-AVERAGE(OFFSET($H$3,0,0,'Données projet'!$E$10+1,1))</f>
        <v>451.73518123022563</v>
      </c>
      <c r="AO126" s="62">
        <f t="shared" si="90"/>
        <v>281.81514890308449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89.029256064672438</v>
      </c>
      <c r="BJ126" s="62">
        <f t="shared" si="92"/>
        <v>439.23889300132794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11.378167538554031</v>
      </c>
      <c r="BQ126" s="23">
        <f>EXP(-LN(2)/25)*BQ125+(1-EXP(-LN(2)/25))/(LN(2)/25)*Calculateur!BL126*Calculateur!BN126*VLOOKUP('Données projet'!$B$11,Paramètres!$A$1:$I$89,3,0)*0.475*44/12</f>
        <v>1.3242526640057233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12.702420202559754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472.45436307638545</v>
      </c>
      <c r="T127" s="62">
        <f t="shared" si="88"/>
        <v>300.53096194142108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0.16486778731003043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0.16486778731003043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2">
        <f t="shared" si="59"/>
        <v>277.42458537709314</v>
      </c>
      <c r="AN127" s="62">
        <f ca="1">AVERAGE(OFFSET($AM$3,0,0,'Données projet'!$E$10+1,1))-AVERAGE(OFFSET($H$3,0,0,'Données projet'!$E$10+1,1))</f>
        <v>451.73518123022563</v>
      </c>
      <c r="AO127" s="62">
        <f t="shared" si="90"/>
        <v>281.81514890308449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89.029256064672438</v>
      </c>
      <c r="BJ127" s="62">
        <f t="shared" si="92"/>
        <v>439.23889300132794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11.155048613119916</v>
      </c>
      <c r="BQ127" s="23">
        <f>EXP(-LN(2)/25)*BQ126+(1-EXP(-LN(2)/25))/(LN(2)/25)*Calculateur!BL127*Calculateur!BN127*VLOOKUP('Données projet'!$B$11,Paramètres!$A$1:$I$89,3,0)*0.475*44/12</f>
        <v>1.2880409052690658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12.443089518388982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472.45436307638545</v>
      </c>
      <c r="T128" s="62">
        <f t="shared" si="88"/>
        <v>300.53096194142108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0.16035946899601752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0.16035946899601752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2">
        <f t="shared" si="59"/>
        <v>277.70056658750178</v>
      </c>
      <c r="AN128" s="62">
        <f ca="1">AVERAGE(OFFSET($AM$3,0,0,'Données projet'!$E$10+1,1))-AVERAGE(OFFSET($H$3,0,0,'Données projet'!$E$10+1,1))</f>
        <v>451.73518123022563</v>
      </c>
      <c r="AO128" s="62">
        <f t="shared" si="90"/>
        <v>281.81514890308449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89.029256064672438</v>
      </c>
      <c r="BJ128" s="62">
        <f t="shared" si="92"/>
        <v>439.23889300132794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10.936304913724459</v>
      </c>
      <c r="BQ128" s="23">
        <f>EXP(-LN(2)/25)*BQ127+(1-EXP(-LN(2)/25))/(LN(2)/25)*Calculateur!BL128*Calculateur!BN128*VLOOKUP('Données projet'!$B$11,Paramètres!$A$1:$I$89,3,0)*0.475*44/12</f>
        <v>1.2528193589793559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12.189124272703815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472.45436307638545</v>
      </c>
      <c r="T129" s="62">
        <f t="shared" si="88"/>
        <v>300.53096194142108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0.15597443088338345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0.15597443088338345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2">
        <f t="shared" si="59"/>
        <v>277.97176014091139</v>
      </c>
      <c r="AN129" s="62">
        <f ca="1">AVERAGE(OFFSET($AM$3,0,0,'Données projet'!$E$10+1,1))-AVERAGE(OFFSET($H$3,0,0,'Données projet'!$E$10+1,1))</f>
        <v>451.73518123022563</v>
      </c>
      <c r="AO129" s="62">
        <f t="shared" si="90"/>
        <v>281.81514890308449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89.029256064672438</v>
      </c>
      <c r="BJ129" s="62">
        <f t="shared" si="92"/>
        <v>439.23889300132794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10.721850644853664</v>
      </c>
      <c r="BQ129" s="23">
        <f>EXP(-LN(2)/25)*BQ128+(1-EXP(-LN(2)/25))/(LN(2)/25)*Calculateur!BL129*Calculateur!BN129*VLOOKUP('Données projet'!$B$11,Paramètres!$A$1:$I$89,3,0)*0.475*44/12</f>
        <v>1.2185609477251587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11.940411592578823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472.45436307638545</v>
      </c>
      <c r="T130" s="62">
        <f t="shared" si="88"/>
        <v>300.53096194142108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0.15170930186853848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0.15170930186853848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2">
        <f t="shared" si="59"/>
        <v>278.2382490924673</v>
      </c>
      <c r="AN130" s="62">
        <f ca="1">AVERAGE(OFFSET($AM$3,0,0,'Données projet'!$E$10+1,1))-AVERAGE(OFFSET($H$3,0,0,'Données projet'!$E$10+1,1))</f>
        <v>451.73518123022563</v>
      </c>
      <c r="AO130" s="62">
        <f t="shared" si="90"/>
        <v>281.81514890308449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89.029256064672438</v>
      </c>
      <c r="BJ130" s="62">
        <f t="shared" si="92"/>
        <v>439.23889300132794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10.511601693391237</v>
      </c>
      <c r="BQ130" s="23">
        <f>EXP(-LN(2)/25)*BQ129+(1-EXP(-LN(2)/25))/(LN(2)/25)*Calculateur!BL130*Calculateur!BN130*VLOOKUP('Données projet'!$B$11,Paramètres!$A$1:$I$89,3,0)*0.475*44/12</f>
        <v>1.185239334528279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11.696841027919515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472.45436307638545</v>
      </c>
      <c r="T131" s="62">
        <f t="shared" si="88"/>
        <v>300.53096194142108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0.14756080303089786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0.14756080303089786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2">
        <f t="shared" si="59"/>
        <v>278.50011505649377</v>
      </c>
      <c r="AN131" s="62">
        <f ca="1">AVERAGE(OFFSET($AM$3,0,0,'Données projet'!$E$10+1,1))-AVERAGE(OFFSET($H$3,0,0,'Données projet'!$E$10+1,1))</f>
        <v>451.73518123022563</v>
      </c>
      <c r="AO131" s="62">
        <f t="shared" si="90"/>
        <v>281.81514890308449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89.029256064672438</v>
      </c>
      <c r="BJ131" s="62">
        <f t="shared" si="92"/>
        <v>439.23889300132794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10.30547559562779</v>
      </c>
      <c r="BQ131" s="23">
        <f>EXP(-LN(2)/25)*BQ130+(1-EXP(-LN(2)/25))/(LN(2)/25)*Calculateur!BL131*Calculateur!BN131*VLOOKUP('Données projet'!$B$11,Paramètres!$A$1:$I$89,3,0)*0.475*44/12</f>
        <v>1.1528289025965754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11.458304498224365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472.45436307638545</v>
      </c>
      <c r="T132" s="62">
        <f t="shared" si="88"/>
        <v>300.53096194142108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0.14352574511213259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0.14352574511213259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2">
        <f t="shared" ref="AM132:AM195" si="113">AL132+(AD132+AE132)*44/12</f>
        <v>278.75743823148895</v>
      </c>
      <c r="AN132" s="62">
        <f ca="1">AVERAGE(OFFSET($AM$3,0,0,'Données projet'!$E$10+1,1))-AVERAGE(OFFSET($H$3,0,0,'Données projet'!$E$10+1,1))</f>
        <v>451.73518123022563</v>
      </c>
      <c r="AO132" s="62">
        <f t="shared" si="90"/>
        <v>281.81514890308449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89.029256064672438</v>
      </c>
      <c r="BJ132" s="62">
        <f t="shared" si="92"/>
        <v>439.23889300132794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10.10339150491698</v>
      </c>
      <c r="BQ132" s="23">
        <f>EXP(-LN(2)/25)*BQ131+(1-EXP(-LN(2)/25))/(LN(2)/25)*Calculateur!BL132*Calculateur!BN132*VLOOKUP('Données projet'!$B$11,Paramètres!$A$1:$I$89,3,0)*0.475*44/12</f>
        <v>1.1213047356304349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11.224696240547415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472.45436307638545</v>
      </c>
      <c r="T133" s="62">
        <f t="shared" ref="T133:T196" si="142">$T$3</f>
        <v>300.53096194142108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0.13960102606435043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0.13960102606435043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2">
        <f t="shared" si="113"/>
        <v>279.01029742468643</v>
      </c>
      <c r="AN133" s="62">
        <f ca="1">AVERAGE(OFFSET($AM$3,0,0,'Données projet'!$E$10+1,1))-AVERAGE(OFFSET($H$3,0,0,'Données projet'!$E$10+1,1))</f>
        <v>451.73518123022563</v>
      </c>
      <c r="AO133" s="62">
        <f t="shared" ref="AO133:AO196" si="144">$AO$3</f>
        <v>281.81514890308449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89.029256064672438</v>
      </c>
      <c r="BJ133" s="62">
        <f t="shared" ref="BJ133:BJ196" si="146">$BJ$3</f>
        <v>439.23889300132794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9.9052701599658839</v>
      </c>
      <c r="BQ133" s="23">
        <f>EXP(-LN(2)/25)*BQ132+(1-EXP(-LN(2)/25))/(LN(2)/25)*Calculateur!BL133*Calculateur!BN133*VLOOKUP('Données projet'!$B$11,Paramètres!$A$1:$I$89,3,0)*0.475*44/12</f>
        <v>1.0906425986677672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10.995912758633651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472.45436307638545</v>
      </c>
      <c r="T134" s="62">
        <f t="shared" si="142"/>
        <v>300.53096194142108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0.13578362866532187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0.13578362866532187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2">
        <f t="shared" si="113"/>
        <v>279.25877007619039</v>
      </c>
      <c r="AN134" s="62">
        <f ca="1">AVERAGE(OFFSET($AM$3,0,0,'Données projet'!$E$10+1,1))-AVERAGE(OFFSET($H$3,0,0,'Données projet'!$E$10+1,1))</f>
        <v>451.73518123022563</v>
      </c>
      <c r="AO134" s="62">
        <f t="shared" si="144"/>
        <v>281.81514890308449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89.029256064672438</v>
      </c>
      <c r="BJ134" s="62">
        <f t="shared" si="146"/>
        <v>439.23889300132794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9.7110338537471907</v>
      </c>
      <c r="BQ134" s="23">
        <f>EXP(-LN(2)/25)*BQ133+(1-EXP(-LN(2)/25))/(LN(2)/25)*Calculateur!BL134*Calculateur!BN134*VLOOKUP('Données projet'!$B$11,Paramètres!$A$1:$I$89,3,0)*0.475*44/12</f>
        <v>1.0608189194527955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10.771852773199987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472.45436307638545</v>
      </c>
      <c r="T135" s="62">
        <f t="shared" si="142"/>
        <v>300.53096194142108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0.13207061819891794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0.13207061819891794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2">
        <f t="shared" si="113"/>
        <v>279.50293228269243</v>
      </c>
      <c r="AN135" s="62">
        <f ca="1">AVERAGE(OFFSET($AM$3,0,0,'Données projet'!$E$10+1,1))-AVERAGE(OFFSET($H$3,0,0,'Données projet'!$E$10+1,1))</f>
        <v>451.73518123022563</v>
      </c>
      <c r="AO135" s="62">
        <f t="shared" si="144"/>
        <v>281.81514890308449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89.029256064672438</v>
      </c>
      <c r="BJ135" s="62">
        <f t="shared" si="146"/>
        <v>439.23889300132794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9.5206064030209969</v>
      </c>
      <c r="BQ135" s="23">
        <f>EXP(-LN(2)/25)*BQ134+(1-EXP(-LN(2)/25))/(LN(2)/25)*Calculateur!BL135*Calculateur!BN135*VLOOKUP('Données projet'!$B$11,Paramètres!$A$1:$I$89,3,0)*0.475*44/12</f>
        <v>1.0318107703143164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10.552417173335314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472.45436307638545</v>
      </c>
      <c r="T136" s="62">
        <f t="shared" si="142"/>
        <v>300.53096194142108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0.12845914019897656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0.12845914019897656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2">
        <f t="shared" si="113"/>
        <v>279.74285882077652</v>
      </c>
      <c r="AN136" s="62">
        <f ca="1">AVERAGE(OFFSET($AM$3,0,0,'Données projet'!$E$10+1,1))-AVERAGE(OFFSET($H$3,0,0,'Données projet'!$E$10+1,1))</f>
        <v>451.73518123022563</v>
      </c>
      <c r="AO136" s="62">
        <f t="shared" si="144"/>
        <v>281.81514890308449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89.029256064672438</v>
      </c>
      <c r="BJ136" s="62">
        <f t="shared" si="146"/>
        <v>439.23889300132794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9.3339131184542676</v>
      </c>
      <c r="BQ136" s="23">
        <f>EXP(-LN(2)/25)*BQ135+(1-EXP(-LN(2)/25))/(LN(2)/25)*Calculateur!BL136*Calculateur!BN136*VLOOKUP('Données projet'!$B$11,Paramètres!$A$1:$I$89,3,0)*0.475*44/12</f>
        <v>1.0035958505395013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10.337508968993768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472.45436307638545</v>
      </c>
      <c r="T137" s="62">
        <f t="shared" si="142"/>
        <v>300.53096194142108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0.12494641825486295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0.12494641825486295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2">
        <f t="shared" si="113"/>
        <v>279.97862316982025</v>
      </c>
      <c r="AN137" s="62">
        <f ca="1">AVERAGE(OFFSET($AM$3,0,0,'Données projet'!$E$10+1,1))-AVERAGE(OFFSET($H$3,0,0,'Données projet'!$E$10+1,1))</f>
        <v>451.73518123022563</v>
      </c>
      <c r="AO137" s="62">
        <f t="shared" si="144"/>
        <v>281.81514890308449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89.029256064672438</v>
      </c>
      <c r="BJ137" s="62">
        <f t="shared" si="146"/>
        <v>439.23889300132794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9.1508807753262325</v>
      </c>
      <c r="BQ137" s="23">
        <f>EXP(-LN(2)/25)*BQ136+(1-EXP(-LN(2)/25))/(LN(2)/25)*Calculateur!BL137*Calculateur!BN137*VLOOKUP('Données projet'!$B$11,Paramètres!$A$1:$I$89,3,0)*0.475*44/12</f>
        <v>0.97615246922968657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10.127033244555919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472.45436307638545</v>
      </c>
      <c r="T138" s="62">
        <f t="shared" si="142"/>
        <v>300.53096194142108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0.12152975187703716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0.12152975187703716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2">
        <f t="shared" si="113"/>
        <v>280.21029753449818</v>
      </c>
      <c r="AN138" s="62">
        <f ca="1">AVERAGE(OFFSET($AM$3,0,0,'Données projet'!$E$10+1,1))-AVERAGE(OFFSET($H$3,0,0,'Données projet'!$E$10+1,1))</f>
        <v>451.73518123022563</v>
      </c>
      <c r="AO138" s="62">
        <f t="shared" si="144"/>
        <v>281.81514890308449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89.029256064672438</v>
      </c>
      <c r="BJ138" s="62">
        <f t="shared" si="146"/>
        <v>439.23889300132794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8.9714375848082319</v>
      </c>
      <c r="BQ138" s="23">
        <f>EXP(-LN(2)/25)*BQ137+(1-EXP(-LN(2)/25))/(LN(2)/25)*Calculateur!BL138*Calculateur!BN138*VLOOKUP('Données projet'!$B$11,Paramètres!$A$1:$I$89,3,0)*0.475*44/12</f>
        <v>0.94945952862497351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9.920897113433206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472.45436307638545</v>
      </c>
      <c r="T139" s="62">
        <f t="shared" si="142"/>
        <v>300.53096194142108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0.11820651442098769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0.11820651442098769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2">
        <f t="shared" si="113"/>
        <v>280.43795286689516</v>
      </c>
      <c r="AN139" s="62">
        <f ca="1">AVERAGE(OFFSET($AM$3,0,0,'Données projet'!$E$10+1,1))-AVERAGE(OFFSET($H$3,0,0,'Données projet'!$E$10+1,1))</f>
        <v>451.73518123022563</v>
      </c>
      <c r="AO139" s="62">
        <f t="shared" si="144"/>
        <v>281.81514890308449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89.029256064672438</v>
      </c>
      <c r="BJ139" s="62">
        <f t="shared" si="146"/>
        <v>439.23889300132794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8.7955131658067511</v>
      </c>
      <c r="BQ139" s="23">
        <f>EXP(-LN(2)/25)*BQ138+(1-EXP(-LN(2)/25))/(LN(2)/25)*Calculateur!BL139*Calculateur!BN139*VLOOKUP('Données projet'!$B$11,Paramètres!$A$1:$I$89,3,0)*0.475*44/12</f>
        <v>0.92349650788481707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9.7190096736915681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472.45436307638545</v>
      </c>
      <c r="T140" s="62">
        <f t="shared" si="142"/>
        <v>300.53096194142108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0.11497415106793535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0.11497415106793535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2">
        <f t="shared" si="113"/>
        <v>280.66165888823622</v>
      </c>
      <c r="AN140" s="62">
        <f ca="1">AVERAGE(OFFSET($AM$3,0,0,'Données projet'!$E$10+1,1))-AVERAGE(OFFSET($H$3,0,0,'Données projet'!$E$10+1,1))</f>
        <v>451.73518123022563</v>
      </c>
      <c r="AO140" s="62">
        <f t="shared" si="144"/>
        <v>281.81514890308449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89.029256064672438</v>
      </c>
      <c r="BJ140" s="62">
        <f t="shared" si="146"/>
        <v>439.23889300132794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8.6230385173585891</v>
      </c>
      <c r="BQ140" s="23">
        <f>EXP(-LN(2)/25)*BQ139+(1-EXP(-LN(2)/25))/(LN(2)/25)*Calculateur!BL140*Calculateur!BN140*VLOOKUP('Données projet'!$B$11,Paramètres!$A$1:$I$89,3,0)*0.475*44/12</f>
        <v>0.89824344731213612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9.5212819646707256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472.45436307638545</v>
      </c>
      <c r="T141" s="62">
        <f t="shared" si="142"/>
        <v>300.53096194142108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0.11183017686075483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0.11183017686075483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2">
        <f t="shared" si="113"/>
        <v>280.88148411023872</v>
      </c>
      <c r="AN141" s="62">
        <f ca="1">AVERAGE(OFFSET($AM$3,0,0,'Données projet'!$E$10+1,1))-AVERAGE(OFFSET($H$3,0,0,'Données projet'!$E$10+1,1))</f>
        <v>451.73518123022563</v>
      </c>
      <c r="AO141" s="62">
        <f t="shared" si="144"/>
        <v>281.81514890308449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89.029256064672438</v>
      </c>
      <c r="BJ141" s="62">
        <f t="shared" si="146"/>
        <v>439.23889300132794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8.4539459915673465</v>
      </c>
      <c r="BQ141" s="23">
        <f>EXP(-LN(2)/25)*BQ140+(1-EXP(-LN(2)/25))/(LN(2)/25)*Calculateur!BL141*Calculateur!BN141*VLOOKUP('Données projet'!$B$11,Paramètres!$A$1:$I$89,3,0)*0.475*44/12</f>
        <v>0.87368093300881577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9.3276269245761618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472.45436307638545</v>
      </c>
      <c r="T142" s="62">
        <f t="shared" si="142"/>
        <v>300.53096194142108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0.10877217479360408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0.10877217479360408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2">
        <f t="shared" si="113"/>
        <v>281.09749585609507</v>
      </c>
      <c r="AN142" s="62">
        <f ca="1">AVERAGE(OFFSET($AM$3,0,0,'Données projet'!$E$10+1,1))-AVERAGE(OFFSET($H$3,0,0,'Données projet'!$E$10+1,1))</f>
        <v>451.73518123022563</v>
      </c>
      <c r="AO142" s="62">
        <f t="shared" si="144"/>
        <v>281.81514890308449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89.029256064672438</v>
      </c>
      <c r="BJ142" s="62">
        <f t="shared" si="146"/>
        <v>439.23889300132794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8.2881692670706144</v>
      </c>
      <c r="BQ142" s="23">
        <f>EXP(-LN(2)/25)*BQ141+(1-EXP(-LN(2)/25))/(LN(2)/25)*Calculateur!BL142*Calculateur!BN142*VLOOKUP('Données projet'!$B$11,Paramètres!$A$1:$I$89,3,0)*0.475*44/12</f>
        <v>0.8497900819508063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9.1379593490214202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472.45436307638545</v>
      </c>
      <c r="T143" s="62">
        <f t="shared" si="142"/>
        <v>300.53096194142108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0.10579779395379291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0.10579779395379291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2">
        <f t="shared" si="113"/>
        <v>281.30976028109075</v>
      </c>
      <c r="AN143" s="62">
        <f ca="1">AVERAGE(OFFSET($AM$3,0,0,'Données projet'!$E$10+1,1))-AVERAGE(OFFSET($H$3,0,0,'Données projet'!$E$10+1,1))</f>
        <v>451.73518123022563</v>
      </c>
      <c r="AO143" s="62">
        <f t="shared" si="144"/>
        <v>281.81514890308449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89.029256064672438</v>
      </c>
      <c r="BJ143" s="62">
        <f t="shared" si="146"/>
        <v>439.23889300132794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8.125643323027445</v>
      </c>
      <c r="BQ143" s="23">
        <f>EXP(-LN(2)/25)*BQ142+(1-EXP(-LN(2)/25))/(LN(2)/25)*Calculateur!BL143*Calculateur!BN143*VLOOKUP('Données projet'!$B$11,Paramètres!$A$1:$I$89,3,0)*0.475*44/12</f>
        <v>0.82655252747134333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8.9521958504987875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472.45436307638545</v>
      </c>
      <c r="T144" s="62">
        <f t="shared" si="142"/>
        <v>300.53096194142108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0.10290474771446226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0.10290474771446226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2">
        <f t="shared" si="113"/>
        <v>281.51834239286484</v>
      </c>
      <c r="AN144" s="62">
        <f ca="1">AVERAGE(OFFSET($AM$3,0,0,'Données projet'!$E$10+1,1))-AVERAGE(OFFSET($H$3,0,0,'Données projet'!$E$10+1,1))</f>
        <v>451.73518123022563</v>
      </c>
      <c r="AO144" s="62">
        <f t="shared" si="144"/>
        <v>281.81514890308449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89.029256064672438</v>
      </c>
      <c r="BJ144" s="62">
        <f t="shared" si="146"/>
        <v>439.23889300132794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7.9663044136159247</v>
      </c>
      <c r="BQ144" s="23">
        <f>EXP(-LN(2)/25)*BQ143+(1-EXP(-LN(2)/25))/(LN(2)/25)*Calculateur!BL144*Calculateur!BN144*VLOOKUP('Données projet'!$B$11,Paramètres!$A$1:$I$89,3,0)*0.475*44/12</f>
        <v>0.80395040514113114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8.7702548187570564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472.45436307638545</v>
      </c>
      <c r="T145" s="62">
        <f t="shared" si="142"/>
        <v>300.53096194142108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0.10009081197668479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0.10009081197668479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2">
        <f t="shared" si="113"/>
        <v>281.72330607131948</v>
      </c>
      <c r="AN145" s="62">
        <f ca="1">AVERAGE(OFFSET($AM$3,0,0,'Données projet'!$E$10+1,1))-AVERAGE(OFFSET($H$3,0,0,'Données projet'!$E$10+1,1))</f>
        <v>451.73518123022563</v>
      </c>
      <c r="AO145" s="62">
        <f t="shared" si="144"/>
        <v>281.81514890308449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89.029256064672438</v>
      </c>
      <c r="BJ145" s="62">
        <f t="shared" si="146"/>
        <v>439.23889300132794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7.8100900430308258</v>
      </c>
      <c r="BQ145" s="23">
        <f>EXP(-LN(2)/25)*BQ144+(1-EXP(-LN(2)/25))/(LN(2)/25)*Calculateur!BL145*Calculateur!BN145*VLOOKUP('Données projet'!$B$11,Paramètres!$A$1:$I$89,3,0)*0.475*44/12</f>
        <v>0.78196633903463253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8.5920563820654579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472.45436307638545</v>
      </c>
      <c r="T146" s="62">
        <f t="shared" si="142"/>
        <v>300.53096194142108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9.7353823459635308E-2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9.7353823459635308E-2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2">
        <f t="shared" si="113"/>
        <v>281.92471408818301</v>
      </c>
      <c r="AN146" s="62">
        <f ca="1">AVERAGE(OFFSET($AM$3,0,0,'Données projet'!$E$10+1,1))-AVERAGE(OFFSET($H$3,0,0,'Données projet'!$E$10+1,1))</f>
        <v>451.73518123022563</v>
      </c>
      <c r="AO146" s="62">
        <f t="shared" si="144"/>
        <v>281.81514890308449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89.029256064672438</v>
      </c>
      <c r="BJ146" s="62">
        <f t="shared" si="146"/>
        <v>439.23889300132794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7.6569389409715427</v>
      </c>
      <c r="BQ146" s="23">
        <f>EXP(-LN(2)/25)*BQ145+(1-EXP(-LN(2)/25))/(LN(2)/25)*Calculateur!BL146*Calculateur!BN146*VLOOKUP('Données projet'!$B$11,Paramètres!$A$1:$I$89,3,0)*0.475*44/12</f>
        <v>0.76058342837190795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8.41752236934345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472.45436307638545</v>
      </c>
      <c r="T147" s="62">
        <f t="shared" si="142"/>
        <v>300.53096194142108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9.4691678037516505E-2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9.4691678037516505E-2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2">
        <f t="shared" si="113"/>
        <v>282.12262812623476</v>
      </c>
      <c r="AN147" s="62">
        <f ca="1">AVERAGE(OFFSET($AM$3,0,0,'Données projet'!$E$10+1,1))-AVERAGE(OFFSET($H$3,0,0,'Données projet'!$E$10+1,1))</f>
        <v>451.73518123022563</v>
      </c>
      <c r="AO147" s="62">
        <f t="shared" si="144"/>
        <v>281.81514890308449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89.029256064672438</v>
      </c>
      <c r="BJ147" s="62">
        <f t="shared" si="146"/>
        <v>439.23889300132794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7.506791038610694</v>
      </c>
      <c r="BQ147" s="23">
        <f>EXP(-LN(2)/25)*BQ146+(1-EXP(-LN(2)/25))/(LN(2)/25)*Calculateur!BL147*Calculateur!BN147*VLOOKUP('Données projet'!$B$11,Paramètres!$A$1:$I$89,3,0)*0.475*44/12</f>
        <v>0.73978523452573397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8.2465762731364283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472.45436307638545</v>
      </c>
      <c r="T148" s="62">
        <f t="shared" si="142"/>
        <v>300.53096194142108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9.2102329121961687E-2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9.2102329121961687E-2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2">
        <f t="shared" si="113"/>
        <v>282.31710879819599</v>
      </c>
      <c r="AN148" s="62">
        <f ca="1">AVERAGE(OFFSET($AM$3,0,0,'Données projet'!$E$10+1,1))-AVERAGE(OFFSET($H$3,0,0,'Données projet'!$E$10+1,1))</f>
        <v>451.73518123022563</v>
      </c>
      <c r="AO148" s="62">
        <f t="shared" si="144"/>
        <v>281.81514890308449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89.029256064672438</v>
      </c>
      <c r="BJ148" s="62">
        <f t="shared" si="146"/>
        <v>439.23889300132794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7.3595874450339638</v>
      </c>
      <c r="BQ148" s="23">
        <f>EXP(-LN(2)/25)*BQ147+(1-EXP(-LN(2)/25))/(LN(2)/25)*Calculateur!BL148*Calculateur!BN148*VLOOKUP('Données projet'!$B$11,Paramètres!$A$1:$I$89,3,0)*0.475*44/12</f>
        <v>0.71955576838401314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8.0791432134179768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472.45436307638545</v>
      </c>
      <c r="T149" s="62">
        <f t="shared" si="142"/>
        <v>300.53096194142108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8.9583786088670653E-2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8.9583786088670653E-2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2">
        <f t="shared" si="113"/>
        <v>282.50821566529225</v>
      </c>
      <c r="AN149" s="62">
        <f ca="1">AVERAGE(OFFSET($AM$3,0,0,'Données projet'!$E$10+1,1))-AVERAGE(OFFSET($H$3,0,0,'Données projet'!$E$10+1,1))</f>
        <v>451.73518123022563</v>
      </c>
      <c r="AO149" s="62">
        <f t="shared" si="144"/>
        <v>281.81514890308449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89.029256064672438</v>
      </c>
      <c r="BJ149" s="62">
        <f t="shared" si="146"/>
        <v>439.23889300132794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7.2152704241419467</v>
      </c>
      <c r="BQ149" s="23">
        <f>EXP(-LN(2)/25)*BQ148+(1-EXP(-LN(2)/25))/(LN(2)/25)*Calculateur!BL149*Calculateur!BN149*VLOOKUP('Données projet'!$B$11,Paramètres!$A$1:$I$89,3,0)*0.475*44/12</f>
        <v>0.69987947805775896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7.9151499021997056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472.45436307638545</v>
      </c>
      <c r="T150" s="62">
        <f t="shared" si="142"/>
        <v>300.53096194142108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8.7134112747069392E-2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8.7134112747069392E-2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2">
        <f t="shared" si="113"/>
        <v>282.69600725549532</v>
      </c>
      <c r="AN150" s="62">
        <f ca="1">AVERAGE(OFFSET($AM$3,0,0,'Données projet'!$E$10+1,1))-AVERAGE(OFFSET($H$3,0,0,'Données projet'!$E$10+1,1))</f>
        <v>451.73518123022563</v>
      </c>
      <c r="AO150" s="62">
        <f t="shared" si="144"/>
        <v>281.81514890308449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89.029256064672438</v>
      </c>
      <c r="BJ150" s="62">
        <f t="shared" si="146"/>
        <v>439.23889300132794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7.0737833720049315</v>
      </c>
      <c r="BQ150" s="23">
        <f>EXP(-LN(2)/25)*BQ149+(1-EXP(-LN(2)/25))/(LN(2)/25)*Calculateur!BL150*Calculateur!BN150*VLOOKUP('Données projet'!$B$11,Paramètres!$A$1:$I$89,3,0)*0.475*44/12</f>
        <v>0.68074123692520738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7.7545246089301392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472.45436307638545</v>
      </c>
      <c r="T151" s="62">
        <f t="shared" si="142"/>
        <v>300.53096194142108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8.4751425851816942E-2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8.4751425851816942E-2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2">
        <f t="shared" si="113"/>
        <v>282.88054108144746</v>
      </c>
      <c r="AN151" s="62">
        <f ca="1">AVERAGE(OFFSET($AM$3,0,0,'Données projet'!$E$10+1,1))-AVERAGE(OFFSET($H$3,0,0,'Données projet'!$E$10+1,1))</f>
        <v>451.73518123022563</v>
      </c>
      <c r="AO151" s="62">
        <f t="shared" si="144"/>
        <v>281.81514890308449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89.029256064672438</v>
      </c>
      <c r="BJ151" s="62">
        <f t="shared" si="146"/>
        <v>439.23889300132794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6.9350707946617423</v>
      </c>
      <c r="BQ151" s="23">
        <f>EXP(-LN(2)/25)*BQ150+(1-EXP(-LN(2)/25))/(LN(2)/25)*Calculateur!BL151*Calculateur!BN151*VLOOKUP('Données projet'!$B$11,Paramètres!$A$1:$I$89,3,0)*0.475*44/12</f>
        <v>0.66212633200286175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7.5971971266646037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472.45436307638545</v>
      </c>
      <c r="T152" s="62">
        <f t="shared" si="142"/>
        <v>300.53096194142108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8.2433893655015231E-2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8.2433893655015231E-2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2">
        <f t="shared" si="113"/>
        <v>283.06187365807517</v>
      </c>
      <c r="AN152" s="62">
        <f ca="1">AVERAGE(OFFSET($AM$3,0,0,'Données projet'!$E$10+1,1))-AVERAGE(OFFSET($H$3,0,0,'Données projet'!$E$10+1,1))</f>
        <v>451.73518123022563</v>
      </c>
      <c r="AO152" s="62">
        <f t="shared" si="144"/>
        <v>281.81514890308449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89.029256064672438</v>
      </c>
      <c r="BJ152" s="62">
        <f t="shared" si="146"/>
        <v>439.23889300132794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6.799078286353935</v>
      </c>
      <c r="BQ152" s="23">
        <f>EXP(-LN(2)/25)*BQ151+(1-EXP(-LN(2)/25))/(LN(2)/25)*Calculateur!BL152*Calculateur!BN152*VLOOKUP('Données projet'!$B$11,Paramètres!$A$1:$I$89,3,0)*0.475*44/12</f>
        <v>0.644020452634533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7.4430987389884677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472.45436307638545</v>
      </c>
      <c r="T153" s="62">
        <f t="shared" si="142"/>
        <v>300.53096194142108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8.0179734498008776E-2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8.0179734498008776E-2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2">
        <f t="shared" si="113"/>
        <v>283.24006051989733</v>
      </c>
      <c r="AN153" s="62">
        <f ca="1">AVERAGE(OFFSET($AM$3,0,0,'Données projet'!$E$10+1,1))-AVERAGE(OFFSET($H$3,0,0,'Données projet'!$E$10+1,1))</f>
        <v>451.73518123022563</v>
      </c>
      <c r="AO153" s="62">
        <f t="shared" si="144"/>
        <v>281.81514890308449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89.029256064672438</v>
      </c>
      <c r="BJ153" s="62">
        <f t="shared" si="146"/>
        <v>439.23889300132794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6.6657525081868041</v>
      </c>
      <c r="BQ153" s="23">
        <f>EXP(-LN(2)/25)*BQ152+(1-EXP(-LN(2)/25))/(LN(2)/25)*Calculateur!BL153*Calculateur!BN153*VLOOKUP('Données projet'!$B$11,Paramètres!$A$1:$I$89,3,0)*0.475*44/12</f>
        <v>0.62640967948967807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7.2921621876764817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472.45436307638545</v>
      </c>
      <c r="T154" s="62">
        <f t="shared" si="142"/>
        <v>300.53096194142108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7.7987215441691737E-2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7.7987215441691737E-2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2">
        <f t="shared" si="113"/>
        <v>283.41515623803298</v>
      </c>
      <c r="AN154" s="62">
        <f ca="1">AVERAGE(OFFSET($AM$3,0,0,'Données projet'!$E$10+1,1))-AVERAGE(OFFSET($H$3,0,0,'Données projet'!$E$10+1,1))</f>
        <v>451.73518123022563</v>
      </c>
      <c r="AO154" s="62">
        <f t="shared" si="144"/>
        <v>281.81514890308449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89.029256064672438</v>
      </c>
      <c r="BJ154" s="62">
        <f t="shared" si="146"/>
        <v>439.23889300132794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6.5350411672088358</v>
      </c>
      <c r="BQ154" s="23">
        <f>EXP(-LN(2)/25)*BQ153+(1-EXP(-LN(2)/25))/(LN(2)/25)*Calculateur!BL154*Calculateur!BN154*VLOOKUP('Données projet'!$B$11,Paramètres!$A$1:$I$89,3,0)*0.475*44/12</f>
        <v>0.60928047386257944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7.1443216410714152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472.45436307638545</v>
      </c>
      <c r="T155" s="62">
        <f t="shared" si="142"/>
        <v>300.53096194142108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7.5854650934269255E-2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7.5854650934269255E-2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2">
        <f t="shared" si="113"/>
        <v>283.58721443691439</v>
      </c>
      <c r="AN155" s="62">
        <f ca="1">AVERAGE(OFFSET($AM$3,0,0,'Données projet'!$E$10+1,1))-AVERAGE(OFFSET($H$3,0,0,'Données projet'!$E$10+1,1))</f>
        <v>451.73518123022563</v>
      </c>
      <c r="AO155" s="62">
        <f t="shared" si="144"/>
        <v>281.81514890308449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89.029256064672438</v>
      </c>
      <c r="BJ155" s="62">
        <f t="shared" si="146"/>
        <v>439.23889300132794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6.4068929959013996</v>
      </c>
      <c r="BQ155" s="23">
        <f>EXP(-LN(2)/25)*BQ154+(1-EXP(-LN(2)/25))/(LN(2)/25)*Calculateur!BL155*Calculateur!BN155*VLOOKUP('Données projet'!$B$11,Paramètres!$A$1:$I$89,3,0)*0.475*44/12</f>
        <v>0.59261966726413962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6.9995126631655395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472.45436307638545</v>
      </c>
      <c r="T156" s="62">
        <f t="shared" si="142"/>
        <v>300.53096194142108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7.3780401515448943E-2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7.3780401515448943E-2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2">
        <f t="shared" si="113"/>
        <v>283.75628781070964</v>
      </c>
      <c r="AN156" s="62">
        <f ca="1">AVERAGE(OFFSET($AM$3,0,0,'Données projet'!$E$10+1,1))-AVERAGE(OFFSET($H$3,0,0,'Données projet'!$E$10+1,1))</f>
        <v>451.73518123022563</v>
      </c>
      <c r="AO156" s="62">
        <f t="shared" si="144"/>
        <v>281.81514890308449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89.029256064672438</v>
      </c>
      <c r="BJ156" s="62">
        <f t="shared" si="146"/>
        <v>439.23889300132794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6.2812577320706353</v>
      </c>
      <c r="BQ156" s="23">
        <f>EXP(-LN(2)/25)*BQ155+(1-EXP(-LN(2)/25))/(LN(2)/25)*Calculateur!BL156*Calculateur!BN156*VLOOKUP('Données projet'!$B$11,Paramètres!$A$1:$I$89,3,0)*0.475*44/12</f>
        <v>0.57641445129828783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6.8576721833689227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472.45436307638545</v>
      </c>
      <c r="T157" s="62">
        <f t="shared" si="142"/>
        <v>300.53096194142108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7.1762872556066309E-2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7.1762872556066309E-2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2">
        <f t="shared" si="113"/>
        <v>283.92242813946109</v>
      </c>
      <c r="AN157" s="62">
        <f ca="1">AVERAGE(OFFSET($AM$3,0,0,'Données projet'!$E$10+1,1))-AVERAGE(OFFSET($H$3,0,0,'Données projet'!$E$10+1,1))</f>
        <v>451.73518123022563</v>
      </c>
      <c r="AO157" s="62">
        <f t="shared" si="144"/>
        <v>281.81514890308449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89.029256064672438</v>
      </c>
      <c r="BJ157" s="62">
        <f t="shared" si="146"/>
        <v>439.23889300132794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6.1580860991336479</v>
      </c>
      <c r="BQ157" s="23">
        <f>EXP(-LN(2)/25)*BQ156+(1-EXP(-LN(2)/25))/(LN(2)/25)*Calculateur!BL157*Calculateur!BN157*VLOOKUP('Données projet'!$B$11,Paramètres!$A$1:$I$89,3,0)*0.475*44/12</f>
        <v>0.56065236781521754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6.7187384669488655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472.45436307638545</v>
      </c>
      <c r="T158" s="62">
        <f t="shared" si="142"/>
        <v>300.53096194142108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6.9800513032175229E-2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6.9800513032175229E-2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2">
        <f t="shared" si="113"/>
        <v>284.08568630494278</v>
      </c>
      <c r="AN158" s="62">
        <f ca="1">AVERAGE(OFFSET($AM$3,0,0,'Données projet'!$E$10+1,1))-AVERAGE(OFFSET($H$3,0,0,'Données projet'!$E$10+1,1))</f>
        <v>451.73518123022563</v>
      </c>
      <c r="AO158" s="62">
        <f t="shared" si="144"/>
        <v>281.81514890308449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89.029256064672438</v>
      </c>
      <c r="BJ158" s="62">
        <f t="shared" si="146"/>
        <v>439.23889300132794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6.0373297867912772</v>
      </c>
      <c r="BQ158" s="23">
        <f>EXP(-LN(2)/25)*BQ157+(1-EXP(-LN(2)/25))/(LN(2)/25)*Calculateur!BL158*Calculateur!BN158*VLOOKUP('Données projet'!$B$11,Paramètres!$A$1:$I$89,3,0)*0.475*44/12</f>
        <v>0.54532129933388374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6.5826510861251606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472.45436307638545</v>
      </c>
      <c r="T159" s="62">
        <f t="shared" si="142"/>
        <v>300.53096194142108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6.7891814332660949E-2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6.7891814332660949E-2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2">
        <f t="shared" si="113"/>
        <v>284.24611230624396</v>
      </c>
      <c r="AN159" s="62">
        <f ca="1">AVERAGE(OFFSET($AM$3,0,0,'Données projet'!$E$10+1,1))-AVERAGE(OFFSET($H$3,0,0,'Données projet'!$E$10+1,1))</f>
        <v>451.73518123022563</v>
      </c>
      <c r="AO159" s="62">
        <f t="shared" si="144"/>
        <v>281.81514890308449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89.029256064672438</v>
      </c>
      <c r="BJ159" s="62">
        <f t="shared" si="146"/>
        <v>439.23889300132794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5.9189414320798628</v>
      </c>
      <c r="BQ159" s="23">
        <f>EXP(-LN(2)/25)*BQ158+(1-EXP(-LN(2)/25))/(LN(2)/25)*Calculateur!BL159*Calculateur!BN159*VLOOKUP('Données projet'!$B$11,Paramètres!$A$1:$I$89,3,0)*0.475*44/12</f>
        <v>0.53040945972639786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6.4493508918062608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472.45436307638545</v>
      </c>
      <c r="T160" s="62">
        <f t="shared" si="142"/>
        <v>300.53096194142108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6.6035309099458983E-2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6.6035309099458983E-2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2">
        <f t="shared" si="113"/>
        <v>284.40375527508127</v>
      </c>
      <c r="AN160" s="62">
        <f ca="1">AVERAGE(OFFSET($AM$3,0,0,'Données projet'!$E$10+1,1))-AVERAGE(OFFSET($H$3,0,0,'Données projet'!$E$10+1,1))</f>
        <v>451.73518123022563</v>
      </c>
      <c r="AO160" s="62">
        <f t="shared" si="144"/>
        <v>281.81514890308449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89.029256064672438</v>
      </c>
      <c r="BJ160" s="62">
        <f t="shared" si="146"/>
        <v>439.23889300132794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5.8028746007945724</v>
      </c>
      <c r="BQ160" s="23">
        <f>EXP(-LN(2)/25)*BQ159+(1-EXP(-LN(2)/25))/(LN(2)/25)*Calculateur!BL160*Calculateur!BN160*VLOOKUP('Données projet'!$B$11,Paramètres!$A$1:$I$89,3,0)*0.475*44/12</f>
        <v>0.51590538515715834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6.3187799859517311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472.45436307638545</v>
      </c>
      <c r="T161" s="62">
        <f t="shared" si="142"/>
        <v>300.53096194142108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6.4229570099488292E-2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6.4229570099488292E-2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2">
        <f t="shared" si="113"/>
        <v>284.55866349084624</v>
      </c>
      <c r="AN161" s="62">
        <f ca="1">AVERAGE(OFFSET($AM$3,0,0,'Données projet'!$E$10+1,1))-AVERAGE(OFFSET($H$3,0,0,'Données projet'!$E$10+1,1))</f>
        <v>451.73518123022563</v>
      </c>
      <c r="AO161" s="62">
        <f t="shared" si="144"/>
        <v>281.81514890308449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89.029256064672438</v>
      </c>
      <c r="BJ161" s="62">
        <f t="shared" si="146"/>
        <v>439.23889300132794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5.6890837692770102</v>
      </c>
      <c r="BQ161" s="23">
        <f>EXP(-LN(2)/25)*BQ160+(1-EXP(-LN(2)/25))/(LN(2)/25)*Calculateur!BL161*Calculateur!BN161*VLOOKUP('Données projet'!$B$11,Paramètres!$A$1:$I$89,3,0)*0.475*44/12</f>
        <v>0.50179792526975076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6.1908816945467606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472.45436307638545</v>
      </c>
      <c r="T162" s="62">
        <f t="shared" si="142"/>
        <v>300.53096194142108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6.2473209127431491E-2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6.2473209127431491E-2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2">
        <f t="shared" si="113"/>
        <v>284.71088439539062</v>
      </c>
      <c r="AN162" s="62">
        <f ca="1">AVERAGE(OFFSET($AM$3,0,0,'Données projet'!$E$10+1,1))-AVERAGE(OFFSET($H$3,0,0,'Données projet'!$E$10+1,1))</f>
        <v>451.73518123022563</v>
      </c>
      <c r="AO162" s="62">
        <f t="shared" si="144"/>
        <v>281.81514890308449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89.029256064672438</v>
      </c>
      <c r="BJ162" s="62">
        <f t="shared" si="146"/>
        <v>439.23889300132794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5.5775243065599538</v>
      </c>
      <c r="BQ162" s="23">
        <f>EXP(-LN(2)/25)*BQ161+(1-EXP(-LN(2)/25))/(LN(2)/25)*Calculateur!BL162*Calculateur!BN162*VLOOKUP('Données projet'!$B$11,Paramètres!$A$1:$I$89,3,0)*0.475*44/12</f>
        <v>0.4880762346148434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6.0656005411747973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472.45436307638545</v>
      </c>
      <c r="T163" s="62">
        <f t="shared" si="142"/>
        <v>300.53096194142108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6.0764875938518592E-2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6.0764875938518592E-2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2">
        <f t="shared" si="113"/>
        <v>284.86046460755597</v>
      </c>
      <c r="AN163" s="62">
        <f ca="1">AVERAGE(OFFSET($AM$3,0,0,'Données projet'!$E$10+1,1))-AVERAGE(OFFSET($H$3,0,0,'Données projet'!$E$10+1,1))</f>
        <v>451.73518123022563</v>
      </c>
      <c r="AO163" s="62">
        <f t="shared" si="144"/>
        <v>281.81514890308449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89.029256064672438</v>
      </c>
      <c r="BJ163" s="62">
        <f t="shared" si="146"/>
        <v>439.23889300132794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5.4681524568622253</v>
      </c>
      <c r="BQ163" s="23">
        <f>EXP(-LN(2)/25)*BQ162+(1-EXP(-LN(2)/25))/(LN(2)/25)*Calculateur!BL163*Calculateur!BN163*VLOOKUP('Données projet'!$B$11,Paramètres!$A$1:$I$89,3,0)*0.475*44/12</f>
        <v>0.47472976431248681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5.9428822211747123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472.45436307638545</v>
      </c>
      <c r="T164" s="62">
        <f t="shared" si="142"/>
        <v>300.53096194142108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5.9103257210493858E-2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5.9103257210493858E-2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2">
        <f t="shared" si="113"/>
        <v>285.00744993745161</v>
      </c>
      <c r="AN164" s="62">
        <f ca="1">AVERAGE(OFFSET($AM$3,0,0,'Données projet'!$E$10+1,1))-AVERAGE(OFFSET($H$3,0,0,'Données projet'!$E$10+1,1))</f>
        <v>451.73518123022563</v>
      </c>
      <c r="AO164" s="62">
        <f t="shared" si="144"/>
        <v>281.81514890308449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89.029256064672438</v>
      </c>
      <c r="BJ164" s="62">
        <f t="shared" si="146"/>
        <v>439.23889300132794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5.3609253224268274</v>
      </c>
      <c r="BQ164" s="23">
        <f>EXP(-LN(2)/25)*BQ163+(1-EXP(-LN(2)/25))/(LN(2)/25)*Calculateur!BL164*Calculateur!BN164*VLOOKUP('Données projet'!$B$11,Paramètres!$A$1:$I$89,3,0)*0.475*44/12</f>
        <v>0.46174825394240859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5.8226735763692359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472.45436307638545</v>
      </c>
      <c r="T165" s="62">
        <f t="shared" si="142"/>
        <v>300.53096194142108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5.7487075533967688E-2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5.7487075533967688E-2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2">
        <f t="shared" si="113"/>
        <v>285.15188540048348</v>
      </c>
      <c r="AN165" s="62">
        <f ca="1">AVERAGE(OFFSET($AM$3,0,0,'Données projet'!$E$10+1,1))-AVERAGE(OFFSET($H$3,0,0,'Données projet'!$E$10+1,1))</f>
        <v>451.73518123022563</v>
      </c>
      <c r="AO165" s="62">
        <f t="shared" si="144"/>
        <v>281.81514890308449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89.029256064672438</v>
      </c>
      <c r="BJ165" s="62">
        <f t="shared" si="146"/>
        <v>439.23889300132794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5.2558008466956139</v>
      </c>
      <c r="BQ165" s="23">
        <f>EXP(-LN(2)/25)*BQ164+(1-EXP(-LN(2)/25))/(LN(2)/25)*Calculateur!BL165*Calculateur!BN165*VLOOKUP('Données projet'!$B$11,Paramètres!$A$1:$I$89,3,0)*0.475*44/12</f>
        <v>0.44912172365606812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5.7049225703516822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472.45436307638545</v>
      </c>
      <c r="T166" s="62">
        <f t="shared" si="142"/>
        <v>300.53096194142108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5.591508843037743E-2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5.591508843037743E-2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2">
        <f t="shared" si="113"/>
        <v>285.29381523114108</v>
      </c>
      <c r="AN166" s="62">
        <f ca="1">AVERAGE(OFFSET($AM$3,0,0,'Données projet'!$E$10+1,1))-AVERAGE(OFFSET($H$3,0,0,'Données projet'!$E$10+1,1))</f>
        <v>451.73518123022563</v>
      </c>
      <c r="AO166" s="62">
        <f t="shared" si="144"/>
        <v>281.81514890308449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89.029256064672438</v>
      </c>
      <c r="BJ166" s="62">
        <f t="shared" si="146"/>
        <v>439.23889300132794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5.1527377978138906</v>
      </c>
      <c r="BQ166" s="23">
        <f>EXP(-LN(2)/25)*BQ165+(1-EXP(-LN(2)/25))/(LN(2)/25)*Calculateur!BL166*Calculateur!BN166*VLOOKUP('Données projet'!$B$11,Paramètres!$A$1:$I$89,3,0)*0.475*44/12</f>
        <v>0.43684046650440794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5.5895782643182983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472.45436307638545</v>
      </c>
      <c r="T167" s="62">
        <f t="shared" si="142"/>
        <v>300.53096194142108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5.4386087396802056E-2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5.4386087396802056E-2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2">
        <f t="shared" si="113"/>
        <v>285.43328289654437</v>
      </c>
      <c r="AN167" s="62">
        <f ca="1">AVERAGE(OFFSET($AM$3,0,0,'Données projet'!$E$10+1,1))-AVERAGE(OFFSET($H$3,0,0,'Données projet'!$E$10+1,1))</f>
        <v>451.73518123022563</v>
      </c>
      <c r="AO167" s="62">
        <f t="shared" si="144"/>
        <v>281.81514890308449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89.029256064672438</v>
      </c>
      <c r="BJ167" s="62">
        <f t="shared" si="146"/>
        <v>439.23889300132794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5.0516957524584853</v>
      </c>
      <c r="BQ167" s="23">
        <f>EXP(-LN(2)/25)*BQ166+(1-EXP(-LN(2)/25))/(LN(2)/25)*Calculateur!BL167*Calculateur!BN167*VLOOKUP('Données projet'!$B$11,Paramètres!$A$1:$I$89,3,0)*0.475*44/12</f>
        <v>0.4248950409754032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5.4765907934338882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472.45436307638545</v>
      </c>
      <c r="T168" s="62">
        <f t="shared" si="142"/>
        <v>300.53096194142108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5.2898896976896467E-2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5.2898896976896467E-2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2">
        <f t="shared" si="113"/>
        <v>285.57033110975584</v>
      </c>
      <c r="AN168" s="62">
        <f ca="1">AVERAGE(OFFSET($AM$3,0,0,'Données projet'!$E$10+1,1))-AVERAGE(OFFSET($H$3,0,0,'Données projet'!$E$10+1,1))</f>
        <v>451.73518123022563</v>
      </c>
      <c r="AO168" s="62">
        <f t="shared" si="144"/>
        <v>281.81514890308449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89.029256064672438</v>
      </c>
      <c r="BJ168" s="62">
        <f t="shared" si="146"/>
        <v>439.23889300132794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4.9526350799829375</v>
      </c>
      <c r="BQ168" s="23">
        <f>EXP(-LN(2)/25)*BQ167+(1-EXP(-LN(2)/25))/(LN(2)/25)*Calculateur!BL168*Calculateur!BN168*VLOOKUP('Données projet'!$B$11,Paramètres!$A$1:$I$89,3,0)*0.475*44/12</f>
        <v>0.41327626373567172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5.3659113437186097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472.45436307638545</v>
      </c>
      <c r="T169" s="62">
        <f t="shared" si="142"/>
        <v>300.53096194142108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5.1452373857231143E-2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5.1452373857231143E-2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2">
        <f t="shared" si="113"/>
        <v>285.70500184286203</v>
      </c>
      <c r="AN169" s="62">
        <f ca="1">AVERAGE(OFFSET($AM$3,0,0,'Données projet'!$E$10+1,1))-AVERAGE(OFFSET($H$3,0,0,'Données projet'!$E$10+1,1))</f>
        <v>451.73518123022563</v>
      </c>
      <c r="AO169" s="62">
        <f t="shared" si="144"/>
        <v>281.81514890308449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89.029256064672438</v>
      </c>
      <c r="BJ169" s="62">
        <f t="shared" si="146"/>
        <v>439.23889300132794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4.8555169268735909</v>
      </c>
      <c r="BQ169" s="23">
        <f>EXP(-LN(2)/25)*BQ168+(1-EXP(-LN(2)/25))/(LN(2)/25)*Calculateur!BL169*Calculateur!BN169*VLOOKUP('Données projet'!$B$11,Paramètres!$A$1:$I$89,3,0)*0.475*44/12</f>
        <v>0.40197520257056563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5.2574921294441568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472.45436307638545</v>
      </c>
      <c r="T170" s="62">
        <f t="shared" si="142"/>
        <v>300.53096194142108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5.0045405988342409E-2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5.0045405988342409E-2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2">
        <f t="shared" si="113"/>
        <v>285.83733633982752</v>
      </c>
      <c r="AN170" s="62">
        <f ca="1">AVERAGE(OFFSET($AM$3,0,0,'Données projet'!$E$10+1,1))-AVERAGE(OFFSET($H$3,0,0,'Données projet'!$E$10+1,1))</f>
        <v>451.73518123022563</v>
      </c>
      <c r="AO170" s="62">
        <f t="shared" si="144"/>
        <v>281.81514890308449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89.029256064672438</v>
      </c>
      <c r="BJ170" s="62">
        <f t="shared" si="146"/>
        <v>439.23889300132794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4.760303201510494</v>
      </c>
      <c r="BQ170" s="23">
        <f>EXP(-LN(2)/25)*BQ169+(1-EXP(-LN(2)/25))/(LN(2)/25)*Calculateur!BL170*Calculateur!BN170*VLOOKUP('Données projet'!$B$11,Paramètres!$A$1:$I$89,3,0)*0.475*44/12</f>
        <v>0.39098316951731632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5.1512863710278101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472.45436307638545</v>
      </c>
      <c r="T171" s="62">
        <f t="shared" si="142"/>
        <v>300.53096194142108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4.8676911729817668E-2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4.8676911729817668E-2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2">
        <f t="shared" si="113"/>
        <v>285.9673751291262</v>
      </c>
      <c r="AN171" s="62">
        <f ca="1">AVERAGE(OFFSET($AM$3,0,0,'Données projet'!$E$10+1,1))-AVERAGE(OFFSET($H$3,0,0,'Données projet'!$E$10+1,1))</f>
        <v>451.73518123022563</v>
      </c>
      <c r="AO171" s="62">
        <f t="shared" si="144"/>
        <v>281.81514890308449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89.029256064672438</v>
      </c>
      <c r="BJ171" s="62">
        <f t="shared" si="146"/>
        <v>439.23889300132794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4.6669565592271294</v>
      </c>
      <c r="BQ171" s="23">
        <f>EXP(-LN(2)/25)*BQ170+(1-EXP(-LN(2)/25))/(LN(2)/25)*Calculateur!BL171*Calculateur!BN171*VLOOKUP('Données projet'!$B$11,Paramètres!$A$1:$I$89,3,0)*0.475*44/12</f>
        <v>0.38029171418595403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5.047248273413083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472.45436307638545</v>
      </c>
      <c r="T172" s="62">
        <f t="shared" si="142"/>
        <v>300.53096194142108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4.7345839018758266E-2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4.7345839018758266E-2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2">
        <f t="shared" si="113"/>
        <v>286.09515803615375</v>
      </c>
      <c r="AN172" s="62">
        <f ca="1">AVERAGE(OFFSET($AM$3,0,0,'Données projet'!$E$10+1,1))-AVERAGE(OFFSET($H$3,0,0,'Données projet'!$E$10+1,1))</f>
        <v>451.73518123022563</v>
      </c>
      <c r="AO172" s="62">
        <f t="shared" si="144"/>
        <v>281.81514890308449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89.029256064672438</v>
      </c>
      <c r="BJ172" s="62">
        <f t="shared" si="146"/>
        <v>439.23889300132794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4.5754403876631118</v>
      </c>
      <c r="BQ172" s="23">
        <f>EXP(-LN(2)/25)*BQ171+(1-EXP(-LN(2)/25))/(LN(2)/25)*Calculateur!BL172*Calculateur!BN172*VLOOKUP('Données projet'!$B$11,Paramètres!$A$1:$I$89,3,0)*0.475*44/12</f>
        <v>0.36989261726286704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4.9453330049259785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472.45436307638545</v>
      </c>
      <c r="T173" s="62">
        <f t="shared" si="142"/>
        <v>300.53096194142108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4.6051164560980858E-2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4.6051164560980858E-2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2">
        <f t="shared" si="113"/>
        <v>286.22072419542417</v>
      </c>
      <c r="AN173" s="62">
        <f ca="1">AVERAGE(OFFSET($AM$3,0,0,'Données projet'!$E$10+1,1))-AVERAGE(OFFSET($H$3,0,0,'Données projet'!$E$10+1,1))</f>
        <v>451.73518123022563</v>
      </c>
      <c r="AO173" s="62">
        <f t="shared" si="144"/>
        <v>281.81514890308449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89.029256064672438</v>
      </c>
      <c r="BJ173" s="62">
        <f t="shared" si="146"/>
        <v>439.23889300132794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4.4857187924041115</v>
      </c>
      <c r="BQ173" s="23">
        <f>EXP(-LN(2)/25)*BQ172+(1-EXP(-LN(2)/25))/(LN(2)/25)*Calculateur!BL173*Calculateur!BN173*VLOOKUP('Données projet'!$B$11,Paramètres!$A$1:$I$89,3,0)*0.475*44/12</f>
        <v>0.35977788419200663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4.8454966765961185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472.45436307638545</v>
      </c>
      <c r="T174" s="62">
        <f t="shared" si="142"/>
        <v>300.53096194142108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4.479189304433534E-2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4.479189304433534E-2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2">
        <f t="shared" si="113"/>
        <v>286.3441120625551</v>
      </c>
      <c r="AN174" s="62">
        <f ca="1">AVERAGE(OFFSET($AM$3,0,0,'Données projet'!$E$10+1,1))-AVERAGE(OFFSET($H$3,0,0,'Données projet'!$E$10+1,1))</f>
        <v>451.73518123022563</v>
      </c>
      <c r="AO174" s="62">
        <f t="shared" si="144"/>
        <v>281.81514890308449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89.029256064672438</v>
      </c>
      <c r="BJ174" s="62">
        <f t="shared" si="146"/>
        <v>439.23889300132794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4.3977565829033711</v>
      </c>
      <c r="BQ174" s="23">
        <f>EXP(-LN(2)/25)*BQ173+(1-EXP(-LN(2)/25))/(LN(2)/25)*Calculateur!BL174*Calculateur!BN174*VLOOKUP('Données projet'!$B$11,Paramètres!$A$1:$I$89,3,0)*0.475*44/12</f>
        <v>0.34993973902887954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4.747696321932251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472.45436307638545</v>
      </c>
      <c r="T175" s="62">
        <f t="shared" si="142"/>
        <v>300.53096194142108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4.356705637353471E-2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4.356705637353471E-2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2">
        <f t="shared" si="113"/>
        <v>286.46535942604532</v>
      </c>
      <c r="AN175" s="62">
        <f ca="1">AVERAGE(OFFSET($AM$3,0,0,'Données projet'!$E$10+1,1))-AVERAGE(OFFSET($H$3,0,0,'Données projet'!$E$10+1,1))</f>
        <v>451.73518123022563</v>
      </c>
      <c r="AO175" s="62">
        <f t="shared" si="144"/>
        <v>281.81514890308449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89.029256064672438</v>
      </c>
      <c r="BJ175" s="62">
        <f t="shared" si="146"/>
        <v>439.23889300132794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4.3115192586792901</v>
      </c>
      <c r="BQ175" s="23">
        <f>EXP(-LN(2)/25)*BQ174+(1-EXP(-LN(2)/25))/(LN(2)/25)*Calculateur!BL175*Calculateur!BN175*VLOOKUP('Données projet'!$B$11,Paramètres!$A$1:$I$89,3,0)*0.475*44/12</f>
        <v>0.34037061846260375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4.6518898771418939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472.45436307638545</v>
      </c>
      <c r="T176" s="62">
        <f t="shared" si="142"/>
        <v>300.53096194142108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4.2375712925908485E-2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4.2375712925908485E-2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2">
        <f t="shared" si="113"/>
        <v>286.58450341884736</v>
      </c>
      <c r="AN176" s="62">
        <f ca="1">AVERAGE(OFFSET($AM$3,0,0,'Données projet'!$E$10+1,1))-AVERAGE(OFFSET($H$3,0,0,'Données projet'!$E$10+1,1))</f>
        <v>451.73518123022563</v>
      </c>
      <c r="AO176" s="62">
        <f t="shared" si="144"/>
        <v>281.81514890308449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89.029256064672438</v>
      </c>
      <c r="BJ176" s="62">
        <f t="shared" si="146"/>
        <v>439.23889300132794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4.2269729957836688</v>
      </c>
      <c r="BQ176" s="23">
        <f>EXP(-LN(2)/25)*BQ175+(1-EXP(-LN(2)/25))/(LN(2)/25)*Calculateur!BL176*Calculateur!BN176*VLOOKUP('Données projet'!$B$11,Paramètres!$A$1:$I$89,3,0)*0.475*44/12</f>
        <v>0.33106316600143093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4.5580361617850995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472.45436307638545</v>
      </c>
      <c r="T177" s="62">
        <f t="shared" si="142"/>
        <v>300.53096194142108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4.1216946827507622E-2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4.1216946827507622E-2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2">
        <f t="shared" si="113"/>
        <v>286.70158052974045</v>
      </c>
      <c r="AN177" s="62">
        <f ca="1">AVERAGE(OFFSET($AM$3,0,0,'Données projet'!$E$10+1,1))-AVERAGE(OFFSET($H$3,0,0,'Données projet'!$E$10+1,1))</f>
        <v>451.73518123022563</v>
      </c>
      <c r="AO177" s="62">
        <f t="shared" si="144"/>
        <v>281.81514890308449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89.029256064672438</v>
      </c>
      <c r="BJ177" s="62">
        <f t="shared" si="146"/>
        <v>439.23889300132794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4.1440846335353028</v>
      </c>
      <c r="BQ177" s="23">
        <f>EXP(-LN(2)/25)*BQ176+(1-EXP(-LN(2)/25))/(LN(2)/25)*Calculateur!BL177*Calculateur!BN177*VLOOKUP('Données projet'!$B$11,Paramètres!$A$1:$I$89,3,0)*0.475*44/12</f>
        <v>0.32201022631726656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4.4660948598525696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472.45436307638545</v>
      </c>
      <c r="T178" s="62">
        <f t="shared" si="142"/>
        <v>300.53096194142108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4.0089867249004395E-2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4.0089867249004395E-2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2">
        <f t="shared" si="113"/>
        <v>286.81662661450468</v>
      </c>
      <c r="AN178" s="62">
        <f ca="1">AVERAGE(OFFSET($AM$3,0,0,'Données projet'!$E$10+1,1))-AVERAGE(OFFSET($H$3,0,0,'Données projet'!$E$10+1,1))</f>
        <v>451.73518123022563</v>
      </c>
      <c r="AO178" s="62">
        <f t="shared" si="144"/>
        <v>281.81514890308449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89.029256064672438</v>
      </c>
      <c r="BJ178" s="62">
        <f t="shared" si="146"/>
        <v>439.23889300132794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4.062821661513718</v>
      </c>
      <c r="BQ178" s="23">
        <f>EXP(-LN(2)/25)*BQ177+(1-EXP(-LN(2)/25))/(LN(2)/25)*Calculateur!BL178*Calculateur!BN178*VLOOKUP('Données projet'!$B$11,Paramètres!$A$1:$I$89,3,0)*0.475*44/12</f>
        <v>0.31320483974483909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4.3760265012585569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472.45436307638545</v>
      </c>
      <c r="T179" s="62">
        <f t="shared" si="142"/>
        <v>300.53096194142108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3.8993607720845876E-2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3.8993607720845876E-2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2">
        <f t="shared" si="113"/>
        <v>286.92967690690284</v>
      </c>
      <c r="AN179" s="62">
        <f ca="1">AVERAGE(OFFSET($AM$3,0,0,'Données projet'!$E$10+1,1))-AVERAGE(OFFSET($H$3,0,0,'Données projet'!$E$10+1,1))</f>
        <v>451.73518123022563</v>
      </c>
      <c r="AO179" s="62">
        <f t="shared" si="144"/>
        <v>281.81514890308449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89.029256064672438</v>
      </c>
      <c r="BJ179" s="62">
        <f t="shared" si="146"/>
        <v>439.23889300132794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3.9831522068079579</v>
      </c>
      <c r="BQ179" s="23">
        <f>EXP(-LN(2)/25)*BQ178+(1-EXP(-LN(2)/25))/(LN(2)/25)*Calculateur!BL179*Calculateur!BN179*VLOOKUP('Données projet'!$B$11,Paramètres!$A$1:$I$89,3,0)*0.475*44/12</f>
        <v>0.30464023693128978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4.2877924437392476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472.45436307638545</v>
      </c>
      <c r="T180" s="62">
        <f t="shared" si="142"/>
        <v>300.53096194142108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3.7927325467134634E-2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3.7927325467134634E-2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2">
        <f t="shared" si="113"/>
        <v>287.04076602947043</v>
      </c>
      <c r="AN180" s="62">
        <f ca="1">AVERAGE(OFFSET($AM$3,0,0,'Données projet'!$E$10+1,1))-AVERAGE(OFFSET($H$3,0,0,'Données projet'!$E$10+1,1))</f>
        <v>451.73518123022563</v>
      </c>
      <c r="AO180" s="62">
        <f t="shared" si="144"/>
        <v>281.81514890308449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89.029256064672438</v>
      </c>
      <c r="BJ180" s="62">
        <f t="shared" si="146"/>
        <v>439.23889300132794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3.9050450215154084</v>
      </c>
      <c r="BQ180" s="23">
        <f>EXP(-LN(2)/25)*BQ179+(1-EXP(-LN(2)/25))/(LN(2)/25)*Calculateur!BL180*Calculateur!BN180*VLOOKUP('Données projet'!$B$11,Paramètres!$A$1:$I$89,3,0)*0.475*44/12</f>
        <v>0.29630983363206986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4.2013548551474784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472.45436307638545</v>
      </c>
      <c r="T181" s="62">
        <f t="shared" si="142"/>
        <v>300.53096194142108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3.6890200757724478E-2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3.6890200757724478E-2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2">
        <f t="shared" si="113"/>
        <v>287.1499280041196</v>
      </c>
      <c r="AN181" s="62">
        <f ca="1">AVERAGE(OFFSET($AM$3,0,0,'Données projet'!$E$10+1,1))-AVERAGE(OFFSET($H$3,0,0,'Données projet'!$E$10+1,1))</f>
        <v>451.73518123022563</v>
      </c>
      <c r="AO181" s="62">
        <f t="shared" si="144"/>
        <v>281.81514890308449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89.029256064672438</v>
      </c>
      <c r="BJ181" s="62">
        <f t="shared" si="146"/>
        <v>439.23889300132794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3.8284694704857669</v>
      </c>
      <c r="BQ181" s="23">
        <f>EXP(-LN(2)/25)*BQ180+(1-EXP(-LN(2)/25))/(LN(2)/25)*Calculateur!BL181*Calculateur!BN181*VLOOKUP('Données projet'!$B$11,Paramètres!$A$1:$I$89,3,0)*0.475*44/12</f>
        <v>0.28820722564914397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4.1166766961349106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472.45436307638545</v>
      </c>
      <c r="T182" s="62">
        <f t="shared" si="142"/>
        <v>300.53096194142108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3.5881436278033162E-2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3.5881436278033162E-2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2">
        <f t="shared" si="113"/>
        <v>287.25719626255812</v>
      </c>
      <c r="AN182" s="62">
        <f ca="1">AVERAGE(OFFSET($AM$3,0,0,'Données projet'!$E$10+1,1))-AVERAGE(OFFSET($H$3,0,0,'Données projet'!$E$10+1,1))</f>
        <v>451.73518123022563</v>
      </c>
      <c r="AO182" s="62">
        <f t="shared" si="144"/>
        <v>281.81514890308449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89.029256064672438</v>
      </c>
      <c r="BJ182" s="62">
        <f t="shared" si="146"/>
        <v>439.23889300132794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3.7533955193053425</v>
      </c>
      <c r="BQ182" s="23">
        <f>EXP(-LN(2)/25)*BQ181+(1-EXP(-LN(2)/25))/(LN(2)/25)*Calculateur!BL182*Calculateur!BN182*VLOOKUP('Données projet'!$B$11,Paramètres!$A$1:$I$89,3,0)*0.475*44/12</f>
        <v>0.28032618390760883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4.0337217032129518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472.45436307638545</v>
      </c>
      <c r="T183" s="62">
        <f t="shared" si="142"/>
        <v>300.53096194142108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3.4900256516087622E-2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3.4900256516087622E-2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2">
        <f t="shared" si="113"/>
        <v>287.36260365652873</v>
      </c>
      <c r="AN183" s="62">
        <f ca="1">AVERAGE(OFFSET($AM$3,0,0,'Données projet'!$E$10+1,1))-AVERAGE(OFFSET($H$3,0,0,'Données projet'!$E$10+1,1))</f>
        <v>451.73518123022563</v>
      </c>
      <c r="AO183" s="62">
        <f t="shared" si="144"/>
        <v>281.81514890308449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89.029256064672438</v>
      </c>
      <c r="BJ183" s="62">
        <f t="shared" si="146"/>
        <v>439.23889300132794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3.6797937225169774</v>
      </c>
      <c r="BQ183" s="23">
        <f>EXP(-LN(2)/25)*BQ182+(1-EXP(-LN(2)/25))/(LN(2)/25)*Calculateur!BL183*Calculateur!BN183*VLOOKUP('Données projet'!$B$11,Paramètres!$A$1:$I$89,3,0)*0.475*44/12</f>
        <v>0.27266064966694192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3.9524543721839196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472.45436307638545</v>
      </c>
      <c r="T184" s="62">
        <f t="shared" si="142"/>
        <v>300.53096194142108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3.3945907166330481E-2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3.3945907166330481E-2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2">
        <f t="shared" si="113"/>
        <v>287.46618246786954</v>
      </c>
      <c r="AN184" s="62">
        <f ca="1">AVERAGE(OFFSET($AM$3,0,0,'Données projet'!$E$10+1,1))-AVERAGE(OFFSET($H$3,0,0,'Données projet'!$E$10+1,1))</f>
        <v>451.73518123022563</v>
      </c>
      <c r="AO184" s="62">
        <f t="shared" si="144"/>
        <v>281.81514890308449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89.029256064672438</v>
      </c>
      <c r="BJ184" s="62">
        <f t="shared" si="146"/>
        <v>439.23889300132794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3.6076352120709689</v>
      </c>
      <c r="BQ184" s="23">
        <f>EXP(-LN(2)/25)*BQ183+(1-EXP(-LN(2)/25))/(LN(2)/25)*Calculateur!BL184*Calculateur!BN184*VLOOKUP('Données projet'!$B$11,Paramètres!$A$1:$I$89,3,0)*0.475*44/12</f>
        <v>0.26520472986319898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3.8728399419341679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472.45436307638545</v>
      </c>
      <c r="T185" s="62">
        <f t="shared" si="142"/>
        <v>300.53096194142108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3.3017654549729498E-2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3.3017654549729498E-2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2">
        <f t="shared" si="113"/>
        <v>287.56796441840112</v>
      </c>
      <c r="AN185" s="62">
        <f ca="1">AVERAGE(OFFSET($AM$3,0,0,'Données projet'!$E$10+1,1))-AVERAGE(OFFSET($H$3,0,0,'Données projet'!$E$10+1,1))</f>
        <v>451.73518123022563</v>
      </c>
      <c r="AO185" s="62">
        <f t="shared" si="144"/>
        <v>281.81514890308449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89.029256064672438</v>
      </c>
      <c r="BJ185" s="62">
        <f t="shared" si="146"/>
        <v>439.23889300132794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3.5368916860024613</v>
      </c>
      <c r="BQ185" s="23">
        <f>EXP(-LN(2)/25)*BQ184+(1-EXP(-LN(2)/25))/(LN(2)/25)*Calculateur!BL185*Calculateur!BN185*VLOOKUP('Données projet'!$B$11,Paramètres!$A$1:$I$89,3,0)*0.475*44/12</f>
        <v>0.25795269257857922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3.7948443785810406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472.45436307638545</v>
      </c>
      <c r="T186" s="62">
        <f t="shared" si="142"/>
        <v>300.53096194142108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3.2114785049744153E-2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3.2114785049744153E-2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2">
        <f t="shared" si="113"/>
        <v>287.66798067964135</v>
      </c>
      <c r="AN186" s="62">
        <f ca="1">AVERAGE(OFFSET($AM$3,0,0,'Données projet'!$E$10+1,1))-AVERAGE(OFFSET($H$3,0,0,'Données projet'!$E$10+1,1))</f>
        <v>451.73518123022563</v>
      </c>
      <c r="AO186" s="62">
        <f t="shared" si="144"/>
        <v>281.81514890308449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89.029256064672438</v>
      </c>
      <c r="BJ186" s="62">
        <f t="shared" si="146"/>
        <v>439.23889300132794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3.4675353973308667</v>
      </c>
      <c r="BQ186" s="23">
        <f>EXP(-LN(2)/25)*BQ185+(1-EXP(-LN(2)/25))/(LN(2)/25)*Calculateur!BL186*Calculateur!BN186*VLOOKUP('Données projet'!$B$11,Paramètres!$A$1:$I$89,3,0)*0.475*44/12</f>
        <v>0.25089896263487543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3.7184343599657419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472.45436307638545</v>
      </c>
      <c r="T187" s="62">
        <f t="shared" si="142"/>
        <v>300.53096194142108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3.1236604563715752E-2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3.1236604563715752E-2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2">
        <f t="shared" si="113"/>
        <v>287.76626188235184</v>
      </c>
      <c r="AN187" s="62">
        <f ca="1">AVERAGE(OFFSET($AM$3,0,0,'Données projet'!$E$10+1,1))-AVERAGE(OFFSET($H$3,0,0,'Données projet'!$E$10+1,1))</f>
        <v>451.73518123022563</v>
      </c>
      <c r="AO187" s="62">
        <f t="shared" si="144"/>
        <v>281.81514890308449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89.029256064672438</v>
      </c>
      <c r="BJ187" s="62">
        <f t="shared" si="146"/>
        <v>439.23889300132794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3.399539143176963</v>
      </c>
      <c r="BQ187" s="23">
        <f>EXP(-LN(2)/25)*BQ186+(1-EXP(-LN(2)/25))/(LN(2)/25)*Calculateur!BL187*Calculateur!BN187*VLOOKUP('Données projet'!$B$11,Paramètres!$A$1:$I$89,3,0)*0.475*44/12</f>
        <v>0.24403811730742175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3.6435772604843848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472.45436307638545</v>
      </c>
      <c r="T188" s="62">
        <f t="shared" si="142"/>
        <v>300.53096194142108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3.0382437969259303E-2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3.0382437969259303E-2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2">
        <f t="shared" si="113"/>
        <v>287.86283812591927</v>
      </c>
      <c r="AN188" s="62">
        <f ca="1">AVERAGE(OFFSET($AM$3,0,0,'Données projet'!$E$10+1,1))-AVERAGE(OFFSET($H$3,0,0,'Données projet'!$E$10+1,1))</f>
        <v>451.73518123022563</v>
      </c>
      <c r="AO188" s="62">
        <f t="shared" si="144"/>
        <v>281.81514890308449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89.029256064672438</v>
      </c>
      <c r="BJ188" s="62">
        <f t="shared" si="146"/>
        <v>439.23889300132794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3.3328762540933976</v>
      </c>
      <c r="BQ188" s="23">
        <f>EXP(-LN(2)/25)*BQ187+(1-EXP(-LN(2)/25))/(LN(2)/25)*Calculateur!BL188*Calculateur!BN188*VLOOKUP('Données projet'!$B$11,Paramètres!$A$1:$I$89,3,0)*0.475*44/12</f>
        <v>0.23736488215624346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3.5702411362496411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472.45436307638545</v>
      </c>
      <c r="T189" s="62">
        <f t="shared" si="142"/>
        <v>300.53096194142108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2.9551628605246936E-2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2.9551628605246936E-2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2">
        <f t="shared" si="113"/>
        <v>287.95773898757284</v>
      </c>
      <c r="AN189" s="62">
        <f ca="1">AVERAGE(OFFSET($AM$3,0,0,'Données projet'!$E$10+1,1))-AVERAGE(OFFSET($H$3,0,0,'Données projet'!$E$10+1,1))</f>
        <v>451.73518123022563</v>
      </c>
      <c r="AO189" s="62">
        <f t="shared" si="144"/>
        <v>281.81514890308449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89.029256064672438</v>
      </c>
      <c r="BJ189" s="62">
        <f t="shared" si="146"/>
        <v>439.23889300132794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3.2675205836044134</v>
      </c>
      <c r="BQ189" s="23">
        <f>EXP(-LN(2)/25)*BQ188+(1-EXP(-LN(2)/25))/(LN(2)/25)*Calculateur!BL189*Calculateur!BN189*VLOOKUP('Données projet'!$B$11,Paramètres!$A$1:$I$89,3,0)*0.475*44/12</f>
        <v>0.23087412697120432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3.4983947105756177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472.45436307638545</v>
      </c>
      <c r="T190" s="62">
        <f t="shared" si="142"/>
        <v>300.53096194142108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2.8743537766983851E-2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2.8743537766983851E-2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2">
        <f t="shared" si="113"/>
        <v>288.0509935314434</v>
      </c>
      <c r="AN190" s="62">
        <f ca="1">AVERAGE(OFFSET($AM$3,0,0,'Données projet'!$E$10+1,1))-AVERAGE(OFFSET($H$3,0,0,'Données projet'!$E$10+1,1))</f>
        <v>451.73518123022563</v>
      </c>
      <c r="AO190" s="62">
        <f t="shared" si="144"/>
        <v>281.81514890308449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89.029256064672438</v>
      </c>
      <c r="BJ190" s="62">
        <f t="shared" si="146"/>
        <v>439.23889300132794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3.2034464979506954</v>
      </c>
      <c r="BQ190" s="23">
        <f>EXP(-LN(2)/25)*BQ189+(1-EXP(-LN(2)/25))/(LN(2)/25)*Calculateur!BL190*Calculateur!BN190*VLOOKUP('Données projet'!$B$11,Paramètres!$A$1:$I$89,3,0)*0.475*44/12</f>
        <v>0.22456086182803409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3.4280073597787295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472.45436307638545</v>
      </c>
      <c r="T191" s="62">
        <f t="shared" si="142"/>
        <v>300.53096194142108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2.7957544215188722E-2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2.7957544215188722E-2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2">
        <f t="shared" si="113"/>
        <v>288.14263031746361</v>
      </c>
      <c r="AN191" s="62">
        <f ca="1">AVERAGE(OFFSET($AM$3,0,0,'Données projet'!$E$10+1,1))-AVERAGE(OFFSET($H$3,0,0,'Données projet'!$E$10+1,1))</f>
        <v>451.73518123022563</v>
      </c>
      <c r="AO191" s="62">
        <f t="shared" si="144"/>
        <v>281.81514890308449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89.029256064672438</v>
      </c>
      <c r="BJ191" s="62">
        <f t="shared" si="146"/>
        <v>439.23889300132794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3.1406288660353137</v>
      </c>
      <c r="BQ191" s="23">
        <f>EXP(-LN(2)/25)*BQ190+(1-EXP(-LN(2)/25))/(LN(2)/25)*Calculateur!BL191*Calculateur!BN191*VLOOKUP('Données projet'!$B$11,Paramètres!$A$1:$I$89,3,0)*0.475*44/12</f>
        <v>0.218420233252204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3.3590490992875175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472.45436307638545</v>
      </c>
      <c r="T192" s="62">
        <f t="shared" si="142"/>
        <v>300.53096194142108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2.7193043698401035E-2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2.7193043698401035E-2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2">
        <f t="shared" si="113"/>
        <v>288.23267741011557</v>
      </c>
      <c r="AN192" s="62">
        <f ca="1">AVERAGE(OFFSET($AM$3,0,0,'Données projet'!$E$10+1,1))-AVERAGE(OFFSET($H$3,0,0,'Données projet'!$E$10+1,1))</f>
        <v>451.73518123022563</v>
      </c>
      <c r="AO192" s="62">
        <f t="shared" si="144"/>
        <v>281.81514890308449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89.029256064672438</v>
      </c>
      <c r="BJ192" s="62">
        <f t="shared" si="146"/>
        <v>439.23889300132794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3.0790430495668204</v>
      </c>
      <c r="BQ192" s="23">
        <f>EXP(-LN(2)/25)*BQ191+(1-EXP(-LN(2)/25))/(LN(2)/25)*Calculateur!BL192*Calculateur!BN192*VLOOKUP('Données projet'!$B$11,Paramètres!$A$1:$I$89,3,0)*0.475*44/12</f>
        <v>0.21244752048770163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3.2914905700545218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472.45436307638545</v>
      </c>
      <c r="T193" s="62">
        <f t="shared" si="142"/>
        <v>300.53096194142108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2.6449448488448241E-2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2.6449448488448241E-2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2">
        <f t="shared" si="113"/>
        <v>288.32116238702514</v>
      </c>
      <c r="AN193" s="62">
        <f ca="1">AVERAGE(OFFSET($AM$3,0,0,'Données projet'!$E$10+1,1))-AVERAGE(OFFSET($H$3,0,0,'Données projet'!$E$10+1,1))</f>
        <v>451.73518123022563</v>
      </c>
      <c r="AO193" s="62">
        <f t="shared" si="144"/>
        <v>281.81514890308449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89.029256064672438</v>
      </c>
      <c r="BJ193" s="62">
        <f t="shared" si="146"/>
        <v>439.23889300132794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3.018664893395635</v>
      </c>
      <c r="BQ193" s="23">
        <f>EXP(-LN(2)/25)*BQ192+(1-EXP(-LN(2)/25))/(LN(2)/25)*Calculateur!BL193*Calculateur!BN193*VLOOKUP('Données projet'!$B$11,Paramètres!$A$1:$I$89,3,0)*0.475*44/12</f>
        <v>0.20663813186783589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3.2253030252634711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472.45436307638545</v>
      </c>
      <c r="T194" s="62">
        <f t="shared" si="142"/>
        <v>300.53096194142108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2.5726186928615578E-2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2.5726186928615578E-2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2">
        <f t="shared" si="113"/>
        <v>288.40811234740812</v>
      </c>
      <c r="AN194" s="62">
        <f ca="1">AVERAGE(OFFSET($AM$3,0,0,'Données projet'!$E$10+1,1))-AVERAGE(OFFSET($H$3,0,0,'Données projet'!$E$10+1,1))</f>
        <v>451.73518123022563</v>
      </c>
      <c r="AO194" s="62">
        <f t="shared" si="144"/>
        <v>281.81514890308449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89.029256064672438</v>
      </c>
      <c r="BJ194" s="62">
        <f t="shared" si="146"/>
        <v>439.23889300132794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2.9594707160399278</v>
      </c>
      <c r="BQ194" s="23">
        <f>EXP(-LN(2)/25)*BQ193+(1-EXP(-LN(2)/25))/(LN(2)/25)*Calculateur!BL194*Calculateur!BN194*VLOOKUP('Données projet'!$B$11,Paramètres!$A$1:$I$89,3,0)*0.475*44/12</f>
        <v>0.20098760128528284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3.1604583173252108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472.45436307638545</v>
      </c>
      <c r="T195" s="62">
        <f t="shared" si="142"/>
        <v>300.53096194142108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2.5022702994171211E-2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2.5022702994171211E-2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2">
        <f t="shared" si="113"/>
        <v>288.49355392036944</v>
      </c>
      <c r="AN195" s="62">
        <f ca="1">AVERAGE(OFFSET($AM$3,0,0,'Données projet'!$E$10+1,1))-AVERAGE(OFFSET($H$3,0,0,'Données projet'!$E$10+1,1))</f>
        <v>451.73518123022563</v>
      </c>
      <c r="AO195" s="62">
        <f t="shared" si="144"/>
        <v>281.81514890308449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89.029256064672438</v>
      </c>
      <c r="BJ195" s="62">
        <f t="shared" si="146"/>
        <v>439.23889300132794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2.9014373003972831</v>
      </c>
      <c r="BQ195" s="23">
        <f>EXP(-LN(2)/25)*BQ194+(1-EXP(-LN(2)/25))/(LN(2)/25)*Calculateur!BL195*Calculateur!BN195*VLOOKUP('Données projet'!$B$11,Paramètres!$A$1:$I$89,3,0)*0.475*44/12</f>
        <v>0.19549158475865819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3.0969288851559411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472.45436307638545</v>
      </c>
      <c r="T196" s="62">
        <f t="shared" si="142"/>
        <v>300.53096194142108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2.4338455864908841E-2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2.4338455864908841E-2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2">
        <f t="shared" ref="AM196:AM203" si="193">AL196+(AD196+AE196)*44/12</f>
        <v>288.57751327305863</v>
      </c>
      <c r="AN196" s="62">
        <f ca="1">AVERAGE(OFFSET($AM$3,0,0,'Données projet'!$E$10+1,1))-AVERAGE(OFFSET($H$3,0,0,'Données projet'!$E$10+1,1))</f>
        <v>451.73518123022563</v>
      </c>
      <c r="AO196" s="62">
        <f t="shared" si="144"/>
        <v>281.81514890308449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89.029256064672438</v>
      </c>
      <c r="BJ196" s="62">
        <f t="shared" si="146"/>
        <v>439.23889300132794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2.844541884638502</v>
      </c>
      <c r="BQ196" s="23">
        <f>EXP(-LN(2)/25)*BQ195+(1-EXP(-LN(2)/25))/(LN(2)/25)*Calculateur!BL196*Calculateur!BN196*VLOOKUP('Données projet'!$B$11,Paramètres!$A$1:$I$89,3,0)*0.475*44/12</f>
        <v>0.19014585709297704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3.0346877417314788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472.45436307638545</v>
      </c>
      <c r="T197" s="62">
        <f t="shared" ref="T197:T203" si="204">$T$3</f>
        <v>300.53096194142108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2.367291950937914E-2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2.367291950937914E-2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2">
        <f t="shared" si="193"/>
        <v>288.66001611868364</v>
      </c>
      <c r="AN197" s="62">
        <f ca="1">AVERAGE(OFFSET($AM$3,0,0,'Données projet'!$E$10+1,1))-AVERAGE(OFFSET($H$3,0,0,'Données projet'!$E$10+1,1))</f>
        <v>451.73518123022563</v>
      </c>
      <c r="AO197" s="62">
        <f t="shared" ref="AO197:AO203" si="205">$AO$3</f>
        <v>281.81514890308449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89.029256064672438</v>
      </c>
      <c r="BJ197" s="62">
        <f t="shared" ref="BJ197:BJ203" si="206">$BJ$3</f>
        <v>439.23889300132794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2.7887621532799738</v>
      </c>
      <c r="BQ197" s="23">
        <f>EXP(-LN(2)/25)*BQ196+(1-EXP(-LN(2)/25))/(LN(2)/25)*Calculateur!BL197*Calculateur!BN197*VLOOKUP('Données projet'!$B$11,Paramètres!$A$1:$I$89,3,0)*0.475*44/12</f>
        <v>0.18494630863143355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2.9737084619114071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472.45436307638545</v>
      </c>
      <c r="T198" s="62">
        <f t="shared" si="204"/>
        <v>300.53096194142108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2.3025582280490436E-2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2.3025582280490436E-2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2">
        <f t="shared" si="193"/>
        <v>288.74108772438581</v>
      </c>
      <c r="AN198" s="62">
        <f ca="1">AVERAGE(OFFSET($AM$3,0,0,'Données projet'!$E$10+1,1))-AVERAGE(OFFSET($H$3,0,0,'Données projet'!$E$10+1,1))</f>
        <v>451.73518123022563</v>
      </c>
      <c r="AO198" s="62">
        <f t="shared" si="205"/>
        <v>281.81514890308449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89.029256064672438</v>
      </c>
      <c r="BJ198" s="62">
        <f t="shared" si="206"/>
        <v>439.23889300132794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2.7340762284311095</v>
      </c>
      <c r="BQ198" s="23">
        <f>EXP(-LN(2)/25)*BQ197+(1-EXP(-LN(2)/25))/(LN(2)/25)*Calculateur!BL198*Calculateur!BN198*VLOOKUP('Données projet'!$B$11,Paramètres!$A$1:$I$89,3,0)*0.475*44/12</f>
        <v>0.17988894209600334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2.913965170527113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472.45436307638545</v>
      </c>
      <c r="T199" s="62">
        <f t="shared" si="204"/>
        <v>300.53096194142108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2.2395946522167677E-2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2.2395946522167677E-2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2">
        <f t="shared" si="193"/>
        <v>288.82075291897797</v>
      </c>
      <c r="AN199" s="62">
        <f ca="1">AVERAGE(OFFSET($AM$3,0,0,'Données projet'!$E$10+1,1))-AVERAGE(OFFSET($H$3,0,0,'Données projet'!$E$10+1,1))</f>
        <v>451.73518123022563</v>
      </c>
      <c r="AO199" s="62">
        <f t="shared" si="205"/>
        <v>281.81514890308449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89.029256064672438</v>
      </c>
      <c r="BJ199" s="62">
        <f t="shared" si="206"/>
        <v>439.23889300132794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2.680462661213411</v>
      </c>
      <c r="BQ199" s="23">
        <f>EXP(-LN(2)/25)*BQ198+(1-EXP(-LN(2)/25))/(LN(2)/25)*Calculateur!BL199*Calculateur!BN199*VLOOKUP('Données projet'!$B$11,Paramètres!$A$1:$I$89,3,0)*0.475*44/12</f>
        <v>0.1749698695144398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2.855432530727851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472.45436307638545</v>
      </c>
      <c r="T200" s="62">
        <f t="shared" si="204"/>
        <v>300.53096194142108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2.1783528186767362E-2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2.1783528186767362E-2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2">
        <f t="shared" si="193"/>
        <v>288.89903610054864</v>
      </c>
      <c r="AN200" s="62">
        <f ca="1">AVERAGE(OFFSET($AM$3,0,0,'Données projet'!$E$10+1,1))-AVERAGE(OFFSET($H$3,0,0,'Données projet'!$E$10+1,1))</f>
        <v>451.73518123022563</v>
      </c>
      <c r="AO200" s="62">
        <f t="shared" si="205"/>
        <v>281.81514890308449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89.029256064672438</v>
      </c>
      <c r="BJ200" s="62">
        <f t="shared" si="206"/>
        <v>439.23889300132794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2.6279004233478043</v>
      </c>
      <c r="BQ200" s="23">
        <f>EXP(-LN(2)/25)*BQ199+(1-EXP(-LN(2)/25))/(LN(2)/25)*Calculateur!BL200*Calculateur!BN200*VLOOKUP('Données projet'!$B$11,Paramètres!$A$1:$I$89,3,0)*0.475*44/12</f>
        <v>0.1701853092313019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2.7980857325791062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472.45436307638545</v>
      </c>
      <c r="T201" s="62">
        <f t="shared" si="204"/>
        <v>300.53096194142108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2.1187856462954249E-2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2.1187856462954249E-2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2">
        <f t="shared" si="193"/>
        <v>288.97596124393408</v>
      </c>
      <c r="AN201" s="62">
        <f ca="1">AVERAGE(OFFSET($AM$3,0,0,'Données projet'!$E$10+1,1))-AVERAGE(OFFSET($H$3,0,0,'Données projet'!$E$10+1,1))</f>
        <v>451.73518123022563</v>
      </c>
      <c r="AO201" s="62">
        <f t="shared" si="205"/>
        <v>281.81514890308449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89.029256064672438</v>
      </c>
      <c r="BJ201" s="62">
        <f t="shared" si="206"/>
        <v>439.23889300132794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2.5763688989069427</v>
      </c>
      <c r="BQ201" s="23">
        <f>EXP(-LN(2)/25)*BQ200+(1-EXP(-LN(2)/25))/(LN(2)/25)*Calculateur!BL201*Calculateur!BN201*VLOOKUP('Données projet'!$B$11,Paramètres!$A$1:$I$89,3,0)*0.475*44/12</f>
        <v>0.16553158300071549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2.741900481907658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472.45436307638545</v>
      </c>
      <c r="T202" s="62">
        <f t="shared" si="204"/>
        <v>300.53096194142108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2.0608473413753818E-2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2.0608473413753818E-2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2">
        <f t="shared" si="193"/>
        <v>289.05155190806062</v>
      </c>
      <c r="AN202" s="62">
        <f ca="1">AVERAGE(OFFSET($AM$3,0,0,'Données projet'!$E$10+1,1))-AVERAGE(OFFSET($H$3,0,0,'Données projet'!$E$10+1,1))</f>
        <v>451.73518123022563</v>
      </c>
      <c r="AO202" s="62">
        <f t="shared" si="205"/>
        <v>281.81514890308449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89.029256064672438</v>
      </c>
      <c r="BJ202" s="62">
        <f t="shared" si="206"/>
        <v>439.23889300132794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2.52584787622924</v>
      </c>
      <c r="BQ202" s="23">
        <f>EXP(-LN(2)/25)*BQ201+(1-EXP(-LN(2)/25))/(LN(2)/25)*Calculateur!BL202*Calculateur!BN202*VLOOKUP('Données projet'!$B$11,Paramètres!$A$1:$I$89,3,0)*0.475*44/12</f>
        <v>0.16100511315863331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2.6868529893878734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472.45436307638545</v>
      </c>
      <c r="T203" s="62">
        <f t="shared" si="204"/>
        <v>300.53096194142108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2.0044933624502204E-2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2.0044933624502204E-2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2">
        <f t="shared" si="193"/>
        <v>289.12583124316001</v>
      </c>
      <c r="AN203" s="62">
        <f ca="1">AVERAGE(OFFSET($AM$3,0,0,'Données projet'!$E$10+1,1))-AVERAGE(OFFSET($H$3,0,0,'Données projet'!$E$10+1,1))</f>
        <v>451.73518123022563</v>
      </c>
      <c r="AO203" s="62">
        <f t="shared" si="205"/>
        <v>281.81514890308449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89.029256064672438</v>
      </c>
      <c r="BJ203" s="62">
        <f t="shared" si="206"/>
        <v>439.23889300132794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2.4763175399914661</v>
      </c>
      <c r="BQ203" s="23">
        <f>EXP(-LN(2)/25)*BQ202+(1-EXP(-LN(2)/25))/(LN(2)/25)*Calculateur!BL203*Calculateur!BN203*VLOOKUP('Données projet'!$B$11,Paramètres!$A$1:$I$89,3,0)*0.475*44/12</f>
        <v>0.15660241987241955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2.6329199598638855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1.4349116368410941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9" workbookViewId="0">
      <selection activeCell="C59" sqref="C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pédonculé</v>
      </c>
      <c r="B6" s="155">
        <f>'Données projet'!D9</f>
        <v>1.2096000000000002</v>
      </c>
      <c r="C6" s="156">
        <f ca="1">IF(OR('Données projet'!B9="",'Données projet'!C9="",'Données projet'!C9=0%),0,Calculateur!S3)</f>
        <v>472.45436307638545</v>
      </c>
      <c r="D6" s="156">
        <f>IF(OR('Données projet'!B9="",'Données projet'!C9="",'Données projet'!C9=0%),0,Calculateur!T3)</f>
        <v>300.53096194142108</v>
      </c>
      <c r="E6" s="156">
        <f ca="1">MIN(C6,D6)</f>
        <v>300.53096194142108</v>
      </c>
      <c r="F6" s="156">
        <f ca="1">E6*B6</f>
        <v>363.52225156434304</v>
      </c>
      <c r="G6" s="156">
        <f ca="1">F6*(100%-'Données projet'!$C$24)*(100%-'Données projet'!$C$25)*(100%-'Données projet'!$C$26)*(100%-'Données projet'!$C$27)</f>
        <v>327.17002640790872</v>
      </c>
      <c r="H6" s="157">
        <f>IF(OR('Données projet'!B9="",'Données projet'!C9="",'Données projet'!C9=0%),0,AVERAGE(Calculateur!$AC$3:$AC$33)*B6)</f>
        <v>8.715427154964546E-2</v>
      </c>
      <c r="I6" s="158">
        <f>H6*(100%-'Données projet'!$C$24)*(100%-'Données projet'!$C$25)*(100%-'Données projet'!$C$26)*(100%-'Données projet'!$C$27)</f>
        <v>7.8438844394680921E-2</v>
      </c>
      <c r="J6" s="159">
        <f>IF(OR('Données projet'!B9="",'Données projet'!C9="",'Données projet'!C9=0%),0,SUM(Calculateur!$V$3:$V$33)*VLOOKUP('Données projet'!$B$9,Paramètres!$A$1:$I$89,9,0)*B6)</f>
        <v>18.748800000000003</v>
      </c>
      <c r="K6" s="160">
        <f>J6*(100%-'Données projet'!$C$24)*(100%-'Données projet'!$C$25)*(100%-'Données projet'!$C$26)*(100%-'Données projet'!$C$27)</f>
        <v>16.873920000000002</v>
      </c>
      <c r="L6" s="161">
        <f ca="1">G6+I6+K6</f>
        <v>344.12238525230339</v>
      </c>
      <c r="M6" s="25">
        <f ca="1">L6/B6</f>
        <v>284.49271267551529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0.31360000000000005</v>
      </c>
      <c r="C7" s="156">
        <f ca="1">IF(OR('Données projet'!B10="",'Données projet'!C10="",'Données projet'!C10=0%),0,Calculateur!AN3)</f>
        <v>451.73518123022563</v>
      </c>
      <c r="D7" s="156">
        <f>IF(OR('Données projet'!B10="",'Données projet'!C10="",'Données projet'!C10=0%),0,Calculateur!AO3)</f>
        <v>281.81514890308449</v>
      </c>
      <c r="E7" s="156">
        <f t="shared" ref="E7:E15" ca="1" si="0">MIN(C7,D7)</f>
        <v>281.81514890308449</v>
      </c>
      <c r="F7" s="156">
        <f t="shared" ref="F7:F15" ca="1" si="1">E7*B7</f>
        <v>88.377230696007302</v>
      </c>
      <c r="G7" s="156">
        <f ca="1">F7*(100%-'Données projet'!$C$24)*(100%-'Données projet'!$C$25)*(100%-'Données projet'!$C$26)*(100%-'Données projet'!$C$27)</f>
        <v>79.539507626406575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2.2736000000000005</v>
      </c>
      <c r="K7" s="160">
        <f>J7*(100%-'Données projet'!$C$24)*(100%-'Données projet'!$C$25)*(100%-'Données projet'!$C$26)*(100%-'Données projet'!$C$27)</f>
        <v>2.0462400000000005</v>
      </c>
      <c r="L7" s="161">
        <f t="shared" ref="L7:L15" ca="1" si="2">G7+I7+K7</f>
        <v>81.585747626406572</v>
      </c>
      <c r="M7" s="25">
        <f ca="1">L7/B7</f>
        <v>260.15863401277602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2.9568000000000003</v>
      </c>
      <c r="C8" s="156">
        <f ca="1">IF(OR('Données projet'!B11="",'Données projet'!C11="",'Données projet'!C11=0%),0,Calculateur!BI3)</f>
        <v>89.029256064672438</v>
      </c>
      <c r="D8" s="156">
        <f>IF(OR('Données projet'!B11="",'Données projet'!C11="",'Données projet'!C11=0%),0,Calculateur!BJ3)</f>
        <v>439.23889300132794</v>
      </c>
      <c r="E8" s="156">
        <f t="shared" ca="1" si="0"/>
        <v>89.029256064672438</v>
      </c>
      <c r="F8" s="156">
        <f t="shared" ca="1" si="1"/>
        <v>263.24170433202352</v>
      </c>
      <c r="G8" s="156">
        <f ca="1">F8*(100%-'Données projet'!$C$24)*(100%-'Données projet'!$C$25)*(100%-'Données projet'!$C$26)*(100%-'Données projet'!$C$27)</f>
        <v>236.91753389882118</v>
      </c>
      <c r="H8" s="164">
        <f>IF(OR('Données projet'!B11="",'Données projet'!C11="",'Données projet'!C11=0%),0,AVERAGE(Calculateur!$BS$3:$BS$33)*B8)</f>
        <v>148.91729838391134</v>
      </c>
      <c r="I8" s="158">
        <f>H8*(100%-'Données projet'!$C$24)*(100%-'Données projet'!$C$25)*(100%-'Données projet'!$C$26)*(100%-'Données projet'!$C$27)</f>
        <v>134.0255685455202</v>
      </c>
      <c r="J8" s="159">
        <f>IF(OR('Données projet'!B11="",'Données projet'!C11="",'Données projet'!C11=0%),0,SUM(Calculateur!$BL$3:$BL$33)*VLOOKUP('Données projet'!$B$11,Paramètres!$A$1:$I$89,9,0)*B8)</f>
        <v>983.69779200000005</v>
      </c>
      <c r="K8" s="160">
        <f>J8*(100%-'Données projet'!$C$24)*(100%-'Données projet'!$C$25)*(100%-'Données projet'!$C$26)*(100%-'Données projet'!$C$27)</f>
        <v>885.32801280000001</v>
      </c>
      <c r="L8" s="161">
        <f t="shared" ca="1" si="2"/>
        <v>1256.2711152443414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715.14118659237386</v>
      </c>
      <c r="G16" s="175">
        <f t="shared" ca="1" si="3"/>
        <v>643.62706793313646</v>
      </c>
      <c r="H16" s="176">
        <f t="shared" si="3"/>
        <v>149.00445265546099</v>
      </c>
      <c r="I16" s="176">
        <f t="shared" si="3"/>
        <v>134.10400738991487</v>
      </c>
      <c r="J16" s="177">
        <f t="shared" si="3"/>
        <v>1004.720192</v>
      </c>
      <c r="K16" s="177">
        <f t="shared" si="3"/>
        <v>904.24817280000002</v>
      </c>
      <c r="L16" s="178">
        <f t="shared" ca="1" si="3"/>
        <v>1681.9792481230515</v>
      </c>
      <c r="M16" s="25">
        <f ca="1">L16/6.42</f>
        <v>261.99053709081801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0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902.103941500014</v>
      </c>
      <c r="U10" s="190">
        <f>'Données projet'!D9</f>
        <v>1.2096000000000002</v>
      </c>
      <c r="V10" s="189">
        <f>U10*T10</f>
        <v>1091.1849276384171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383.30712336231409</v>
      </c>
      <c r="U11" s="190">
        <f>'Données projet'!D10</f>
        <v>0.31360000000000005</v>
      </c>
      <c r="V11" s="189">
        <f t="shared" ref="V11" si="0">U11*T11</f>
        <v>120.20511388642171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7985.6795630618717</v>
      </c>
      <c r="U12" s="190">
        <f>'Données projet'!D11</f>
        <v>2.9568000000000003</v>
      </c>
      <c r="V12" s="189">
        <f t="shared" ref="V12:V19" si="1">U12*T12</f>
        <v>23612.057332061344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(7517+20739)/4.48</f>
        <v>6307.1428571428569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5538/4.48</f>
        <v>1236.1607142857142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-8732.0741575142965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-8732.0741575142965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15</v>
      </c>
      <c r="D32" s="194">
        <f t="shared" si="2"/>
        <v>420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50</v>
      </c>
      <c r="D72" s="191">
        <f t="shared" si="4"/>
        <v>900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50</v>
      </c>
      <c r="D73" s="191">
        <f t="shared" si="4"/>
        <v>14200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16</v>
      </c>
      <c r="B85" s="193">
        <f>'Données projet'!D88</f>
        <v>323</v>
      </c>
      <c r="C85" s="204">
        <v>50</v>
      </c>
      <c r="D85" s="191">
        <f>B85*C85</f>
        <v>16150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2025-05-06T08:15:23Z</dcterms:modified>
</cp:coreProperties>
</file>