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V_LES LEVES ET TOUMEYRAGUES (33) Chort Gérard\Dossier déposé le 25avril25\"/>
    </mc:Choice>
  </mc:AlternateContent>
  <xr:revisionPtr revIDLastSave="0" documentId="13_ncr:1_{12C0E9CA-94CA-46F2-8651-251826C2F2AF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EA161" i="2"/>
  <c r="ED160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Y161" i="2"/>
  <c r="EW162" i="2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Y171" i="2"/>
  <c r="EV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A185" i="2"/>
  <c r="EY184" i="2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Y189" i="2" s="1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A193" i="2" l="1"/>
  <c r="EY192" i="2"/>
  <c r="EX193" i="2"/>
  <c r="FQ193" i="2"/>
  <c r="EB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34" i="2" a="1"/>
  <c r="EI34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EI150" i="2" l="1" a="1"/>
  <c r="EI150" i="2" s="1"/>
  <c r="EI162" i="2" a="1"/>
  <c r="EI162" i="2" s="1"/>
  <c r="EI29" i="2" a="1"/>
  <c r="EI29" i="2" s="1"/>
  <c r="EI106" i="2" a="1"/>
  <c r="EI106" i="2" s="1"/>
  <c r="EI153" i="2" a="1"/>
  <c r="EI153" i="2" s="1"/>
  <c r="EY202" i="2"/>
  <c r="EI128" i="2" a="1"/>
  <c r="EI128" i="2" s="1"/>
  <c r="EI166" i="2" a="1"/>
  <c r="EI166" i="2" s="1"/>
  <c r="EI20" i="2" a="1"/>
  <c r="EI20" i="2" s="1"/>
  <c r="EI198" i="2" a="1"/>
  <c r="EI198" i="2" s="1"/>
  <c r="EI165" i="2" a="1"/>
  <c r="EI165" i="2" s="1"/>
  <c r="CS129" i="2" a="1"/>
  <c r="CS129" i="2" s="1"/>
  <c r="CS52" i="2" a="1"/>
  <c r="CS52" i="2" s="1"/>
  <c r="CS66" i="2" a="1"/>
  <c r="CS66" i="2" s="1"/>
  <c r="CS116" i="2" a="1"/>
  <c r="CS116" i="2" s="1"/>
  <c r="BX107" i="2" a="1"/>
  <c r="BX107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<sst xmlns="http://schemas.openxmlformats.org/spreadsheetml/2006/main" count="1174" uniqueCount="324">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</sst>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2.5418669877524631</c:v>
                </c:pt>
                <c:pt idx="2">
                  <c:v>2.9957270669243736</c:v>
                </c:pt>
                <c:pt idx="3">
                  <c:v>3.5309237289757314</c:v>
                </c:pt>
                <c:pt idx="4">
                  <c:v>4.1620838322130211</c:v>
                </c:pt>
                <c:pt idx="5">
                  <c:v>4.9064731144492493</c:v>
                </c:pt>
                <c:pt idx="6">
                  <c:v>5.7844737129845347</c:v>
                </c:pt>
                <c:pt idx="7">
                  <c:v>6.8201483342719778</c:v>
                </c:pt>
                <c:pt idx="8">
                  <c:v>8.0419068365778514</c:v>
                </c:pt>
                <c:pt idx="9">
                  <c:v>9.4832938632786998</c:v>
                </c:pt>
                <c:pt idx="10">
                  <c:v>11.183919563995628</c:v>
                </c:pt>
                <c:pt idx="11">
                  <c:v>13.190559461705492</c:v>
                </c:pt>
                <c:pt idx="12">
                  <c:v>15.558454280082193</c:v>
                </c:pt>
                <c:pt idx="13">
                  <c:v>18.352846171274901</c:v>
                </c:pt>
                <c:pt idx="14">
                  <c:v>21.650794439499833</c:v>
                </c:pt>
                <c:pt idx="15">
                  <c:v>25.543321728831604</c:v>
                </c:pt>
                <c:pt idx="16">
                  <c:v>30.137950957680886</c:v>
                </c:pt>
                <c:pt idx="17">
                  <c:v>35.561704301876368</c:v>
                </c:pt>
                <c:pt idx="18">
                  <c:v>41.964648565800914</c:v>
                </c:pt>
                <c:pt idx="19">
                  <c:v>49.524086706884191</c:v>
                </c:pt>
                <c:pt idx="20">
                  <c:v>58.44951353116938</c:v>
                </c:pt>
                <c:pt idx="21">
                  <c:v>68.988475175425933</c:v>
                </c:pt>
                <c:pt idx="22">
                  <c:v>81.433497548504832</c:v>
                </c:pt>
                <c:pt idx="23">
                  <c:v>96.130279148362561</c:v>
                </c:pt>
                <c:pt idx="24">
                  <c:v>113.48737946213917</c:v>
                </c:pt>
                <c:pt idx="25">
                  <c:v>133.9876765138882</c:v>
                </c:pt>
                <c:pt idx="26">
                  <c:v>132.14910489975807</c:v>
                </c:pt>
                <c:pt idx="27">
                  <c:v>145.00665050019282</c:v>
                </c:pt>
                <c:pt idx="28">
                  <c:v>157.83692263801234</c:v>
                </c:pt>
                <c:pt idx="29">
                  <c:v>170.6424524976421</c:v>
                </c:pt>
                <c:pt idx="30">
                  <c:v>183.42535972935536</c:v>
                </c:pt>
                <c:pt idx="31">
                  <c:v>159.30162093191652</c:v>
                </c:pt>
                <c:pt idx="32">
                  <c:v>173.56618479737253</c:v>
                </c:pt>
                <c:pt idx="33">
                  <c:v>187.80319453587131</c:v>
                </c:pt>
                <c:pt idx="34">
                  <c:v>202.01503419176592</c:v>
                </c:pt>
                <c:pt idx="35">
                  <c:v>216.20372460175972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239.07933751109377</c:v>
                </c:pt>
                <c:pt idx="40">
                  <c:v>254.30172220416441</c:v>
                </c:pt>
                <c:pt idx="41">
                  <c:v>231.45994723108012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292.27031736625912</c:v>
                </c:pt>
                <c:pt idx="46">
                  <c:v>269.50348353777451</c:v>
                </c:pt>
                <c:pt idx="47">
                  <c:v>284.68594869794055</c:v>
                </c:pt>
                <c:pt idx="48">
                  <c:v>299.85029171072807</c:v>
                </c:pt>
                <c:pt idx="49">
                  <c:v>314.99755813323162</c:v>
                </c:pt>
                <c:pt idx="50">
                  <c:v>330.12868474355969</c:v>
                </c:pt>
                <c:pt idx="51">
                  <c:v>306.7046832307131</c:v>
                </c:pt>
                <c:pt idx="52">
                  <c:v>321.12395650175091</c:v>
                </c:pt>
                <c:pt idx="53">
                  <c:v>335.52891035063624</c:v>
                </c:pt>
                <c:pt idx="54">
                  <c:v>349.9202461341838</c:v>
                </c:pt>
                <c:pt idx="55">
                  <c:v>364.29860280650684</c:v>
                </c:pt>
                <c:pt idx="56">
                  <c:v>339.84771077884716</c:v>
                </c:pt>
                <c:pt idx="57">
                  <c:v>353.1564863843555</c:v>
                </c:pt>
                <c:pt idx="58">
                  <c:v>366.45427364140329</c:v>
                </c:pt>
                <c:pt idx="59">
                  <c:v>379.74152749544282</c:v>
                </c:pt>
                <c:pt idx="60">
                  <c:v>393.01866845402566</c:v>
                </c:pt>
                <c:pt idx="61">
                  <c:v>368.2504543896228</c:v>
                </c:pt>
                <c:pt idx="62">
                  <c:v>381.17737444442355</c:v>
                </c:pt>
                <c:pt idx="63">
                  <c:v>394.09476222315919</c:v>
                </c:pt>
                <c:pt idx="64">
                  <c:v>407.00297420734074</c:v>
                </c:pt>
                <c:pt idx="65">
                  <c:v>419.90234242068601</c:v>
                </c:pt>
                <c:pt idx="66">
                  <c:v>394.45344597932944</c:v>
                </c:pt>
                <c:pt idx="67">
                  <c:v>406.64453366510543</c:v>
                </c:pt>
                <c:pt idx="68">
                  <c:v>418.82772515146917</c:v>
                </c:pt>
                <c:pt idx="69">
                  <c:v>431.00328251520676</c:v>
                </c:pt>
                <c:pt idx="70">
                  <c:v>443.17145181723475</c:v>
                </c:pt>
                <c:pt idx="71">
                  <c:v>417.03656422780801</c:v>
                </c:pt>
                <c:pt idx="72">
                  <c:v>428.49716193303931</c:v>
                </c:pt>
                <c:pt idx="73">
                  <c:v>439.95117154338482</c:v>
                </c:pt>
                <c:pt idx="74">
                  <c:v>451.39878877082128</c:v>
                </c:pt>
                <c:pt idx="75">
                  <c:v>462.84019859006776</c:v>
                </c:pt>
                <c:pt idx="76">
                  <c:v>436.01458640999044</c:v>
                </c:pt>
                <c:pt idx="77">
                  <c:v>446.74895314532608</c:v>
                </c:pt>
                <c:pt idx="78">
                  <c:v>457.47779928386632</c:v>
                </c:pt>
                <c:pt idx="79">
                  <c:v>468.2012725645348</c:v>
                </c:pt>
                <c:pt idx="80">
                  <c:v>478.91951340591214</c:v>
                </c:pt>
                <c:pt idx="81">
                  <c:v>451.39878877082128</c:v>
                </c:pt>
                <c:pt idx="82">
                  <c:v>461.41035575528031</c:v>
                </c:pt>
                <c:pt idx="83">
                  <c:v>471.4172880162883</c:v>
                </c:pt>
                <c:pt idx="84">
                  <c:v>481.41969782516463</c:v>
                </c:pt>
                <c:pt idx="85">
                  <c:v>491.41769240661694</c:v>
                </c:pt>
                <c:pt idx="86">
                  <c:v>463.55508464541521</c:v>
                </c:pt>
                <c:pt idx="87">
                  <c:v>473.20376115624708</c:v>
                </c:pt>
                <c:pt idx="88">
                  <c:v>482.84825064496823</c:v>
                </c:pt>
                <c:pt idx="89">
                  <c:v>492.48864855160696</c:v>
                </c:pt>
                <c:pt idx="90">
                  <c:v>502.12504627431434</c:v>
                </c:pt>
                <c:pt idx="91">
                  <c:v>473.56103853531039</c:v>
                </c:pt>
                <c:pt idx="92">
                  <c:v>482.49112087009513</c:v>
                </c:pt>
                <c:pt idx="93">
                  <c:v>491.41769240661671</c:v>
                </c:pt>
                <c:pt idx="94">
                  <c:v>500.34082592690089</c:v>
                </c:pt>
                <c:pt idx="95">
                  <c:v>509.26059140461666</c:v>
                </c:pt>
                <c:pt idx="96">
                  <c:v>480.34822409968478</c:v>
                </c:pt>
                <c:pt idx="97">
                  <c:v>488.91860200532369</c:v>
                </c:pt>
                <c:pt idx="98">
                  <c:v>497.48579293849389</c:v>
                </c:pt>
                <c:pt idx="99">
                  <c:v>506.04985953638601</c:v>
                </c:pt>
                <c:pt idx="100">
                  <c:v>514.61086214265583</c:v>
                </c:pt>
                <c:pt idx="101">
                  <c:v>484.99091160498864</c:v>
                </c:pt>
                <c:pt idx="102">
                  <c:v>492.84562295362861</c:v>
                </c:pt>
                <c:pt idx="103">
                  <c:v>500.69768075588399</c:v>
                </c:pt>
                <c:pt idx="104">
                  <c:v>508.54713250848926</c:v>
                </c:pt>
                <c:pt idx="105">
                  <c:v>516.39402412187007</c:v>
                </c:pt>
                <c:pt idx="106">
                  <c:v>488.2045264521239</c:v>
                </c:pt>
                <c:pt idx="107">
                  <c:v>495.70122118881324</c:v>
                </c:pt>
                <c:pt idx="108">
                  <c:v>503.19551404804815</c:v>
                </c:pt>
                <c:pt idx="109">
                  <c:v>510.68744586077702</c:v>
                </c:pt>
                <c:pt idx="110">
                  <c:v>518.17705616178989</c:v>
                </c:pt>
                <c:pt idx="111">
                  <c:v>491.06069603012867</c:v>
                </c:pt>
                <c:pt idx="112">
                  <c:v>497.84269099902531</c:v>
                </c:pt>
                <c:pt idx="113">
                  <c:v>504.62272948273659</c:v>
                </c:pt>
                <c:pt idx="114">
                  <c:v>511.40084148822439</c:v>
                </c:pt>
                <c:pt idx="115">
                  <c:v>518.17705616178989</c:v>
                </c:pt>
                <c:pt idx="116">
                  <c:v>492.48864855160696</c:v>
                </c:pt>
                <c:pt idx="117">
                  <c:v>498.91335268183752</c:v>
                </c:pt>
                <c:pt idx="118">
                  <c:v>505.3363051649614</c:v>
                </c:pt>
                <c:pt idx="119">
                  <c:v>511.75753141648687</c:v>
                </c:pt>
                <c:pt idx="120">
                  <c:v>518.17705616179012</c:v>
                </c:pt>
                <c:pt idx="121">
                  <c:v>2.6852334783173491E-12</c:v>
                </c:pt>
                <c:pt idx="122">
                  <c:v>2.6852334783173491E-12</c:v>
                </c:pt>
                <c:pt idx="123">
                  <c:v>2.6852334783173491E-12</c:v>
                </c:pt>
                <c:pt idx="124">
                  <c:v>2.6852334783173491E-12</c:v>
                </c:pt>
                <c:pt idx="125">
                  <c:v>2.6852334783173491E-12</c:v>
                </c:pt>
                <c:pt idx="126">
                  <c:v>2.6852334783173491E-12</c:v>
                </c:pt>
                <c:pt idx="127">
                  <c:v>2.6852334783173491E-12</c:v>
                </c:pt>
                <c:pt idx="128">
                  <c:v>2.6852334783173491E-12</c:v>
                </c:pt>
                <c:pt idx="129">
                  <c:v>2.6852334783173491E-12</c:v>
                </c:pt>
                <c:pt idx="130">
                  <c:v>2.6852334783173491E-12</c:v>
                </c:pt>
                <c:pt idx="131">
                  <c:v>2.6852334783173491E-12</c:v>
                </c:pt>
                <c:pt idx="132">
                  <c:v>2.6852334783173491E-12</c:v>
                </c:pt>
                <c:pt idx="133">
                  <c:v>2.6852334783173491E-12</c:v>
                </c:pt>
                <c:pt idx="134">
                  <c:v>2.6852334783173491E-12</c:v>
                </c:pt>
                <c:pt idx="135">
                  <c:v>2.6852334783173491E-12</c:v>
                </c:pt>
                <c:pt idx="136">
                  <c:v>2.6852334783173491E-12</c:v>
                </c:pt>
                <c:pt idx="137">
                  <c:v>2.6852334783173491E-12</c:v>
                </c:pt>
                <c:pt idx="138">
                  <c:v>2.6852334783173491E-12</c:v>
                </c:pt>
                <c:pt idx="139">
                  <c:v>2.6852334783173491E-12</c:v>
                </c:pt>
                <c:pt idx="140">
                  <c:v>2.6852334783173491E-12</c:v>
                </c:pt>
                <c:pt idx="141">
                  <c:v>2.6852334783173491E-12</c:v>
                </c:pt>
                <c:pt idx="142">
                  <c:v>2.6852334783173491E-12</c:v>
                </c:pt>
                <c:pt idx="143">
                  <c:v>2.6852334783173491E-12</c:v>
                </c:pt>
                <c:pt idx="144">
                  <c:v>2.6852334783173491E-12</c:v>
                </c:pt>
                <c:pt idx="145">
                  <c:v>2.6852334783173491E-12</c:v>
                </c:pt>
                <c:pt idx="146">
                  <c:v>2.6852334783173491E-12</c:v>
                </c:pt>
                <c:pt idx="147">
                  <c:v>2.6852334783173491E-12</c:v>
                </c:pt>
                <c:pt idx="148">
                  <c:v>2.6852334783173491E-12</c:v>
                </c:pt>
                <c:pt idx="149">
                  <c:v>2.6852334783173491E-12</c:v>
                </c:pt>
                <c:pt idx="150">
                  <c:v>2.6852334783173491E-12</c:v>
                </c:pt>
                <c:pt idx="151">
                  <c:v>2.6852334783173491E-12</c:v>
                </c:pt>
                <c:pt idx="152">
                  <c:v>2.6852334783173491E-12</c:v>
                </c:pt>
                <c:pt idx="153">
                  <c:v>2.6852334783173491E-12</c:v>
                </c:pt>
                <c:pt idx="154">
                  <c:v>2.6852334783173491E-12</c:v>
                </c:pt>
                <c:pt idx="155">
                  <c:v>2.6852334783173491E-12</c:v>
                </c:pt>
                <c:pt idx="156">
                  <c:v>2.6852334783173491E-12</c:v>
                </c:pt>
                <c:pt idx="157">
                  <c:v>2.6852334783173491E-12</c:v>
                </c:pt>
                <c:pt idx="158">
                  <c:v>2.6852334783173491E-12</c:v>
                </c:pt>
                <c:pt idx="159">
                  <c:v>2.6852334783173491E-12</c:v>
                </c:pt>
                <c:pt idx="160">
                  <c:v>2.6852334783173491E-12</c:v>
                </c:pt>
                <c:pt idx="161">
                  <c:v>2.6852334783173491E-12</c:v>
                </c:pt>
                <c:pt idx="162">
                  <c:v>2.6852334783173491E-12</c:v>
                </c:pt>
                <c:pt idx="163">
                  <c:v>2.6852334783173491E-12</c:v>
                </c:pt>
                <c:pt idx="164">
                  <c:v>2.6852334783173491E-12</c:v>
                </c:pt>
                <c:pt idx="165">
                  <c:v>2.6852334783173491E-12</c:v>
                </c:pt>
                <c:pt idx="166">
                  <c:v>2.6852334783173491E-12</c:v>
                </c:pt>
                <c:pt idx="167">
                  <c:v>2.6852334783173491E-12</c:v>
                </c:pt>
                <c:pt idx="168">
                  <c:v>2.6852334783173491E-12</c:v>
                </c:pt>
                <c:pt idx="169">
                  <c:v>2.6852334783173491E-12</c:v>
                </c:pt>
                <c:pt idx="170">
                  <c:v>2.6852334783173491E-12</c:v>
                </c:pt>
                <c:pt idx="171">
                  <c:v>2.6852334783173491E-12</c:v>
                </c:pt>
                <c:pt idx="172">
                  <c:v>2.6852334783173491E-12</c:v>
                </c:pt>
                <c:pt idx="173">
                  <c:v>2.6852334783173491E-12</c:v>
                </c:pt>
                <c:pt idx="174">
                  <c:v>2.6852334783173491E-12</c:v>
                </c:pt>
                <c:pt idx="175">
                  <c:v>2.6852334783173491E-12</c:v>
                </c:pt>
                <c:pt idx="176">
                  <c:v>2.6852334783173491E-12</c:v>
                </c:pt>
                <c:pt idx="177">
                  <c:v>2.6852334783173491E-12</c:v>
                </c:pt>
                <c:pt idx="178">
                  <c:v>2.6852334783173491E-12</c:v>
                </c:pt>
                <c:pt idx="179">
                  <c:v>2.6852334783173491E-12</c:v>
                </c:pt>
                <c:pt idx="180">
                  <c:v>2.6852334783173491E-12</c:v>
                </c:pt>
                <c:pt idx="181">
                  <c:v>2.6852334783173491E-12</c:v>
                </c:pt>
                <c:pt idx="182">
                  <c:v>2.6852334783173491E-12</c:v>
                </c:pt>
                <c:pt idx="183">
                  <c:v>2.6852334783173491E-12</c:v>
                </c:pt>
                <c:pt idx="184">
                  <c:v>2.6852334783173491E-12</c:v>
                </c:pt>
                <c:pt idx="185">
                  <c:v>2.6852334783173491E-12</c:v>
                </c:pt>
                <c:pt idx="186">
                  <c:v>2.6852334783173491E-12</c:v>
                </c:pt>
                <c:pt idx="187">
                  <c:v>2.6852334783173491E-12</c:v>
                </c:pt>
                <c:pt idx="188">
                  <c:v>2.6852334783173491E-12</c:v>
                </c:pt>
                <c:pt idx="189">
                  <c:v>2.6852334783173491E-12</c:v>
                </c:pt>
                <c:pt idx="190">
                  <c:v>2.6852334783173491E-12</c:v>
                </c:pt>
                <c:pt idx="191">
                  <c:v>2.6852334783173491E-12</c:v>
                </c:pt>
                <c:pt idx="192">
                  <c:v>2.6852334783173491E-12</c:v>
                </c:pt>
                <c:pt idx="193">
                  <c:v>2.6852334783173491E-12</c:v>
                </c:pt>
                <c:pt idx="194">
                  <c:v>2.6852334783173491E-12</c:v>
                </c:pt>
                <c:pt idx="195">
                  <c:v>2.6852334783173491E-12</c:v>
                </c:pt>
                <c:pt idx="196">
                  <c:v>2.6852334783173491E-12</c:v>
                </c:pt>
                <c:pt idx="197">
                  <c:v>2.6852334783173491E-12</c:v>
                </c:pt>
                <c:pt idx="198">
                  <c:v>2.6852334783173491E-12</c:v>
                </c:pt>
                <c:pt idx="199">
                  <c:v>2.6852334783173491E-12</c:v>
                </c:pt>
                <c:pt idx="200">
                  <c:v>2.6852334783173491E-12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230.78777111964931</c:v>
                </c:pt>
                <c:pt idx="22">
                  <c:v>260.10863290775887</c:v>
                </c:pt>
                <c:pt idx="23">
                  <c:v>289.35480857103522</c:v>
                </c:pt>
                <c:pt idx="24">
                  <c:v>318.53490425391578</c:v>
                </c:pt>
                <c:pt idx="25">
                  <c:v>347.65581965898065</c:v>
                </c:pt>
                <c:pt idx="26">
                  <c:v>278.11452603753787</c:v>
                </c:pt>
                <c:pt idx="27">
                  <c:v>305.82302433005219</c:v>
                </c:pt>
                <c:pt idx="28">
                  <c:v>333.47571872180367</c:v>
                </c:pt>
                <c:pt idx="29">
                  <c:v>361.07788328212001</c:v>
                </c:pt>
                <c:pt idx="30">
                  <c:v>388.63392005694885</c:v>
                </c:pt>
                <c:pt idx="31">
                  <c:v>318.90861058050916</c:v>
                </c:pt>
                <c:pt idx="32">
                  <c:v>344.29854381894557</c:v>
                </c:pt>
                <c:pt idx="33">
                  <c:v>369.64735159591186</c:v>
                </c:pt>
                <c:pt idx="34">
                  <c:v>394.95824817710309</c:v>
                </c:pt>
                <c:pt idx="35">
                  <c:v>420.23400244347675</c:v>
                </c:pt>
                <c:pt idx="36">
                  <c:v>351.75819111537254</c:v>
                </c:pt>
                <c:pt idx="37">
                  <c:v>374.48903994418214</c:v>
                </c:pt>
                <c:pt idx="38">
                  <c:v>397.18983794003793</c:v>
                </c:pt>
                <c:pt idx="39">
                  <c:v>419.86254283875792</c:v>
                </c:pt>
                <c:pt idx="40">
                  <c:v>442.50888381337427</c:v>
                </c:pt>
                <c:pt idx="41">
                  <c:v>379.70164117358576</c:v>
                </c:pt>
                <c:pt idx="42">
                  <c:v>400.53671385047045</c:v>
                </c:pt>
                <c:pt idx="43">
                  <c:v>421.34833884363485</c:v>
                </c:pt>
                <c:pt idx="44">
                  <c:v>442.1378364455864</c:v>
                </c:pt>
                <c:pt idx="45">
                  <c:v>462.90639273248456</c:v>
                </c:pt>
                <c:pt idx="46">
                  <c:v>404.9982744755884</c:v>
                </c:pt>
                <c:pt idx="47">
                  <c:v>423.20542522399978</c:v>
                </c:pt>
                <c:pt idx="48">
                  <c:v>441.39572167958931</c:v>
                </c:pt>
                <c:pt idx="49">
                  <c:v>459.56995582844655</c:v>
                </c:pt>
                <c:pt idx="50">
                  <c:v>477.72885193803205</c:v>
                </c:pt>
                <c:pt idx="51">
                  <c:v>425.06233617824205</c:v>
                </c:pt>
                <c:pt idx="52">
                  <c:v>441.02465426855321</c:v>
                </c:pt>
                <c:pt idx="53">
                  <c:v>456.97459194094722</c:v>
                </c:pt>
                <c:pt idx="54">
                  <c:v>472.9126420088009</c:v>
                </c:pt>
                <c:pt idx="55">
                  <c:v>488.83926137072308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86" sqref="C86:D8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14.29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0.18</v>
      </c>
      <c r="D9" s="36">
        <f t="shared" ref="D9:D18" si="0">C9*$C$5</f>
        <v>2.5721999999999996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0.26</v>
      </c>
      <c r="D10" s="36">
        <f t="shared" si="0"/>
        <v>3.7153999999999998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0.25</v>
      </c>
      <c r="D11" s="36">
        <f t="shared" si="0"/>
        <v>3.5724999999999998</v>
      </c>
      <c r="E11" s="37">
        <v>105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0.09</v>
      </c>
      <c r="D12" s="36">
        <f t="shared" si="0"/>
        <v>1.2860999999999998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11</v>
      </c>
      <c r="C13" s="35">
        <v>0.09</v>
      </c>
      <c r="D13" s="36">
        <f t="shared" si="0"/>
        <v>1.2860999999999998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12</v>
      </c>
      <c r="C14" s="35">
        <v>0.09</v>
      </c>
      <c r="D14" s="36">
        <f t="shared" si="0"/>
        <v>1.2860999999999998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13</v>
      </c>
      <c r="C15" s="35">
        <v>0.04</v>
      </c>
      <c r="D15" s="36">
        <f t="shared" si="0"/>
        <v>0.5716</v>
      </c>
      <c r="E15" s="37">
        <v>55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0.99999999999999989</v>
      </c>
      <c r="D19" s="41">
        <f>SUM(D9:D18)</f>
        <v>14.289999999999997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1">
        <v>106</v>
      </c>
      <c r="C36" s="61">
        <v>1</v>
      </c>
      <c r="D36" s="61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1">
        <v>176</v>
      </c>
      <c r="C37" s="61">
        <v>2</v>
      </c>
      <c r="D37" s="61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1">
        <v>232</v>
      </c>
      <c r="C38" s="61">
        <v>3</v>
      </c>
      <c r="D38" s="61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1">
        <v>309</v>
      </c>
      <c r="C39" s="61">
        <v>4</v>
      </c>
      <c r="D39" s="61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1"/>
      <c r="C40" s="61"/>
      <c r="D40" s="61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1"/>
      <c r="C41" s="61"/>
      <c r="D41" s="61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1"/>
      <c r="C42" s="61"/>
      <c r="D42" s="61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/>
      <c r="B43" s="61"/>
      <c r="C43" s="61"/>
      <c r="D43" s="61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/>
      <c r="B44" s="61"/>
      <c r="C44" s="61"/>
      <c r="D44" s="61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1">
        <v>106</v>
      </c>
      <c r="C62" s="61">
        <v>1</v>
      </c>
      <c r="D62" s="61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1">
        <v>176</v>
      </c>
      <c r="C63" s="61">
        <v>2</v>
      </c>
      <c r="D63" s="61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1">
        <v>232</v>
      </c>
      <c r="C64" s="61">
        <v>3</v>
      </c>
      <c r="D64" s="61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v>309</v>
      </c>
      <c r="C65" s="61">
        <v>4</v>
      </c>
      <c r="D65" s="61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1"/>
      <c r="C66" s="61"/>
      <c r="D66" s="61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1"/>
      <c r="C67" s="61"/>
      <c r="D67" s="61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1"/>
      <c r="C68" s="61"/>
      <c r="D68" s="61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30</v>
      </c>
      <c r="B88" s="61">
        <v>195</v>
      </c>
      <c r="C88" s="61">
        <v>1</v>
      </c>
      <c r="D88" s="61">
        <v>0</v>
      </c>
      <c r="E88" s="54"/>
      <c r="F88" s="54"/>
      <c r="G88" s="54"/>
      <c r="H88" s="91"/>
      <c r="I88" s="56">
        <f>IFERROR(B88/A88,"")</f>
        <v>6.5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35</v>
      </c>
      <c r="B89" s="61">
        <v>280</v>
      </c>
      <c r="C89" s="61">
        <v>2</v>
      </c>
      <c r="D89" s="61">
        <v>0</v>
      </c>
      <c r="E89" s="54"/>
      <c r="F89" s="54"/>
      <c r="G89" s="54"/>
      <c r="H89" s="91"/>
      <c r="I89" s="56">
        <f t="shared" ref="I89:I107" si="3">IF(A89&lt;&gt;0,(B89-(B88-D88))/(A89-A88),"")</f>
        <v>17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42</v>
      </c>
      <c r="B90" s="61">
        <v>417</v>
      </c>
      <c r="C90" s="61">
        <v>3</v>
      </c>
      <c r="D90" s="61">
        <v>182</v>
      </c>
      <c r="E90" s="91"/>
      <c r="F90" s="91"/>
      <c r="G90" s="91"/>
      <c r="H90" s="91"/>
      <c r="I90" s="56">
        <f t="shared" si="3"/>
        <v>19.571428571428573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43</v>
      </c>
      <c r="B91" s="61">
        <v>256</v>
      </c>
      <c r="C91" s="61">
        <v>4</v>
      </c>
      <c r="D91" s="61">
        <v>0</v>
      </c>
      <c r="E91" s="91"/>
      <c r="F91" s="91"/>
      <c r="G91" s="91"/>
      <c r="H91" s="91"/>
      <c r="I91" s="56">
        <f t="shared" si="3"/>
        <v>21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49</v>
      </c>
      <c r="B92" s="61">
        <v>361</v>
      </c>
      <c r="C92" s="61">
        <v>5</v>
      </c>
      <c r="D92" s="61">
        <v>100</v>
      </c>
      <c r="E92" s="91"/>
      <c r="F92" s="91"/>
      <c r="G92" s="91"/>
      <c r="H92" s="91"/>
      <c r="I92" s="56">
        <f t="shared" si="3"/>
        <v>17.5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1">
        <v>278</v>
      </c>
      <c r="C93" s="61">
        <v>6</v>
      </c>
      <c r="D93" s="61">
        <v>0</v>
      </c>
      <c r="E93" s="91"/>
      <c r="F93" s="91"/>
      <c r="G93" s="91"/>
      <c r="H93" s="91"/>
      <c r="I93" s="56">
        <f t="shared" si="3"/>
        <v>17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56</v>
      </c>
      <c r="B94" s="61">
        <v>380</v>
      </c>
      <c r="C94" s="61">
        <v>7</v>
      </c>
      <c r="D94" s="61">
        <v>79</v>
      </c>
      <c r="E94" s="91"/>
      <c r="F94" s="91"/>
      <c r="G94" s="91"/>
      <c r="H94" s="91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57</v>
      </c>
      <c r="B95" s="61">
        <v>316</v>
      </c>
      <c r="C95" s="61">
        <v>8</v>
      </c>
      <c r="D95" s="61">
        <v>0</v>
      </c>
      <c r="E95" s="91"/>
      <c r="F95" s="91"/>
      <c r="G95" s="91"/>
      <c r="H95" s="91"/>
      <c r="I95" s="56">
        <f t="shared" si="3"/>
        <v>15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63</v>
      </c>
      <c r="B96" s="61">
        <v>416</v>
      </c>
      <c r="C96" s="61">
        <v>9</v>
      </c>
      <c r="D96" s="61">
        <v>79</v>
      </c>
      <c r="E96" s="91"/>
      <c r="F96" s="91"/>
      <c r="G96" s="91"/>
      <c r="H96" s="91"/>
      <c r="I96" s="56">
        <f t="shared" si="3"/>
        <v>16.666666666666668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64</v>
      </c>
      <c r="B97" s="61">
        <v>353</v>
      </c>
      <c r="C97" s="61">
        <v>10</v>
      </c>
      <c r="D97" s="61">
        <v>0</v>
      </c>
      <c r="E97" s="91"/>
      <c r="F97" s="91"/>
      <c r="G97" s="91"/>
      <c r="H97" s="91"/>
      <c r="I97" s="56">
        <f t="shared" si="3"/>
        <v>16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71</v>
      </c>
      <c r="B98" s="61">
        <v>466</v>
      </c>
      <c r="C98" s="61">
        <v>11</v>
      </c>
      <c r="D98" s="61">
        <v>91</v>
      </c>
      <c r="E98" s="91"/>
      <c r="F98" s="91"/>
      <c r="G98" s="91"/>
      <c r="H98" s="91"/>
      <c r="I98" s="56">
        <f t="shared" si="3"/>
        <v>16.142857142857142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72</v>
      </c>
      <c r="B99" s="61">
        <v>390</v>
      </c>
      <c r="C99" s="61">
        <v>12</v>
      </c>
      <c r="D99" s="61">
        <v>0</v>
      </c>
      <c r="E99" s="91"/>
      <c r="F99" s="91"/>
      <c r="G99" s="91"/>
      <c r="H99" s="91"/>
      <c r="I99" s="56">
        <f t="shared" si="3"/>
        <v>15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79</v>
      </c>
      <c r="B100" s="61">
        <v>496</v>
      </c>
      <c r="C100" s="61">
        <v>13</v>
      </c>
      <c r="D100" s="61">
        <v>88</v>
      </c>
      <c r="E100" s="66"/>
      <c r="F100" s="66"/>
      <c r="G100" s="66"/>
      <c r="H100" s="66"/>
      <c r="I100" s="56">
        <f t="shared" si="3"/>
        <v>15.142857142857142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80</v>
      </c>
      <c r="B101" s="61">
        <v>423</v>
      </c>
      <c r="C101" s="61">
        <v>14</v>
      </c>
      <c r="D101" s="61">
        <v>0</v>
      </c>
      <c r="E101" s="66"/>
      <c r="F101" s="66"/>
      <c r="G101" s="66"/>
      <c r="H101" s="66"/>
      <c r="I101" s="56">
        <f t="shared" si="3"/>
        <v>15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>
        <v>87</v>
      </c>
      <c r="B102" s="53">
        <v>522</v>
      </c>
      <c r="C102" s="61">
        <v>15</v>
      </c>
      <c r="D102" s="53">
        <v>89</v>
      </c>
      <c r="E102" s="57"/>
      <c r="F102" s="57"/>
      <c r="G102" s="57"/>
      <c r="H102" s="57"/>
      <c r="I102" s="56">
        <f t="shared" si="3"/>
        <v>14.142857142857142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>
        <v>88</v>
      </c>
      <c r="B103" s="53">
        <v>447</v>
      </c>
      <c r="C103" s="61">
        <v>16</v>
      </c>
      <c r="D103" s="53">
        <v>0</v>
      </c>
      <c r="E103" s="57"/>
      <c r="F103" s="57"/>
      <c r="G103" s="57"/>
      <c r="H103" s="57"/>
      <c r="I103" s="56">
        <f t="shared" si="3"/>
        <v>14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>
        <v>94</v>
      </c>
      <c r="B104" s="53">
        <v>525</v>
      </c>
      <c r="C104" s="61">
        <v>17</v>
      </c>
      <c r="D104" s="53">
        <v>0</v>
      </c>
      <c r="E104" s="57"/>
      <c r="F104" s="57"/>
      <c r="G104" s="57"/>
      <c r="H104" s="57"/>
      <c r="I104" s="56">
        <f t="shared" si="3"/>
        <v>13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95</v>
      </c>
      <c r="B105" s="53">
        <v>538</v>
      </c>
      <c r="C105" s="53">
        <v>18</v>
      </c>
      <c r="D105" s="53">
        <v>269</v>
      </c>
      <c r="E105" s="57"/>
      <c r="F105" s="57"/>
      <c r="G105" s="57"/>
      <c r="H105" s="57"/>
      <c r="I105" s="56">
        <f t="shared" si="3"/>
        <v>13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96</v>
      </c>
      <c r="B106" s="53">
        <v>280</v>
      </c>
      <c r="C106" s="53">
        <v>19</v>
      </c>
      <c r="D106" s="53">
        <v>0</v>
      </c>
      <c r="E106" s="57"/>
      <c r="F106" s="57"/>
      <c r="G106" s="57"/>
      <c r="H106" s="57"/>
      <c r="I106" s="56">
        <f t="shared" si="3"/>
        <v>11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105</v>
      </c>
      <c r="B107" s="53">
        <v>357</v>
      </c>
      <c r="C107" s="53">
        <v>20</v>
      </c>
      <c r="D107" s="53">
        <v>357</v>
      </c>
      <c r="E107" s="57"/>
      <c r="F107" s="57"/>
      <c r="G107" s="57"/>
      <c r="H107" s="57"/>
      <c r="I107" s="56">
        <f t="shared" si="3"/>
        <v>8.5555555555555554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1">
        <v>71</v>
      </c>
      <c r="C114" s="53">
        <v>1</v>
      </c>
      <c r="D114" s="61">
        <v>8</v>
      </c>
      <c r="E114" s="54"/>
      <c r="F114" s="54"/>
      <c r="G114" s="54"/>
      <c r="H114" s="54">
        <v>1</v>
      </c>
      <c r="I114" s="56">
        <f>IFERROR(B114/A114,"")</f>
        <v>2.84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1">
        <v>98</v>
      </c>
      <c r="C115" s="53">
        <v>2</v>
      </c>
      <c r="D115" s="61">
        <v>21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1">
        <v>116</v>
      </c>
      <c r="C116" s="53">
        <v>3</v>
      </c>
      <c r="D116" s="61">
        <v>21</v>
      </c>
      <c r="E116" s="54"/>
      <c r="F116" s="54"/>
      <c r="G116" s="54"/>
      <c r="H116" s="54"/>
      <c r="I116" s="56">
        <f t="shared" si="4"/>
        <v>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1">
        <v>137</v>
      </c>
      <c r="C117" s="53">
        <v>4</v>
      </c>
      <c r="D117" s="61">
        <v>21</v>
      </c>
      <c r="E117" s="54"/>
      <c r="F117" s="54"/>
      <c r="G117" s="54"/>
      <c r="H117" s="54"/>
      <c r="I117" s="56">
        <f t="shared" si="4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1">
        <v>158</v>
      </c>
      <c r="C118" s="53">
        <v>5</v>
      </c>
      <c r="D118" s="61">
        <v>21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1">
        <v>179</v>
      </c>
      <c r="C119" s="53">
        <v>6</v>
      </c>
      <c r="D119" s="61">
        <v>21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1">
        <v>55</v>
      </c>
      <c r="B120" s="61">
        <v>198</v>
      </c>
      <c r="C120" s="61">
        <v>7</v>
      </c>
      <c r="D120" s="61">
        <v>21</v>
      </c>
      <c r="E120" s="91"/>
      <c r="F120" s="91"/>
      <c r="G120" s="91"/>
      <c r="H120" s="91"/>
      <c r="I120" s="56">
        <f t="shared" si="4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1">
        <v>60</v>
      </c>
      <c r="B121" s="61">
        <v>214</v>
      </c>
      <c r="C121" s="61">
        <v>8</v>
      </c>
      <c r="D121" s="61">
        <v>21</v>
      </c>
      <c r="E121" s="91"/>
      <c r="F121" s="91"/>
      <c r="G121" s="91"/>
      <c r="H121" s="91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1">
        <v>65</v>
      </c>
      <c r="B122" s="61">
        <v>229</v>
      </c>
      <c r="C122" s="61">
        <v>9</v>
      </c>
      <c r="D122" s="61">
        <v>21</v>
      </c>
      <c r="E122" s="91"/>
      <c r="F122" s="91"/>
      <c r="G122" s="91"/>
      <c r="H122" s="91"/>
      <c r="I122" s="56">
        <f t="shared" si="4"/>
        <v>7.2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1">
        <v>70</v>
      </c>
      <c r="B123" s="61">
        <v>242</v>
      </c>
      <c r="C123" s="61">
        <v>10</v>
      </c>
      <c r="D123" s="61">
        <v>21</v>
      </c>
      <c r="E123" s="91"/>
      <c r="F123" s="91"/>
      <c r="G123" s="91"/>
      <c r="H123" s="91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1">
        <v>75</v>
      </c>
      <c r="B124" s="61">
        <v>253</v>
      </c>
      <c r="C124" s="61">
        <v>11</v>
      </c>
      <c r="D124" s="61">
        <v>21</v>
      </c>
      <c r="E124" s="91"/>
      <c r="F124" s="91"/>
      <c r="G124" s="91"/>
      <c r="H124" s="91"/>
      <c r="I124" s="56">
        <f t="shared" si="4"/>
        <v>6.4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>
        <v>80</v>
      </c>
      <c r="B125" s="61">
        <v>262</v>
      </c>
      <c r="C125" s="61">
        <v>12</v>
      </c>
      <c r="D125" s="61">
        <v>21</v>
      </c>
      <c r="E125" s="91"/>
      <c r="F125" s="91"/>
      <c r="G125" s="91"/>
      <c r="H125" s="91"/>
      <c r="I125" s="56">
        <f t="shared" si="4"/>
        <v>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>
        <v>85</v>
      </c>
      <c r="B126" s="61">
        <v>269</v>
      </c>
      <c r="C126" s="61">
        <v>13</v>
      </c>
      <c r="D126" s="61">
        <v>21</v>
      </c>
      <c r="E126" s="66"/>
      <c r="F126" s="66"/>
      <c r="G126" s="66"/>
      <c r="H126" s="66"/>
      <c r="I126" s="56">
        <f t="shared" si="4"/>
        <v>5.6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>
        <v>90</v>
      </c>
      <c r="B127" s="61">
        <v>275</v>
      </c>
      <c r="C127" s="61">
        <v>14</v>
      </c>
      <c r="D127" s="61">
        <v>21</v>
      </c>
      <c r="E127" s="66"/>
      <c r="F127" s="66"/>
      <c r="G127" s="66"/>
      <c r="H127" s="66"/>
      <c r="I127" s="56">
        <f t="shared" si="4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279</v>
      </c>
      <c r="C128" s="53">
        <v>15</v>
      </c>
      <c r="D128" s="53">
        <v>21</v>
      </c>
      <c r="E128" s="57"/>
      <c r="F128" s="57"/>
      <c r="G128" s="57"/>
      <c r="H128" s="57"/>
      <c r="I128" s="56">
        <f t="shared" si="4"/>
        <v>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282</v>
      </c>
      <c r="C129" s="53">
        <v>16</v>
      </c>
      <c r="D129" s="53">
        <v>21</v>
      </c>
      <c r="E129" s="57"/>
      <c r="F129" s="57"/>
      <c r="G129" s="57"/>
      <c r="H129" s="57"/>
      <c r="I129" s="56">
        <f t="shared" si="4"/>
        <v>4.8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283</v>
      </c>
      <c r="C130" s="53">
        <v>17</v>
      </c>
      <c r="D130" s="53">
        <v>20</v>
      </c>
      <c r="E130" s="57"/>
      <c r="F130" s="57"/>
      <c r="G130" s="57"/>
      <c r="H130" s="57"/>
      <c r="I130" s="56">
        <f t="shared" si="4"/>
        <v>4.4000000000000004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284</v>
      </c>
      <c r="C131" s="53">
        <v>18</v>
      </c>
      <c r="D131" s="53">
        <v>19</v>
      </c>
      <c r="E131" s="57"/>
      <c r="F131" s="57"/>
      <c r="G131" s="57"/>
      <c r="H131" s="57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284</v>
      </c>
      <c r="C132" s="53">
        <v>19</v>
      </c>
      <c r="D132" s="53">
        <v>18</v>
      </c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284</v>
      </c>
      <c r="C133" s="53">
        <v>20</v>
      </c>
      <c r="D133" s="53">
        <v>284</v>
      </c>
      <c r="E133" s="57"/>
      <c r="F133" s="57"/>
      <c r="G133" s="57"/>
      <c r="H133" s="57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pédonculé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1">
        <v>71</v>
      </c>
      <c r="C140" s="53">
        <v>1</v>
      </c>
      <c r="D140" s="61">
        <v>8</v>
      </c>
      <c r="E140" s="54"/>
      <c r="F140" s="54"/>
      <c r="G140" s="54"/>
      <c r="H140" s="54">
        <v>1</v>
      </c>
      <c r="I140" s="59">
        <f>IFERROR(B140/A140,"")</f>
        <v>2.84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1">
        <v>98</v>
      </c>
      <c r="C141" s="53">
        <v>2</v>
      </c>
      <c r="D141" s="61">
        <v>21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1">
        <v>116</v>
      </c>
      <c r="C142" s="53">
        <v>3</v>
      </c>
      <c r="D142" s="61">
        <v>21</v>
      </c>
      <c r="E142" s="54"/>
      <c r="F142" s="54"/>
      <c r="G142" s="54"/>
      <c r="H142" s="54"/>
      <c r="I142" s="59">
        <f t="shared" si="5"/>
        <v>7.8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1">
        <v>137</v>
      </c>
      <c r="C143" s="53">
        <v>4</v>
      </c>
      <c r="D143" s="61">
        <v>21</v>
      </c>
      <c r="E143" s="54"/>
      <c r="F143" s="54"/>
      <c r="G143" s="54"/>
      <c r="H143" s="54"/>
      <c r="I143" s="59">
        <f t="shared" si="5"/>
        <v>8.4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1">
        <v>158</v>
      </c>
      <c r="C144" s="53">
        <v>5</v>
      </c>
      <c r="D144" s="61">
        <v>21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1">
        <v>179</v>
      </c>
      <c r="C145" s="53">
        <v>6</v>
      </c>
      <c r="D145" s="61">
        <v>21</v>
      </c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1">
        <v>55</v>
      </c>
      <c r="B146" s="61">
        <v>198</v>
      </c>
      <c r="C146" s="61">
        <v>7</v>
      </c>
      <c r="D146" s="61">
        <v>21</v>
      </c>
      <c r="E146" s="91"/>
      <c r="F146" s="91"/>
      <c r="G146" s="91"/>
      <c r="H146" s="91"/>
      <c r="I146" s="59">
        <f t="shared" si="5"/>
        <v>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1">
        <v>60</v>
      </c>
      <c r="B147" s="61">
        <v>214</v>
      </c>
      <c r="C147" s="61">
        <v>8</v>
      </c>
      <c r="D147" s="61">
        <v>21</v>
      </c>
      <c r="E147" s="91"/>
      <c r="F147" s="91"/>
      <c r="G147" s="91"/>
      <c r="H147" s="91"/>
      <c r="I147" s="59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1">
        <v>65</v>
      </c>
      <c r="B148" s="61">
        <v>229</v>
      </c>
      <c r="C148" s="61">
        <v>9</v>
      </c>
      <c r="D148" s="61">
        <v>21</v>
      </c>
      <c r="E148" s="91"/>
      <c r="F148" s="91"/>
      <c r="G148" s="91"/>
      <c r="H148" s="91"/>
      <c r="I148" s="59">
        <f t="shared" si="5"/>
        <v>7.2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1">
        <v>70</v>
      </c>
      <c r="B149" s="61">
        <v>242</v>
      </c>
      <c r="C149" s="61">
        <v>10</v>
      </c>
      <c r="D149" s="61">
        <v>21</v>
      </c>
      <c r="E149" s="91"/>
      <c r="F149" s="91"/>
      <c r="G149" s="91"/>
      <c r="H149" s="91"/>
      <c r="I149" s="59">
        <f t="shared" si="5"/>
        <v>6.8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1">
        <v>75</v>
      </c>
      <c r="B150" s="61">
        <v>253</v>
      </c>
      <c r="C150" s="61">
        <v>11</v>
      </c>
      <c r="D150" s="61">
        <v>21</v>
      </c>
      <c r="E150" s="91"/>
      <c r="F150" s="91"/>
      <c r="G150" s="91"/>
      <c r="H150" s="91"/>
      <c r="I150" s="59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1">
        <v>80</v>
      </c>
      <c r="B151" s="61">
        <v>262</v>
      </c>
      <c r="C151" s="61">
        <v>12</v>
      </c>
      <c r="D151" s="61">
        <v>21</v>
      </c>
      <c r="E151" s="91"/>
      <c r="F151" s="91"/>
      <c r="G151" s="91"/>
      <c r="H151" s="91"/>
      <c r="I151" s="59">
        <f t="shared" si="5"/>
        <v>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1">
        <v>85</v>
      </c>
      <c r="B152" s="61">
        <v>269</v>
      </c>
      <c r="C152" s="61">
        <v>13</v>
      </c>
      <c r="D152" s="61">
        <v>21</v>
      </c>
      <c r="E152" s="66"/>
      <c r="F152" s="66"/>
      <c r="G152" s="66"/>
      <c r="H152" s="66"/>
      <c r="I152" s="59">
        <f t="shared" si="5"/>
        <v>5.6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1">
        <v>90</v>
      </c>
      <c r="B153" s="61">
        <v>275</v>
      </c>
      <c r="C153" s="61">
        <v>14</v>
      </c>
      <c r="D153" s="61">
        <v>21</v>
      </c>
      <c r="E153" s="66"/>
      <c r="F153" s="66"/>
      <c r="G153" s="66"/>
      <c r="H153" s="66"/>
      <c r="I153" s="59">
        <f t="shared" si="5"/>
        <v>5.4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95</v>
      </c>
      <c r="B154" s="53">
        <v>279</v>
      </c>
      <c r="C154" s="53">
        <v>15</v>
      </c>
      <c r="D154" s="53">
        <v>21</v>
      </c>
      <c r="E154" s="57"/>
      <c r="F154" s="57"/>
      <c r="G154" s="57"/>
      <c r="H154" s="57"/>
      <c r="I154" s="59">
        <f t="shared" si="5"/>
        <v>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100</v>
      </c>
      <c r="B155" s="53">
        <v>282</v>
      </c>
      <c r="C155" s="53">
        <v>16</v>
      </c>
      <c r="D155" s="53">
        <v>21</v>
      </c>
      <c r="E155" s="57"/>
      <c r="F155" s="57"/>
      <c r="G155" s="57"/>
      <c r="H155" s="57"/>
      <c r="I155" s="59">
        <f t="shared" si="5"/>
        <v>4.8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105</v>
      </c>
      <c r="B156" s="53">
        <v>283</v>
      </c>
      <c r="C156" s="53">
        <v>17</v>
      </c>
      <c r="D156" s="53">
        <v>20</v>
      </c>
      <c r="E156" s="57"/>
      <c r="F156" s="57"/>
      <c r="G156" s="57"/>
      <c r="H156" s="57"/>
      <c r="I156" s="59">
        <f t="shared" si="5"/>
        <v>4.4000000000000004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110</v>
      </c>
      <c r="B157" s="53">
        <v>284</v>
      </c>
      <c r="C157" s="53">
        <v>18</v>
      </c>
      <c r="D157" s="53">
        <v>19</v>
      </c>
      <c r="E157" s="57"/>
      <c r="F157" s="57"/>
      <c r="G157" s="57"/>
      <c r="H157" s="57"/>
      <c r="I157" s="59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115</v>
      </c>
      <c r="B158" s="53">
        <v>284</v>
      </c>
      <c r="C158" s="53">
        <v>19</v>
      </c>
      <c r="D158" s="53">
        <v>18</v>
      </c>
      <c r="E158" s="57"/>
      <c r="F158" s="57"/>
      <c r="G158" s="57"/>
      <c r="H158" s="57"/>
      <c r="I158" s="59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120</v>
      </c>
      <c r="B159" s="53">
        <v>284</v>
      </c>
      <c r="C159" s="53">
        <v>20</v>
      </c>
      <c r="D159" s="53">
        <v>284</v>
      </c>
      <c r="E159" s="57"/>
      <c r="F159" s="57"/>
      <c r="G159" s="57"/>
      <c r="H159" s="57"/>
      <c r="I159" s="59">
        <f t="shared" si="5"/>
        <v>3.6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Chêne pubescent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1">
        <v>71</v>
      </c>
      <c r="C166" s="53">
        <v>1</v>
      </c>
      <c r="D166" s="61">
        <v>8</v>
      </c>
      <c r="E166" s="54"/>
      <c r="F166" s="54"/>
      <c r="G166" s="54"/>
      <c r="H166" s="54">
        <v>1</v>
      </c>
      <c r="I166" s="52">
        <f>IFERROR(B166/A166,"")</f>
        <v>2.84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1">
        <v>98</v>
      </c>
      <c r="C167" s="53">
        <v>2</v>
      </c>
      <c r="D167" s="61">
        <v>21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1">
        <v>116</v>
      </c>
      <c r="C168" s="53">
        <v>3</v>
      </c>
      <c r="D168" s="61">
        <v>21</v>
      </c>
      <c r="E168" s="54"/>
      <c r="F168" s="54"/>
      <c r="G168" s="54"/>
      <c r="H168" s="54"/>
      <c r="I168" s="52">
        <f t="shared" si="6"/>
        <v>7.8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1">
        <v>137</v>
      </c>
      <c r="C169" s="53">
        <v>4</v>
      </c>
      <c r="D169" s="61">
        <v>21</v>
      </c>
      <c r="E169" s="54"/>
      <c r="F169" s="54"/>
      <c r="G169" s="54"/>
      <c r="H169" s="54"/>
      <c r="I169" s="52">
        <f t="shared" si="6"/>
        <v>8.4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1">
        <v>158</v>
      </c>
      <c r="C170" s="53">
        <v>5</v>
      </c>
      <c r="D170" s="61">
        <v>21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1">
        <v>179</v>
      </c>
      <c r="C171" s="53">
        <v>6</v>
      </c>
      <c r="D171" s="61">
        <v>21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61">
        <v>55</v>
      </c>
      <c r="B172" s="61">
        <v>198</v>
      </c>
      <c r="C172" s="61">
        <v>7</v>
      </c>
      <c r="D172" s="61">
        <v>21</v>
      </c>
      <c r="E172" s="91"/>
      <c r="F172" s="91"/>
      <c r="G172" s="91"/>
      <c r="H172" s="91"/>
      <c r="I172" s="52">
        <f t="shared" si="6"/>
        <v>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1">
        <v>60</v>
      </c>
      <c r="B173" s="61">
        <v>214</v>
      </c>
      <c r="C173" s="61">
        <v>8</v>
      </c>
      <c r="D173" s="61">
        <v>21</v>
      </c>
      <c r="E173" s="91"/>
      <c r="F173" s="91"/>
      <c r="G173" s="91"/>
      <c r="H173" s="91"/>
      <c r="I173" s="52">
        <f t="shared" si="6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1">
        <v>65</v>
      </c>
      <c r="B174" s="61">
        <v>229</v>
      </c>
      <c r="C174" s="61">
        <v>9</v>
      </c>
      <c r="D174" s="61">
        <v>21</v>
      </c>
      <c r="E174" s="91"/>
      <c r="F174" s="91"/>
      <c r="G174" s="91"/>
      <c r="H174" s="91"/>
      <c r="I174" s="52">
        <f t="shared" si="6"/>
        <v>7.2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61">
        <v>70</v>
      </c>
      <c r="B175" s="61">
        <v>242</v>
      </c>
      <c r="C175" s="61">
        <v>10</v>
      </c>
      <c r="D175" s="61">
        <v>21</v>
      </c>
      <c r="E175" s="91"/>
      <c r="F175" s="91"/>
      <c r="G175" s="91"/>
      <c r="H175" s="91"/>
      <c r="I175" s="52">
        <f t="shared" si="6"/>
        <v>6.8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61">
        <v>75</v>
      </c>
      <c r="B176" s="61">
        <v>253</v>
      </c>
      <c r="C176" s="61">
        <v>11</v>
      </c>
      <c r="D176" s="61">
        <v>21</v>
      </c>
      <c r="E176" s="91"/>
      <c r="F176" s="91"/>
      <c r="G176" s="91"/>
      <c r="H176" s="91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61">
        <v>80</v>
      </c>
      <c r="B177" s="61">
        <v>262</v>
      </c>
      <c r="C177" s="61">
        <v>12</v>
      </c>
      <c r="D177" s="61">
        <v>21</v>
      </c>
      <c r="E177" s="91"/>
      <c r="F177" s="91"/>
      <c r="G177" s="91"/>
      <c r="H177" s="91"/>
      <c r="I177" s="52">
        <f t="shared" si="6"/>
        <v>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61">
        <v>85</v>
      </c>
      <c r="B178" s="61">
        <v>269</v>
      </c>
      <c r="C178" s="61">
        <v>13</v>
      </c>
      <c r="D178" s="61">
        <v>21</v>
      </c>
      <c r="E178" s="66"/>
      <c r="F178" s="66"/>
      <c r="G178" s="66"/>
      <c r="H178" s="66"/>
      <c r="I178" s="52">
        <f t="shared" si="6"/>
        <v>5.6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61">
        <v>90</v>
      </c>
      <c r="B179" s="61">
        <v>275</v>
      </c>
      <c r="C179" s="61">
        <v>14</v>
      </c>
      <c r="D179" s="61">
        <v>21</v>
      </c>
      <c r="E179" s="66"/>
      <c r="F179" s="66"/>
      <c r="G179" s="66"/>
      <c r="H179" s="66"/>
      <c r="I179" s="52">
        <f t="shared" si="6"/>
        <v>5.4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95</v>
      </c>
      <c r="B180" s="53">
        <v>279</v>
      </c>
      <c r="C180" s="53">
        <v>15</v>
      </c>
      <c r="D180" s="53">
        <v>21</v>
      </c>
      <c r="E180" s="57"/>
      <c r="F180" s="57"/>
      <c r="G180" s="57"/>
      <c r="H180" s="57"/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100</v>
      </c>
      <c r="B181" s="53">
        <v>282</v>
      </c>
      <c r="C181" s="53">
        <v>16</v>
      </c>
      <c r="D181" s="53">
        <v>21</v>
      </c>
      <c r="E181" s="57"/>
      <c r="F181" s="57"/>
      <c r="G181" s="57"/>
      <c r="H181" s="57"/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105</v>
      </c>
      <c r="B182" s="53">
        <v>283</v>
      </c>
      <c r="C182" s="53">
        <v>17</v>
      </c>
      <c r="D182" s="53">
        <v>20</v>
      </c>
      <c r="E182" s="57"/>
      <c r="F182" s="57"/>
      <c r="G182" s="57"/>
      <c r="H182" s="57"/>
      <c r="I182" s="52">
        <f t="shared" si="6"/>
        <v>4.4000000000000004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110</v>
      </c>
      <c r="B183" s="53">
        <v>284</v>
      </c>
      <c r="C183" s="53">
        <v>18</v>
      </c>
      <c r="D183" s="53">
        <v>19</v>
      </c>
      <c r="E183" s="57"/>
      <c r="F183" s="57"/>
      <c r="G183" s="57"/>
      <c r="H183" s="57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115</v>
      </c>
      <c r="B184" s="53">
        <v>284</v>
      </c>
      <c r="C184" s="53">
        <v>19</v>
      </c>
      <c r="D184" s="53">
        <v>18</v>
      </c>
      <c r="E184" s="57"/>
      <c r="F184" s="57"/>
      <c r="G184" s="57"/>
      <c r="H184" s="57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284</v>
      </c>
      <c r="C185" s="53">
        <v>20</v>
      </c>
      <c r="D185" s="53">
        <v>284</v>
      </c>
      <c r="E185" s="57"/>
      <c r="F185" s="57"/>
      <c r="G185" s="57"/>
      <c r="H185" s="57"/>
      <c r="I185" s="52">
        <f t="shared" si="6"/>
        <v>3.6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Chêne rouge d'Amérique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1">
        <v>107</v>
      </c>
      <c r="C192" s="61">
        <v>1</v>
      </c>
      <c r="D192" s="61">
        <v>34</v>
      </c>
      <c r="E192" s="54"/>
      <c r="F192" s="54"/>
      <c r="G192" s="54"/>
      <c r="H192" s="54">
        <v>1</v>
      </c>
      <c r="I192" s="52">
        <f>IFERROR(B192/A192,"")</f>
        <v>7.1333333333333337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1">
        <v>154</v>
      </c>
      <c r="C193" s="61">
        <v>2</v>
      </c>
      <c r="D193" s="61">
        <v>50</v>
      </c>
      <c r="E193" s="54"/>
      <c r="F193" s="54">
        <v>0.2</v>
      </c>
      <c r="G193" s="54"/>
      <c r="H193" s="54">
        <v>0.8</v>
      </c>
      <c r="I193" s="52">
        <f t="shared" ref="I193:I211" si="7">IF(A193&lt;&gt;0,(B193-(B192-D192))/(A193-A192),"")</f>
        <v>16.2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1">
        <v>182</v>
      </c>
      <c r="C194" s="61">
        <v>3</v>
      </c>
      <c r="D194" s="61">
        <v>52</v>
      </c>
      <c r="E194" s="54"/>
      <c r="F194" s="54">
        <v>0.4</v>
      </c>
      <c r="G194" s="54"/>
      <c r="H194" s="54">
        <v>0.6</v>
      </c>
      <c r="I194" s="52">
        <f t="shared" si="7"/>
        <v>15.6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1">
        <v>204</v>
      </c>
      <c r="C195" s="61">
        <v>4</v>
      </c>
      <c r="D195" s="61">
        <v>51</v>
      </c>
      <c r="E195" s="54">
        <v>0.4</v>
      </c>
      <c r="F195" s="54">
        <v>0.4</v>
      </c>
      <c r="G195" s="54"/>
      <c r="H195" s="54">
        <v>0.2</v>
      </c>
      <c r="I195" s="52">
        <f t="shared" si="7"/>
        <v>14.8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1">
        <v>221</v>
      </c>
      <c r="C196" s="61">
        <v>5</v>
      </c>
      <c r="D196" s="61">
        <v>49</v>
      </c>
      <c r="E196" s="54"/>
      <c r="F196" s="54"/>
      <c r="G196" s="54"/>
      <c r="H196" s="54"/>
      <c r="I196" s="52">
        <f t="shared" si="7"/>
        <v>13.6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1">
        <v>233</v>
      </c>
      <c r="C197" s="61">
        <v>6</v>
      </c>
      <c r="D197" s="61">
        <v>45</v>
      </c>
      <c r="E197" s="54"/>
      <c r="F197" s="54"/>
      <c r="G197" s="54"/>
      <c r="H197" s="54"/>
      <c r="I197" s="52">
        <f t="shared" si="7"/>
        <v>12.2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1">
        <v>244</v>
      </c>
      <c r="C198" s="61">
        <v>7</v>
      </c>
      <c r="D198" s="61">
        <v>41</v>
      </c>
      <c r="E198" s="54"/>
      <c r="F198" s="54"/>
      <c r="G198" s="54"/>
      <c r="H198" s="54"/>
      <c r="I198" s="52">
        <f t="shared" si="7"/>
        <v>11.2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50</v>
      </c>
      <c r="B199" s="53">
        <v>252</v>
      </c>
      <c r="C199" s="53">
        <v>8</v>
      </c>
      <c r="D199" s="53">
        <v>37</v>
      </c>
      <c r="E199" s="54"/>
      <c r="F199" s="54"/>
      <c r="G199" s="54"/>
      <c r="H199" s="54"/>
      <c r="I199" s="52">
        <f t="shared" si="7"/>
        <v>9.8000000000000007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55</v>
      </c>
      <c r="B200" s="53">
        <v>258</v>
      </c>
      <c r="C200" s="53">
        <v>9</v>
      </c>
      <c r="D200" s="53">
        <v>258</v>
      </c>
      <c r="E200" s="54"/>
      <c r="F200" s="54"/>
      <c r="G200" s="54"/>
      <c r="H200" s="54"/>
      <c r="I200" s="52">
        <f t="shared" si="7"/>
        <v>8.6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8" sqref="C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1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maritime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Pin taeda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Cèdre de l'Atlas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Chêne sessile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Chêne pédonculé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>Chêne pubescent</v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>Chêne rouge d'Amérique</v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135.66666666666666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117.33333333333333</v>
      </c>
      <c r="S3" s="60">
        <f ca="1">AVERAGE(OFFSET($R$3,0,0,'Données projet'!$E$9+1,1))-AVERAGE(OFFSET($H$3,0,0,'Données projet'!$E$9+1,1))</f>
        <v>199.65420589615553</v>
      </c>
      <c r="T3" s="60">
        <f>IF('Données projet'!E9&gt;30,$R$33-$H$33,LOOKUP('Données projet'!$E$9,$A$3:$A$203,R3:R203)-LOOKUP('Données projet'!$E$9,$A$3:$A$203,$H$3:$H$203))</f>
        <v>477.85821088970999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117.33333333333333</v>
      </c>
      <c r="AN3" s="60">
        <f ca="1">AVERAGE(OFFSET($AM$3,0,0,'Données projet'!$E$10+1,1))-AVERAGE(OFFSET($H$3,0,0,'Données projet'!$E$10+1,1))</f>
        <v>199.65420589615553</v>
      </c>
      <c r="AO3" s="60">
        <f>IF('Données projet'!E10&gt;30,$AM$33-$H$33,LOOKUP('Données projet'!$E$10,$A$3:$A$203,AM3:AM203)-LOOKUP('Données projet'!$E$10,$A$3:$A$203,$H$3:$H$203))</f>
        <v>477.85821088970999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117.33333333333333</v>
      </c>
      <c r="BI3" s="60">
        <f ca="1">AVERAGE(OFFSET($BH$3,0,0,'Données projet'!$E$11+1,1))-AVERAGE(OFFSET($H$3,0,0,'Données projet'!$E$11+1,1))</f>
        <v>374.62597460242665</v>
      </c>
      <c r="BJ3" s="60">
        <f>IF('Données projet'!E11&gt;30,$BH$33-$H$33,LOOKUP('Données projet'!$E$11,$A$3:$A$203,BH3:BH203)-LOOKUP('Données projet'!$E$11,$A$3:$A$203,$H$3:$H$203))</f>
        <v>277.50105097454616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117.33333333333333</v>
      </c>
      <c r="CD3" s="60">
        <f ca="1">AVERAGE(OFFSET($CC$3,0,0,'Données projet'!$E$12+1,1))-AVERAGE(OFFSET($H$3,0,0,'Données projet'!$E$12+1,1))</f>
        <v>434.56763649859136</v>
      </c>
      <c r="CE3" s="60">
        <f>IF('Données projet'!E12&gt;30,$CC$33-$H$33,LOOKUP('Données projet'!$E$12,$A$3:$A$203,CC3:CC203)-LOOKUP('Données projet'!$E$12,$A$3:$A$203,$H$3:$H$203))</f>
        <v>271.90302066766264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117.33333333333333</v>
      </c>
      <c r="CY3" s="60">
        <f ca="1">AVERAGE(OFFSET($CX$3,0,0,'Données projet'!$E$13+1,1))-AVERAGE(OFFSET($H$3,0,0,'Données projet'!$E$13+1,1))</f>
        <v>411.64829629901465</v>
      </c>
      <c r="CZ3" s="60">
        <f>IF('Données projet'!E13&gt;30,$CX$33-$H$33,LOOKUP('Données projet'!$E$13,$A$3:$A$203,CX3:CX203)-LOOKUP('Données projet'!$E$13,$A$3:$A$203,$H$3:$H$203))</f>
        <v>258.66864562757917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117.33333333333333</v>
      </c>
      <c r="DT3" s="60">
        <f ca="1">AVERAGE(OFFSET($DS$3,0,0,'Données projet'!$E$14+1,1))-AVERAGE(OFFSET($H$3,0,0,'Données projet'!$E$14+1,1))</f>
        <v>474.59791006623266</v>
      </c>
      <c r="DU3" s="60">
        <f>IF('Données projet'!E14&gt;30,$DS$33-$H$33,LOOKUP('Données projet'!$E$14,$A$3:$A$203,DS3:DS203)-LOOKUP('Données projet'!$E$14,$A$3:$A$203,$H$3:$H$203))</f>
        <v>295.01432800690293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117.33333333333333</v>
      </c>
      <c r="EO3" s="60">
        <f ca="1">AVERAGE(OFFSET($EN$3,0,0,'Données projet'!$E$15+1,1))-AVERAGE(OFFSET($H$3,0,0,'Données projet'!$E$15+1,1))</f>
        <v>334.73467807584336</v>
      </c>
      <c r="EP3" s="60">
        <f>IF('Données projet'!E15&gt;30,$EN$33-$H$33,LOOKUP('Données projet'!$E$15,$A$3:$A$203,EN3:EN203)-LOOKUP('Données projet'!$E$15,$A$3:$A$203,$H$3:$H$203))</f>
        <v>463.8772059551726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135.66666666666666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0">
        <f t="shared" si="0"/>
        <v>123.22721293531279</v>
      </c>
      <c r="S4" s="60">
        <f ca="1">AVERAGE(OFFSET($R$3,0,0,'Données projet'!$E$9+1,1))-AVERAGE(OFFSET($H$3,0,0,'Données projet'!$E$9+1,1))</f>
        <v>199.65420589615553</v>
      </c>
      <c r="T4" s="60">
        <f>$T$3</f>
        <v>477.85821088970999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0">
        <f t="shared" ref="AM4:AM67" si="5">AL4+(AD4+AE4)*44/12</f>
        <v>123.22721293531279</v>
      </c>
      <c r="AN4" s="60">
        <f ca="1">AVERAGE(OFFSET($AM$3,0,0,'Données projet'!$E$10+1,1))-AVERAGE(OFFSET($H$3,0,0,'Données projet'!$E$10+1,1))</f>
        <v>199.65420589615553</v>
      </c>
      <c r="AO4" s="60">
        <f>$AO$3</f>
        <v>477.85821088970999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6.5</v>
      </c>
      <c r="BD4" s="13">
        <f>IF('Données projet'!$A$88&gt;35,BD3+BC4-BL3,IF(A4&lt;'Données projet'!$A$88,$BA$205^A4,IF(A4='Données projet'!$A$88,'Données projet'!$B$88,BD3+BC4-BL3)))</f>
        <v>1.1921598380198544</v>
      </c>
      <c r="BE4" s="14">
        <f>BD4*VLOOKUP('Données projet'!$B$11,Paramètres!$A$1:$I$89,3,0)*VLOOKUP('Données projet'!$B$11,Paramètres!$A$1:$I$89,5,0)</f>
        <v>0.55793080419329188</v>
      </c>
      <c r="BF4" s="14">
        <f>EXP(-1.0587+0.8836*LN(BE4)+0.284)</f>
        <v>0.27518860925423011</v>
      </c>
      <c r="BG4" s="22">
        <f t="shared" ref="BG4:BG67" si="7">(BE4+BF4)*0.475*44/12</f>
        <v>1.4510163117544339</v>
      </c>
      <c r="BH4" s="60">
        <f t="shared" ref="BH4:BH67" si="8">BG4+(AY4+AZ4)*44/12</f>
        <v>122.42369369797646</v>
      </c>
      <c r="BI4" s="60">
        <f ca="1">AVERAGE(OFFSET($BH$3,0,0,'Données projet'!$E$11+1,1))-AVERAGE(OFFSET($H$3,0,0,'Données projet'!$E$11+1,1))</f>
        <v>374.62597460242665</v>
      </c>
      <c r="BJ4" s="60">
        <f>$BJ$3</f>
        <v>277.50105097454616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2.84</v>
      </c>
      <c r="BY4" s="13">
        <f>IF('Données projet'!$A$114&gt;35,BY3+BX4-CG3,IF(A4&lt;'Données projet'!$A$114,$BV$205^A4,IF(A4='Données projet'!$A$114,'Données projet'!$B$114,BY3+BX4-CG3)))</f>
        <v>1.185906184594963</v>
      </c>
      <c r="BZ4" s="14">
        <f>BY4*VLOOKUP('Données projet'!$B$12,Paramètres!$A$1:$I$89,3,0)*VLOOKUP('Données projet'!$B$12,Paramètres!$A$1:$I$89,5,0)</f>
        <v>1.0730079158215224</v>
      </c>
      <c r="CA4" s="14">
        <f>EXP(-1.0587+0.8836*LN(BZ4)+0.284)</f>
        <v>0.49044782191261621</v>
      </c>
      <c r="CB4" s="22">
        <f t="shared" ref="CB4:CB67" si="10">(BZ4+CA4)*0.475*44/12</f>
        <v>2.7230187432202917</v>
      </c>
      <c r="CC4" s="60">
        <f t="shared" ref="CC4:CC67" si="11">CB4+(BT4+BU4)*44/12</f>
        <v>123.69569612944233</v>
      </c>
      <c r="CD4" s="60">
        <f ca="1">AVERAGE(OFFSET($CC$3,0,0,'Données projet'!$E$12+1,1))-AVERAGE(OFFSET($H$3,0,0,'Données projet'!$E$12+1,1))</f>
        <v>434.56763649859136</v>
      </c>
      <c r="CE4" s="60">
        <f>$CE$3</f>
        <v>271.90302066766264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2.84</v>
      </c>
      <c r="CT4" s="13">
        <f>IF('Données projet'!$A$140&gt;35,CT3+CS4-DB3,IF(A4&lt;'Données projet'!$A$140,$CQ$205^A4,IF(A4='Données projet'!$A$140,'Données projet'!$B$140,CT3+CS4-DB3)))</f>
        <v>1.185906184594963</v>
      </c>
      <c r="CU4" s="18">
        <f>CT4*VLOOKUP('Données projet'!$B$13,Paramètres!$A$1:$I$89,3,0)*VLOOKUP('Données projet'!$B$13,Paramètres!$A$1:$I$89,5,0)</f>
        <v>0.99900736990279693</v>
      </c>
      <c r="CV4" s="14">
        <f>EXP(-1.0587+0.8836*LN(CU4)+0.284)</f>
        <v>0.46043779052923922</v>
      </c>
      <c r="CW4" s="22">
        <f t="shared" ref="CW4:CW67" si="13">(CU4+CV4)*0.475*44/12</f>
        <v>2.5418669877524631</v>
      </c>
      <c r="CX4" s="60">
        <f t="shared" ref="CX4:CX67" si="14">CW4+(CO4+CP4)*44/12</f>
        <v>123.51454437397449</v>
      </c>
      <c r="CY4" s="60">
        <f ca="1">AVERAGE(OFFSET($CX$3,0,0,'Données projet'!$E$13+1,1))-AVERAGE(OFFSET($H$3,0,0,'Données projet'!$E$13+1,1))</f>
        <v>411.64829629901465</v>
      </c>
      <c r="CZ4" s="60">
        <f>$CZ$3</f>
        <v>258.66864562757917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2.84</v>
      </c>
      <c r="DO4" s="13">
        <f>IF('Données projet'!$A$166&gt;35,DO3+DN4-DW3,IF(A4&lt;'Données projet'!$A$166,$DL$205^A4,IF(A4='Données projet'!$A$166,'Données projet'!$B$166,DO3+DN4-DW3)))</f>
        <v>1.185906184594963</v>
      </c>
      <c r="DP4" s="18">
        <f>DO4*VLOOKUP('Données projet'!$B$14,Paramètres!$A$1:$I$89,3,0)*VLOOKUP('Données projet'!$B$14,Paramètres!$A$1:$I$89,5,0)</f>
        <v>1.2025088711792926</v>
      </c>
      <c r="DQ4" s="14">
        <f>EXP(-1.0587+0.8836*LN(DP4)+0.284)</f>
        <v>0.54239799688655566</v>
      </c>
      <c r="DR4" s="22">
        <f t="shared" ref="DR4:DR67" si="16">(DP4+DQ4)*0.475*44/12</f>
        <v>3.0390461285480193</v>
      </c>
      <c r="DS4" s="60">
        <f t="shared" ref="DS4:DS67" si="17">DR4+(DJ4+DK4)*44/12</f>
        <v>124.01172351477005</v>
      </c>
      <c r="DT4" s="60">
        <f ca="1">AVERAGE(OFFSET($DS$3,0,0,'Données projet'!$E$14+1,1))-AVERAGE(OFFSET($H$3,0,0,'Données projet'!$E$14+1,1))</f>
        <v>474.59791006623266</v>
      </c>
      <c r="DU4" s="60">
        <f>$DU$3</f>
        <v>295.01432800690293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7.1333333333333337</v>
      </c>
      <c r="EJ4" s="13">
        <f>IF('Données projet'!$A$192&gt;35,EJ3+EI4-ER3,IF(A4&lt;'Données projet'!$A$192,$EG$205^A4,IF(A4='Données projet'!$A$192,'Données projet'!$B$192,EJ3+EI4-ER3)))</f>
        <v>1.3655017210306359</v>
      </c>
      <c r="EK4" s="18">
        <f>EJ4*VLOOKUP('Données projet'!$B$15,Paramètres!$A$1:$I$89,3,0)*VLOOKUP('Données projet'!$B$15,Paramètres!$A$1:$I$89,5,0)</f>
        <v>1.1929023034923638</v>
      </c>
      <c r="EL4" s="14">
        <f>EXP(-1.0587+0.8836*LN(EK4)+0.284)</f>
        <v>0.53856749022761552</v>
      </c>
      <c r="EM4" s="22">
        <f t="shared" ref="EM4:EM67" si="19">(EK4+EL4)*0.475*44/12</f>
        <v>3.015643224062297</v>
      </c>
      <c r="EN4" s="60">
        <f t="shared" ref="EN4:EN67" si="20">EM4+(EE4+EF4)*44/12</f>
        <v>123.98832061028433</v>
      </c>
      <c r="EO4" s="60">
        <f ca="1">AVERAGE(OFFSET($EN$3,0,0,'Données projet'!$E$15+1,1))-AVERAGE(OFFSET($H$3,0,0,'Données projet'!$E$15+1,1))</f>
        <v>334.73467807584336</v>
      </c>
      <c r="EP4" s="60">
        <f>$EP$3</f>
        <v>463.8772059551726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135.66666666666666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0">
        <f t="shared" si="0"/>
        <v>127.8485425031666</v>
      </c>
      <c r="S5" s="60">
        <f ca="1">AVERAGE(OFFSET($R$3,0,0,'Données projet'!$E$9+1,1))-AVERAGE(OFFSET($H$3,0,0,'Données projet'!$E$9+1,1))</f>
        <v>199.65420589615553</v>
      </c>
      <c r="T5" s="60">
        <f t="shared" ref="T5:T68" si="34">$T$3</f>
        <v>477.85821088970999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0">
        <f t="shared" si="5"/>
        <v>127.8485425031666</v>
      </c>
      <c r="AN5" s="60">
        <f ca="1">AVERAGE(OFFSET($AM$3,0,0,'Données projet'!$E$10+1,1))-AVERAGE(OFFSET($H$3,0,0,'Données projet'!$E$10+1,1))</f>
        <v>199.65420589615553</v>
      </c>
      <c r="AO5" s="60">
        <f t="shared" ref="AO5:AO68" si="36">$AO$3</f>
        <v>477.85821088970999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6.5</v>
      </c>
      <c r="BD5" s="13">
        <f>IF('Données projet'!$A$88&gt;35,BD4+BC5-BL4,IF(A5&lt;'Données projet'!$A$88,$BA$205^A5,IF(A5='Données projet'!$A$88,'Données projet'!$B$88,BD4+BC5-BL4)))</f>
        <v>1.4212450793875253</v>
      </c>
      <c r="BE5" s="14">
        <f>BD5*VLOOKUP('Données projet'!$B$11,Paramètres!$A$1:$I$89,3,0)*VLOOKUP('Données projet'!$B$11,Paramètres!$A$1:$I$89,5,0)</f>
        <v>0.66514269715336183</v>
      </c>
      <c r="BF5" s="14">
        <f t="shared" ref="BF5:BF68" si="37">EXP(-1.0587+0.8836*LN(BE5)+0.284)</f>
        <v>0.3214249656415451</v>
      </c>
      <c r="BG5" s="22">
        <f t="shared" si="7"/>
        <v>1.7182720127011295</v>
      </c>
      <c r="BH5" s="60">
        <f t="shared" si="8"/>
        <v>126.28836179192466</v>
      </c>
      <c r="BI5" s="60">
        <f ca="1">AVERAGE(OFFSET($BH$3,0,0,'Données projet'!$E$11+1,1))-AVERAGE(OFFSET($H$3,0,0,'Données projet'!$E$11+1,1))</f>
        <v>374.62597460242665</v>
      </c>
      <c r="BJ5" s="60">
        <f t="shared" ref="BJ5:BJ68" si="38">$BJ$3</f>
        <v>277.50105097454616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2.84</v>
      </c>
      <c r="BY5" s="13">
        <f>IF('Données projet'!$A$114&gt;35,BY4+BX5-CG4,IF(A5&lt;'Données projet'!$A$114,$BV$205^A5,IF(A5='Données projet'!$A$114,'Données projet'!$B$114,BY4+BX5-CG4)))</f>
        <v>1.4063734786605824</v>
      </c>
      <c r="BZ5" s="14">
        <f>BY5*VLOOKUP('Données projet'!$B$12,Paramètres!$A$1:$I$89,3,0)*VLOOKUP('Données projet'!$B$12,Paramètres!$A$1:$I$89,5,0)</f>
        <v>1.2724867234920949</v>
      </c>
      <c r="CA5" s="14">
        <f t="shared" ref="CA5:CA68" si="39">EXP(-1.0587+0.8836*LN(BZ5)+0.284)</f>
        <v>0.570195368340213</v>
      </c>
      <c r="CB5" s="22">
        <f t="shared" si="10"/>
        <v>3.209337976607936</v>
      </c>
      <c r="CC5" s="60">
        <f t="shared" si="11"/>
        <v>127.77942775583146</v>
      </c>
      <c r="CD5" s="60">
        <f ca="1">AVERAGE(OFFSET($CC$3,0,0,'Données projet'!$E$12+1,1))-AVERAGE(OFFSET($H$3,0,0,'Données projet'!$E$12+1,1))</f>
        <v>434.56763649859136</v>
      </c>
      <c r="CE5" s="60">
        <f t="shared" ref="CE5:CE68" si="40">$CE$3</f>
        <v>271.90302066766264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2.84</v>
      </c>
      <c r="CT5" s="13">
        <f>IF('Données projet'!$A$140&gt;35,CT4+CS5-DB4,IF(A5&lt;'Données projet'!$A$140,$CQ$205^A5,IF(A5='Données projet'!$A$140,'Données projet'!$B$140,CT4+CS5-DB4)))</f>
        <v>1.4063734786605824</v>
      </c>
      <c r="CU5" s="18">
        <f>CT5*VLOOKUP('Données projet'!$B$13,Paramètres!$A$1:$I$89,3,0)*VLOOKUP('Données projet'!$B$13,Paramètres!$A$1:$I$89,5,0)</f>
        <v>1.1847290184236747</v>
      </c>
      <c r="CV5" s="14">
        <f t="shared" ref="CV5:CV68" si="41">EXP(-1.0587+0.8836*LN(CU5)+0.284)</f>
        <v>0.53530566115012823</v>
      </c>
      <c r="CW5" s="22">
        <f t="shared" si="13"/>
        <v>2.9957270669243736</v>
      </c>
      <c r="CX5" s="60">
        <f t="shared" si="14"/>
        <v>127.5658168461479</v>
      </c>
      <c r="CY5" s="60">
        <f ca="1">AVERAGE(OFFSET($CX$3,0,0,'Données projet'!$E$13+1,1))-AVERAGE(OFFSET($H$3,0,0,'Données projet'!$E$13+1,1))</f>
        <v>411.64829629901465</v>
      </c>
      <c r="CZ5" s="60">
        <f t="shared" ref="CZ5:CZ68" si="42">$CZ$3</f>
        <v>258.66864562757917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2.84</v>
      </c>
      <c r="DO5" s="13">
        <f>IF('Données projet'!$A$166&gt;35,DO4+DN5-DW4,IF(A5&lt;'Données projet'!$A$166,$DL$205^A5,IF(A5='Données projet'!$A$166,'Données projet'!$B$166,DO4+DN5-DW4)))</f>
        <v>1.4063734786605824</v>
      </c>
      <c r="DP5" s="18">
        <f>DO5*VLOOKUP('Données projet'!$B$14,Paramètres!$A$1:$I$89,3,0)*VLOOKUP('Données projet'!$B$14,Paramètres!$A$1:$I$89,5,0)</f>
        <v>1.4260627073618306</v>
      </c>
      <c r="DQ5" s="14">
        <f t="shared" ref="DQ5:DQ68" si="43">EXP(-1.0587+0.8836*LN(DP5)+0.284)</f>
        <v>0.63059271915132864</v>
      </c>
      <c r="DR5" s="22">
        <f t="shared" si="16"/>
        <v>3.5820082011770853</v>
      </c>
      <c r="DS5" s="60">
        <f t="shared" si="17"/>
        <v>128.15209798040061</v>
      </c>
      <c r="DT5" s="60">
        <f ca="1">AVERAGE(OFFSET($DS$3,0,0,'Données projet'!$E$14+1,1))-AVERAGE(OFFSET($H$3,0,0,'Données projet'!$E$14+1,1))</f>
        <v>474.59791006623266</v>
      </c>
      <c r="DU5" s="60">
        <f t="shared" ref="DU5:DU68" si="44">$DU$3</f>
        <v>295.01432800690293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7.1333333333333337</v>
      </c>
      <c r="EJ5" s="13">
        <f>IF('Données projet'!$A$192&gt;35,EJ4+EI5-ER4,IF(A5&lt;'Données projet'!$A$192,$EG$205^A5,IF(A5='Données projet'!$A$192,'Données projet'!$B$192,EJ4+EI5-ER4)))</f>
        <v>1.8645949501376287</v>
      </c>
      <c r="EK5" s="18">
        <f>EJ5*VLOOKUP('Données projet'!$B$15,Paramètres!$A$1:$I$89,3,0)*VLOOKUP('Données projet'!$B$15,Paramètres!$A$1:$I$89,5,0)</f>
        <v>1.6289101484402326</v>
      </c>
      <c r="EL5" s="14">
        <f t="shared" ref="EL5:EL68" si="45">EXP(-1.0587+0.8836*LN(EK5)+0.284)</f>
        <v>0.70922554238821334</v>
      </c>
      <c r="EM5" s="22">
        <f t="shared" si="19"/>
        <v>4.0722529948595438</v>
      </c>
      <c r="EN5" s="60">
        <f t="shared" si="20"/>
        <v>128.64234277408306</v>
      </c>
      <c r="EO5" s="60">
        <f ca="1">AVERAGE(OFFSET($EN$3,0,0,'Données projet'!$E$15+1,1))-AVERAGE(OFFSET($H$3,0,0,'Données projet'!$E$15+1,1))</f>
        <v>334.73467807584336</v>
      </c>
      <c r="EP5" s="60">
        <f t="shared" ref="EP5:EP68" si="46">$EP$3</f>
        <v>463.8772059551726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135.66666666666666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0">
        <f t="shared" si="0"/>
        <v>132.89577169642754</v>
      </c>
      <c r="S6" s="60">
        <f ca="1">AVERAGE(OFFSET($R$3,0,0,'Données projet'!$E$9+1,1))-AVERAGE(OFFSET($H$3,0,0,'Données projet'!$E$9+1,1))</f>
        <v>199.65420589615553</v>
      </c>
      <c r="T6" s="60">
        <f t="shared" si="34"/>
        <v>477.85821088970999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0">
        <f t="shared" si="5"/>
        <v>132.89577169642754</v>
      </c>
      <c r="AN6" s="60">
        <f ca="1">AVERAGE(OFFSET($AM$3,0,0,'Données projet'!$E$10+1,1))-AVERAGE(OFFSET($H$3,0,0,'Données projet'!$E$10+1,1))</f>
        <v>199.65420589615553</v>
      </c>
      <c r="AO6" s="60">
        <f t="shared" si="36"/>
        <v>477.85821088970999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6.5</v>
      </c>
      <c r="BD6" s="13">
        <f>IF('Données projet'!$A$88&gt;35,BD5+BC6-BL5,IF(A6&lt;'Données projet'!$A$88,$BA$205^A6,IF(A6='Données projet'!$A$88,'Données projet'!$B$88,BD5+BC6-BL5)))</f>
        <v>1.6943513036291473</v>
      </c>
      <c r="BE6" s="14">
        <f>BD6*VLOOKUP('Données projet'!$B$11,Paramètres!$A$1:$I$89,3,0)*VLOOKUP('Données projet'!$B$11,Paramètres!$A$1:$I$89,5,0)</f>
        <v>0.79295641009844098</v>
      </c>
      <c r="BF6" s="14">
        <f t="shared" si="37"/>
        <v>0.37542981454665864</v>
      </c>
      <c r="BG6" s="22">
        <f t="shared" si="7"/>
        <v>2.0349393412568815</v>
      </c>
      <c r="BH6" s="60">
        <f t="shared" si="8"/>
        <v>130.16123727414859</v>
      </c>
      <c r="BI6" s="60">
        <f ca="1">AVERAGE(OFFSET($BH$3,0,0,'Données projet'!$E$11+1,1))-AVERAGE(OFFSET($H$3,0,0,'Données projet'!$E$11+1,1))</f>
        <v>374.62597460242665</v>
      </c>
      <c r="BJ6" s="60">
        <f t="shared" si="38"/>
        <v>277.50105097454616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2.84</v>
      </c>
      <c r="BY6" s="13">
        <f>IF('Données projet'!$A$114&gt;35,BY5+BX6-CG5,IF(A6&lt;'Données projet'!$A$114,$BV$205^A6,IF(A6='Données projet'!$A$114,'Données projet'!$B$114,BY5+BX6-CG5)))</f>
        <v>1.6678270061939169</v>
      </c>
      <c r="BZ6" s="14">
        <f>BY6*VLOOKUP('Données projet'!$B$12,Paramètres!$A$1:$I$89,3,0)*VLOOKUP('Données projet'!$B$12,Paramètres!$A$1:$I$89,5,0)</f>
        <v>1.5090498752042558</v>
      </c>
      <c r="CA6" s="14">
        <f t="shared" si="39"/>
        <v>0.66290998461108197</v>
      </c>
      <c r="CB6" s="22">
        <f t="shared" si="10"/>
        <v>3.7828300891783795</v>
      </c>
      <c r="CC6" s="60">
        <f t="shared" si="11"/>
        <v>131.90912802207009</v>
      </c>
      <c r="CD6" s="60">
        <f ca="1">AVERAGE(OFFSET($CC$3,0,0,'Données projet'!$E$12+1,1))-AVERAGE(OFFSET($H$3,0,0,'Données projet'!$E$12+1,1))</f>
        <v>434.56763649859136</v>
      </c>
      <c r="CE6" s="60">
        <f t="shared" si="40"/>
        <v>271.90302066766264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2.84</v>
      </c>
      <c r="CT6" s="13">
        <f>IF('Données projet'!$A$140&gt;35,CT5+CS6-DB5,IF(A6&lt;'Données projet'!$A$140,$CQ$205^A6,IF(A6='Données projet'!$A$140,'Données projet'!$B$140,CT5+CS6-DB5)))</f>
        <v>1.6678270061939169</v>
      </c>
      <c r="CU6" s="18">
        <f>CT6*VLOOKUP('Données projet'!$B$13,Paramètres!$A$1:$I$89,3,0)*VLOOKUP('Données projet'!$B$13,Paramètres!$A$1:$I$89,5,0)</f>
        <v>1.4049774700177557</v>
      </c>
      <c r="CV6" s="14">
        <f t="shared" si="41"/>
        <v>0.62234715905921922</v>
      </c>
      <c r="CW6" s="22">
        <f t="shared" si="13"/>
        <v>3.5309237289757314</v>
      </c>
      <c r="CX6" s="60">
        <f t="shared" si="14"/>
        <v>131.65722166186742</v>
      </c>
      <c r="CY6" s="60">
        <f ca="1">AVERAGE(OFFSET($CX$3,0,0,'Données projet'!$E$13+1,1))-AVERAGE(OFFSET($H$3,0,0,'Données projet'!$E$13+1,1))</f>
        <v>411.64829629901465</v>
      </c>
      <c r="CZ6" s="60">
        <f t="shared" si="42"/>
        <v>258.66864562757917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2.84</v>
      </c>
      <c r="DO6" s="13">
        <f>IF('Données projet'!$A$166&gt;35,DO5+DN6-DW5,IF(A6&lt;'Données projet'!$A$166,$DL$205^A6,IF(A6='Données projet'!$A$166,'Données projet'!$B$166,DO5+DN6-DW5)))</f>
        <v>1.6678270061939169</v>
      </c>
      <c r="DP6" s="18">
        <f>DO6*VLOOKUP('Données projet'!$B$14,Paramètres!$A$1:$I$89,3,0)*VLOOKUP('Données projet'!$B$14,Paramètres!$A$1:$I$89,5,0)</f>
        <v>1.6911765842806317</v>
      </c>
      <c r="DQ6" s="14">
        <f t="shared" si="43"/>
        <v>0.73312803463364506</v>
      </c>
      <c r="DR6" s="22">
        <f t="shared" si="16"/>
        <v>4.2223305446090311</v>
      </c>
      <c r="DS6" s="60">
        <f t="shared" si="17"/>
        <v>132.34862847750074</v>
      </c>
      <c r="DT6" s="60">
        <f ca="1">AVERAGE(OFFSET($DS$3,0,0,'Données projet'!$E$14+1,1))-AVERAGE(OFFSET($H$3,0,0,'Données projet'!$E$14+1,1))</f>
        <v>474.59791006623266</v>
      </c>
      <c r="DU6" s="60">
        <f t="shared" si="44"/>
        <v>295.01432800690293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7.1333333333333337</v>
      </c>
      <c r="EJ6" s="13">
        <f>IF('Données projet'!$A$192&gt;35,EJ5+EI6-ER5,IF(A6&lt;'Données projet'!$A$192,$EG$205^A6,IF(A6='Données projet'!$A$192,'Données projet'!$B$192,EJ5+EI6-ER5)))</f>
        <v>2.5461076134379645</v>
      </c>
      <c r="EK6" s="18">
        <f>EJ6*VLOOKUP('Données projet'!$B$15,Paramètres!$A$1:$I$89,3,0)*VLOOKUP('Données projet'!$B$15,Paramètres!$A$1:$I$89,5,0)</f>
        <v>2.2242796110994063</v>
      </c>
      <c r="EL6" s="14">
        <f t="shared" si="45"/>
        <v>0.93396069963909534</v>
      </c>
      <c r="EM6" s="22">
        <f t="shared" si="19"/>
        <v>5.5006018745362235</v>
      </c>
      <c r="EN6" s="60">
        <f t="shared" si="20"/>
        <v>133.62689980742792</v>
      </c>
      <c r="EO6" s="60">
        <f ca="1">AVERAGE(OFFSET($EN$3,0,0,'Données projet'!$E$15+1,1))-AVERAGE(OFFSET($H$3,0,0,'Données projet'!$E$15+1,1))</f>
        <v>334.73467807584336</v>
      </c>
      <c r="EP6" s="60">
        <f t="shared" si="46"/>
        <v>463.8772059551726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135.66666666666666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0">
        <f t="shared" si="0"/>
        <v>138.58359726423018</v>
      </c>
      <c r="S7" s="60">
        <f ca="1">AVERAGE(OFFSET($R$3,0,0,'Données projet'!$E$9+1,1))-AVERAGE(OFFSET($H$3,0,0,'Données projet'!$E$9+1,1))</f>
        <v>199.65420589615553</v>
      </c>
      <c r="T7" s="60">
        <f t="shared" si="34"/>
        <v>477.85821088970999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0">
        <f t="shared" si="5"/>
        <v>138.58359726423018</v>
      </c>
      <c r="AN7" s="60">
        <f ca="1">AVERAGE(OFFSET($AM$3,0,0,'Données projet'!$E$10+1,1))-AVERAGE(OFFSET($H$3,0,0,'Données projet'!$E$10+1,1))</f>
        <v>199.65420589615553</v>
      </c>
      <c r="AO7" s="60">
        <f t="shared" si="36"/>
        <v>477.85821088970999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6.5</v>
      </c>
      <c r="BD7" s="13">
        <f>IF('Données projet'!$A$88&gt;35,BD6+BC7-BL6,IF(A7&lt;'Données projet'!$A$88,$BA$205^A7,IF(A7='Données projet'!$A$88,'Données projet'!$B$88,BD6+BC7-BL6)))</f>
        <v>2.0199375756832532</v>
      </c>
      <c r="BE7" s="14">
        <f>BD7*VLOOKUP('Données projet'!$B$11,Paramètres!$A$1:$I$89,3,0)*VLOOKUP('Données projet'!$B$11,Paramètres!$A$1:$I$89,5,0)</f>
        <v>0.94533078541976245</v>
      </c>
      <c r="BF7" s="14">
        <f t="shared" si="37"/>
        <v>0.43850839454619067</v>
      </c>
      <c r="BG7" s="22">
        <f t="shared" si="7"/>
        <v>2.4101865717740352</v>
      </c>
      <c r="BH7" s="60">
        <f t="shared" si="8"/>
        <v>134.05220322043414</v>
      </c>
      <c r="BI7" s="60">
        <f ca="1">AVERAGE(OFFSET($BH$3,0,0,'Données projet'!$E$11+1,1))-AVERAGE(OFFSET($H$3,0,0,'Données projet'!$E$11+1,1))</f>
        <v>374.62597460242665</v>
      </c>
      <c r="BJ7" s="60">
        <f t="shared" si="38"/>
        <v>277.50105097454616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2.84</v>
      </c>
      <c r="BY7" s="13">
        <f>IF('Données projet'!$A$114&gt;35,BY6+BX7-CG6,IF(A7&lt;'Données projet'!$A$114,$BV$205^A7,IF(A7='Données projet'!$A$114,'Données projet'!$B$114,BY6+BX7-CG6)))</f>
        <v>1.9778863614798676</v>
      </c>
      <c r="BZ7" s="14">
        <f>BY7*VLOOKUP('Données projet'!$B$12,Paramètres!$A$1:$I$89,3,0)*VLOOKUP('Données projet'!$B$12,Paramètres!$A$1:$I$89,5,0)</f>
        <v>1.7895915798669841</v>
      </c>
      <c r="CA7" s="14">
        <f t="shared" si="39"/>
        <v>0.77070013559784434</v>
      </c>
      <c r="CB7" s="22">
        <f t="shared" si="10"/>
        <v>4.459174737767909</v>
      </c>
      <c r="CC7" s="60">
        <f t="shared" si="11"/>
        <v>136.10119138642801</v>
      </c>
      <c r="CD7" s="60">
        <f ca="1">AVERAGE(OFFSET($CC$3,0,0,'Données projet'!$E$12+1,1))-AVERAGE(OFFSET($H$3,0,0,'Données projet'!$E$12+1,1))</f>
        <v>434.56763649859136</v>
      </c>
      <c r="CE7" s="60">
        <f t="shared" si="40"/>
        <v>271.90302066766264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2.84</v>
      </c>
      <c r="CT7" s="13">
        <f>IF('Données projet'!$A$140&gt;35,CT6+CS7-DB6,IF(A7&lt;'Données projet'!$A$140,$CQ$205^A7,IF(A7='Données projet'!$A$140,'Données projet'!$B$140,CT6+CS7-DB6)))</f>
        <v>1.9778863614798676</v>
      </c>
      <c r="CU7" s="18">
        <f>CT7*VLOOKUP('Données projet'!$B$13,Paramètres!$A$1:$I$89,3,0)*VLOOKUP('Données projet'!$B$13,Paramètres!$A$1:$I$89,5,0)</f>
        <v>1.6661714709106406</v>
      </c>
      <c r="CV7" s="14">
        <f t="shared" si="41"/>
        <v>0.72354173418774481</v>
      </c>
      <c r="CW7" s="22">
        <f t="shared" si="13"/>
        <v>4.1620838322130211</v>
      </c>
      <c r="CX7" s="60">
        <f t="shared" si="14"/>
        <v>135.80410048087313</v>
      </c>
      <c r="CY7" s="60">
        <f ca="1">AVERAGE(OFFSET($CX$3,0,0,'Données projet'!$E$13+1,1))-AVERAGE(OFFSET($H$3,0,0,'Données projet'!$E$13+1,1))</f>
        <v>411.64829629901465</v>
      </c>
      <c r="CZ7" s="60">
        <f t="shared" si="42"/>
        <v>258.66864562757917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2.84</v>
      </c>
      <c r="DO7" s="13">
        <f>IF('Données projet'!$A$166&gt;35,DO6+DN7-DW6,IF(A7&lt;'Données projet'!$A$166,$DL$205^A7,IF(A7='Données projet'!$A$166,'Données projet'!$B$166,DO6+DN7-DW6)))</f>
        <v>1.9778863614798676</v>
      </c>
      <c r="DP7" s="18">
        <f>DO7*VLOOKUP('Données projet'!$B$14,Paramètres!$A$1:$I$89,3,0)*VLOOKUP('Données projet'!$B$14,Paramètres!$A$1:$I$89,5,0)</f>
        <v>2.005576770540586</v>
      </c>
      <c r="DQ7" s="14">
        <f t="shared" si="43"/>
        <v>0.85233574515282073</v>
      </c>
      <c r="DR7" s="22">
        <f t="shared" si="16"/>
        <v>4.9775309648326838</v>
      </c>
      <c r="DS7" s="60">
        <f t="shared" si="17"/>
        <v>136.61954761349278</v>
      </c>
      <c r="DT7" s="60">
        <f ca="1">AVERAGE(OFFSET($DS$3,0,0,'Données projet'!$E$14+1,1))-AVERAGE(OFFSET($H$3,0,0,'Données projet'!$E$14+1,1))</f>
        <v>474.59791006623266</v>
      </c>
      <c r="DU7" s="60">
        <f t="shared" si="44"/>
        <v>295.01432800690293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7.1333333333333337</v>
      </c>
      <c r="EJ7" s="13">
        <f>IF('Données projet'!$A$192&gt;35,EJ6+EI7-ER6,IF(A7&lt;'Données projet'!$A$192,$EG$205^A7,IF(A7='Données projet'!$A$192,'Données projet'!$B$192,EJ6+EI7-ER6)))</f>
        <v>3.4767143280787458</v>
      </c>
      <c r="EK7" s="18">
        <f>EJ7*VLOOKUP('Données projet'!$B$15,Paramètres!$A$1:$I$89,3,0)*VLOOKUP('Données projet'!$B$15,Paramètres!$A$1:$I$89,5,0)</f>
        <v>3.0372576370095925</v>
      </c>
      <c r="EL7" s="14">
        <f t="shared" si="45"/>
        <v>1.2299085923119242</v>
      </c>
      <c r="EM7" s="22">
        <f t="shared" si="19"/>
        <v>7.4319811827349751</v>
      </c>
      <c r="EN7" s="60">
        <f t="shared" si="20"/>
        <v>139.07399783139508</v>
      </c>
      <c r="EO7" s="60">
        <f ca="1">AVERAGE(OFFSET($EN$3,0,0,'Données projet'!$E$15+1,1))-AVERAGE(OFFSET($H$3,0,0,'Données projet'!$E$15+1,1))</f>
        <v>334.73467807584336</v>
      </c>
      <c r="EP7" s="60">
        <f t="shared" si="46"/>
        <v>463.8772059551726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135.66666666666666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0">
        <f t="shared" si="0"/>
        <v>145.22511011503568</v>
      </c>
      <c r="S8" s="60">
        <f ca="1">AVERAGE(OFFSET($R$3,0,0,'Données projet'!$E$9+1,1))-AVERAGE(OFFSET($H$3,0,0,'Données projet'!$E$9+1,1))</f>
        <v>199.65420589615553</v>
      </c>
      <c r="T8" s="60">
        <f t="shared" si="34"/>
        <v>477.85821088970999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0">
        <f t="shared" si="5"/>
        <v>145.22511011503568</v>
      </c>
      <c r="AN8" s="60">
        <f ca="1">AVERAGE(OFFSET($AM$3,0,0,'Données projet'!$E$10+1,1))-AVERAGE(OFFSET($H$3,0,0,'Données projet'!$E$10+1,1))</f>
        <v>199.65420589615553</v>
      </c>
      <c r="AO8" s="60">
        <f t="shared" si="36"/>
        <v>477.85821088970999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6.5</v>
      </c>
      <c r="BD8" s="13">
        <f>IF('Données projet'!$A$88&gt;35,BD7+BC8-BL7,IF(A8&lt;'Données projet'!$A$88,$BA$205^A8,IF(A8='Données projet'!$A$88,'Données projet'!$B$88,BD7+BC8-BL7)))</f>
        <v>2.4080884530367643</v>
      </c>
      <c r="BE8" s="14">
        <f>BD8*VLOOKUP('Données projet'!$B$11,Paramètres!$A$1:$I$89,3,0)*VLOOKUP('Données projet'!$B$11,Paramètres!$A$1:$I$89,5,0)</f>
        <v>1.1269853960212057</v>
      </c>
      <c r="BF8" s="14">
        <f t="shared" si="37"/>
        <v>0.51218524644792107</v>
      </c>
      <c r="BG8" s="22">
        <f t="shared" si="7"/>
        <v>2.8548888689670626</v>
      </c>
      <c r="BH8" s="60">
        <f t="shared" si="8"/>
        <v>137.97283719672257</v>
      </c>
      <c r="BI8" s="60">
        <f ca="1">AVERAGE(OFFSET($BH$3,0,0,'Données projet'!$E$11+1,1))-AVERAGE(OFFSET($H$3,0,0,'Données projet'!$E$11+1,1))</f>
        <v>374.62597460242665</v>
      </c>
      <c r="BJ8" s="60">
        <f t="shared" si="38"/>
        <v>277.50105097454616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2.84</v>
      </c>
      <c r="BY8" s="13">
        <f>IF('Données projet'!$A$114&gt;35,BY7+BX8-CG7,IF(A8&lt;'Données projet'!$A$114,$BV$205^A8,IF(A8='Données projet'!$A$114,'Données projet'!$B$114,BY7+BX8-CG7)))</f>
        <v>2.3455876685050034</v>
      </c>
      <c r="BZ8" s="14">
        <f>BY8*VLOOKUP('Données projet'!$B$12,Paramètres!$A$1:$I$89,3,0)*VLOOKUP('Données projet'!$B$12,Paramètres!$A$1:$I$89,5,0)</f>
        <v>2.122287722463327</v>
      </c>
      <c r="CA8" s="14">
        <f t="shared" si="39"/>
        <v>0.89601712570223679</v>
      </c>
      <c r="CB8" s="22">
        <f t="shared" si="10"/>
        <v>5.2568809438883566</v>
      </c>
      <c r="CC8" s="60">
        <f t="shared" si="11"/>
        <v>140.37482927164385</v>
      </c>
      <c r="CD8" s="60">
        <f ca="1">AVERAGE(OFFSET($CC$3,0,0,'Données projet'!$E$12+1,1))-AVERAGE(OFFSET($H$3,0,0,'Données projet'!$E$12+1,1))</f>
        <v>434.56763649859136</v>
      </c>
      <c r="CE8" s="60">
        <f t="shared" si="40"/>
        <v>271.90302066766264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2.84</v>
      </c>
      <c r="CT8" s="13">
        <f>IF('Données projet'!$A$140&gt;35,CT7+CS8-DB7,IF(A8&lt;'Données projet'!$A$140,$CQ$205^A8,IF(A8='Données projet'!$A$140,'Données projet'!$B$140,CT7+CS8-DB7)))</f>
        <v>2.3455876685050034</v>
      </c>
      <c r="CU8" s="18">
        <f>CT8*VLOOKUP('Données projet'!$B$13,Paramètres!$A$1:$I$89,3,0)*VLOOKUP('Données projet'!$B$13,Paramètres!$A$1:$I$89,5,0)</f>
        <v>1.9759230519486151</v>
      </c>
      <c r="CV8" s="14">
        <f t="shared" si="41"/>
        <v>0.84119069797439927</v>
      </c>
      <c r="CW8" s="22">
        <f t="shared" si="13"/>
        <v>4.9064731144492493</v>
      </c>
      <c r="CX8" s="60">
        <f t="shared" si="14"/>
        <v>140.02442144220475</v>
      </c>
      <c r="CY8" s="60">
        <f ca="1">AVERAGE(OFFSET($CX$3,0,0,'Données projet'!$E$13+1,1))-AVERAGE(OFFSET($H$3,0,0,'Données projet'!$E$13+1,1))</f>
        <v>411.64829629901465</v>
      </c>
      <c r="CZ8" s="60">
        <f t="shared" si="42"/>
        <v>258.66864562757917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2.84</v>
      </c>
      <c r="DO8" s="13">
        <f>IF('Données projet'!$A$166&gt;35,DO7+DN8-DW7,IF(A8&lt;'Données projet'!$A$166,$DL$205^A8,IF(A8='Données projet'!$A$166,'Données projet'!$B$166,DO7+DN8-DW7)))</f>
        <v>2.3455876685050034</v>
      </c>
      <c r="DP8" s="18">
        <f>DO8*VLOOKUP('Données projet'!$B$14,Paramètres!$A$1:$I$89,3,0)*VLOOKUP('Données projet'!$B$14,Paramètres!$A$1:$I$89,5,0)</f>
        <v>2.3784258958640736</v>
      </c>
      <c r="DQ8" s="14">
        <f t="shared" si="43"/>
        <v>0.99092680697750823</v>
      </c>
      <c r="DR8" s="22">
        <f t="shared" si="16"/>
        <v>5.868289290782422</v>
      </c>
      <c r="DS8" s="60">
        <f t="shared" si="17"/>
        <v>140.98623761853793</v>
      </c>
      <c r="DT8" s="60">
        <f ca="1">AVERAGE(OFFSET($DS$3,0,0,'Données projet'!$E$14+1,1))-AVERAGE(OFFSET($H$3,0,0,'Données projet'!$E$14+1,1))</f>
        <v>474.59791006623266</v>
      </c>
      <c r="DU8" s="60">
        <f t="shared" si="44"/>
        <v>295.01432800690293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7.1333333333333337</v>
      </c>
      <c r="EJ8" s="13">
        <f>IF('Données projet'!$A$192&gt;35,EJ7+EI8-ER7,IF(A8&lt;'Données projet'!$A$192,$EG$205^A8,IF(A8='Données projet'!$A$192,'Données projet'!$B$192,EJ7+EI8-ER7)))</f>
        <v>4.7474593985233984</v>
      </c>
      <c r="EK8" s="18">
        <f>EJ8*VLOOKUP('Données projet'!$B$15,Paramètres!$A$1:$I$89,3,0)*VLOOKUP('Données projet'!$B$15,Paramètres!$A$1:$I$89,5,0)</f>
        <v>4.1473805305500413</v>
      </c>
      <c r="EL8" s="14">
        <f t="shared" si="45"/>
        <v>1.6196346870133109</v>
      </c>
      <c r="EM8" s="22">
        <f t="shared" si="19"/>
        <v>10.044218170589504</v>
      </c>
      <c r="EN8" s="60">
        <f t="shared" si="20"/>
        <v>145.16216649834502</v>
      </c>
      <c r="EO8" s="60">
        <f ca="1">AVERAGE(OFFSET($EN$3,0,0,'Données projet'!$E$15+1,1))-AVERAGE(OFFSET($H$3,0,0,'Données projet'!$E$15+1,1))</f>
        <v>334.73467807584336</v>
      </c>
      <c r="EP8" s="60">
        <f t="shared" si="46"/>
        <v>463.8772059551726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135.66666666666666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0">
        <f t="shared" si="0"/>
        <v>153.27721268542973</v>
      </c>
      <c r="S9" s="60">
        <f ca="1">AVERAGE(OFFSET($R$3,0,0,'Données projet'!$E$9+1,1))-AVERAGE(OFFSET($H$3,0,0,'Données projet'!$E$9+1,1))</f>
        <v>199.65420589615553</v>
      </c>
      <c r="T9" s="60">
        <f t="shared" si="34"/>
        <v>477.85821088970999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0">
        <f t="shared" si="5"/>
        <v>153.27721268542973</v>
      </c>
      <c r="AN9" s="60">
        <f ca="1">AVERAGE(OFFSET($AM$3,0,0,'Données projet'!$E$10+1,1))-AVERAGE(OFFSET($H$3,0,0,'Données projet'!$E$10+1,1))</f>
        <v>199.65420589615553</v>
      </c>
      <c r="AO9" s="60">
        <f t="shared" si="36"/>
        <v>477.85821088970999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6.5</v>
      </c>
      <c r="BD9" s="13">
        <f>IF('Données projet'!$A$88&gt;35,BD8+BC9-BL8,IF(A9&lt;'Données projet'!$A$88,$BA$205^A9,IF(A9='Données projet'!$A$88,'Données projet'!$B$88,BD8+BC9-BL8)))</f>
        <v>2.8708263401097907</v>
      </c>
      <c r="BE9" s="14">
        <f>BD9*VLOOKUP('Données projet'!$B$11,Paramètres!$A$1:$I$89,3,0)*VLOOKUP('Données projet'!$B$11,Paramètres!$A$1:$I$89,5,0)</f>
        <v>1.3435467271713821</v>
      </c>
      <c r="BF9" s="14">
        <f t="shared" si="37"/>
        <v>0.59824105978724762</v>
      </c>
      <c r="BG9" s="22">
        <f t="shared" si="7"/>
        <v>3.3819470622862799</v>
      </c>
      <c r="BH9" s="60">
        <f t="shared" si="8"/>
        <v>141.93673024859996</v>
      </c>
      <c r="BI9" s="60">
        <f ca="1">AVERAGE(OFFSET($BH$3,0,0,'Données projet'!$E$11+1,1))-AVERAGE(OFFSET($H$3,0,0,'Données projet'!$E$11+1,1))</f>
        <v>374.62597460242665</v>
      </c>
      <c r="BJ9" s="60">
        <f t="shared" si="38"/>
        <v>277.50105097454616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2.84</v>
      </c>
      <c r="BY9" s="13">
        <f>IF('Données projet'!$A$114&gt;35,BY8+BX9-CG8,IF(A9&lt;'Données projet'!$A$114,$BV$205^A9,IF(A9='Données projet'!$A$114,'Données projet'!$B$114,BY8+BX9-CG8)))</f>
        <v>2.7816469225897635</v>
      </c>
      <c r="BZ9" s="14">
        <f>BY9*VLOOKUP('Données projet'!$B$12,Paramètres!$A$1:$I$89,3,0)*VLOOKUP('Données projet'!$B$12,Paramètres!$A$1:$I$89,5,0)</f>
        <v>2.5168341355592179</v>
      </c>
      <c r="CA9" s="14">
        <f t="shared" si="39"/>
        <v>1.0417108450732491</v>
      </c>
      <c r="CB9" s="22">
        <f t="shared" si="10"/>
        <v>6.1977991746015464</v>
      </c>
      <c r="CC9" s="60">
        <f t="shared" si="11"/>
        <v>144.75258236091523</v>
      </c>
      <c r="CD9" s="60">
        <f ca="1">AVERAGE(OFFSET($CC$3,0,0,'Données projet'!$E$12+1,1))-AVERAGE(OFFSET($H$3,0,0,'Données projet'!$E$12+1,1))</f>
        <v>434.56763649859136</v>
      </c>
      <c r="CE9" s="60">
        <f t="shared" si="40"/>
        <v>271.90302066766264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2.84</v>
      </c>
      <c r="CT9" s="13">
        <f>IF('Données projet'!$A$140&gt;35,CT8+CS9-DB8,IF(A9&lt;'Données projet'!$A$140,$CQ$205^A9,IF(A9='Données projet'!$A$140,'Données projet'!$B$140,CT8+CS9-DB8)))</f>
        <v>2.7816469225897635</v>
      </c>
      <c r="CU9" s="18">
        <f>CT9*VLOOKUP('Données projet'!$B$13,Paramètres!$A$1:$I$89,3,0)*VLOOKUP('Données projet'!$B$13,Paramètres!$A$1:$I$89,5,0)</f>
        <v>2.3432593675896167</v>
      </c>
      <c r="CV9" s="14">
        <f t="shared" si="41"/>
        <v>0.97796955852590595</v>
      </c>
      <c r="CW9" s="22">
        <f t="shared" si="13"/>
        <v>5.7844737129845347</v>
      </c>
      <c r="CX9" s="60">
        <f t="shared" si="14"/>
        <v>144.33925689929819</v>
      </c>
      <c r="CY9" s="60">
        <f ca="1">AVERAGE(OFFSET($CX$3,0,0,'Données projet'!$E$13+1,1))-AVERAGE(OFFSET($H$3,0,0,'Données projet'!$E$13+1,1))</f>
        <v>411.64829629901465</v>
      </c>
      <c r="CZ9" s="60">
        <f t="shared" si="42"/>
        <v>258.66864562757917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2.84</v>
      </c>
      <c r="DO9" s="13">
        <f>IF('Données projet'!$A$166&gt;35,DO8+DN9-DW8,IF(A9&lt;'Données projet'!$A$166,$DL$205^A9,IF(A9='Données projet'!$A$166,'Données projet'!$B$166,DO8+DN9-DW8)))</f>
        <v>2.7816469225897635</v>
      </c>
      <c r="DP9" s="18">
        <f>DO9*VLOOKUP('Données projet'!$B$14,Paramètres!$A$1:$I$89,3,0)*VLOOKUP('Données projet'!$B$14,Paramètres!$A$1:$I$89,5,0)</f>
        <v>2.8205899795060203</v>
      </c>
      <c r="DQ9" s="14">
        <f t="shared" si="43"/>
        <v>1.1520529819039591</v>
      </c>
      <c r="DR9" s="22">
        <f t="shared" si="16"/>
        <v>6.919019824455714</v>
      </c>
      <c r="DS9" s="60">
        <f t="shared" si="17"/>
        <v>145.47380301076939</v>
      </c>
      <c r="DT9" s="60">
        <f ca="1">AVERAGE(OFFSET($DS$3,0,0,'Données projet'!$E$14+1,1))-AVERAGE(OFFSET($H$3,0,0,'Données projet'!$E$14+1,1))</f>
        <v>474.59791006623266</v>
      </c>
      <c r="DU9" s="60">
        <f t="shared" si="44"/>
        <v>295.01432800690293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7.1333333333333337</v>
      </c>
      <c r="EJ9" s="13">
        <f>IF('Données projet'!$A$192&gt;35,EJ8+EI9-ER8,IF(A9&lt;'Données projet'!$A$192,$EG$205^A9,IF(A9='Données projet'!$A$192,'Données projet'!$B$192,EJ8+EI9-ER8)))</f>
        <v>6.4826639792067677</v>
      </c>
      <c r="EK9" s="18">
        <f>EJ9*VLOOKUP('Données projet'!$B$15,Paramètres!$A$1:$I$89,3,0)*VLOOKUP('Données projet'!$B$15,Paramètres!$A$1:$I$89,5,0)</f>
        <v>5.6632552522350332</v>
      </c>
      <c r="EL9" s="14">
        <f t="shared" si="45"/>
        <v>2.1328548607386395</v>
      </c>
      <c r="EM9" s="22">
        <f t="shared" si="19"/>
        <v>13.578225113429147</v>
      </c>
      <c r="EN9" s="60">
        <f t="shared" si="20"/>
        <v>152.13300829974281</v>
      </c>
      <c r="EO9" s="60">
        <f ca="1">AVERAGE(OFFSET($EN$3,0,0,'Données projet'!$E$15+1,1))-AVERAGE(OFFSET($H$3,0,0,'Données projet'!$E$15+1,1))</f>
        <v>334.73467807584336</v>
      </c>
      <c r="EP9" s="60">
        <f t="shared" si="46"/>
        <v>463.8772059551726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135.66666666666666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0">
        <f t="shared" si="0"/>
        <v>163.407065905938</v>
      </c>
      <c r="S10" s="60">
        <f ca="1">AVERAGE(OFFSET($R$3,0,0,'Données projet'!$E$9+1,1))-AVERAGE(OFFSET($H$3,0,0,'Données projet'!$E$9+1,1))</f>
        <v>199.65420589615553</v>
      </c>
      <c r="T10" s="60">
        <f t="shared" si="34"/>
        <v>477.85821088970999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0">
        <f t="shared" si="5"/>
        <v>163.407065905938</v>
      </c>
      <c r="AN10" s="60">
        <f ca="1">AVERAGE(OFFSET($AM$3,0,0,'Données projet'!$E$10+1,1))-AVERAGE(OFFSET($H$3,0,0,'Données projet'!$E$10+1,1))</f>
        <v>199.65420589615553</v>
      </c>
      <c r="AO10" s="60">
        <f t="shared" si="36"/>
        <v>477.85821088970999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6.5</v>
      </c>
      <c r="BD10" s="13">
        <f>IF('Données projet'!$A$88&gt;35,BD9+BC10-BL9,IF(A10&lt;'Données projet'!$A$88,$BA$205^A10,IF(A10='Données projet'!$A$88,'Données projet'!$B$88,BD9+BC10-BL9)))</f>
        <v>3.4224838646084192</v>
      </c>
      <c r="BE10" s="14">
        <f>BD10*VLOOKUP('Données projet'!$B$11,Paramètres!$A$1:$I$89,3,0)*VLOOKUP('Données projet'!$B$11,Paramètres!$A$1:$I$89,5,0)</f>
        <v>1.6017224486367401</v>
      </c>
      <c r="BF10" s="14">
        <f t="shared" si="37"/>
        <v>0.69875571016034643</v>
      </c>
      <c r="BG10" s="22">
        <f t="shared" si="7"/>
        <v>4.0066661265715924</v>
      </c>
      <c r="BH10" s="60">
        <f t="shared" si="8"/>
        <v>145.95986559333511</v>
      </c>
      <c r="BI10" s="60">
        <f ca="1">AVERAGE(OFFSET($BH$3,0,0,'Données projet'!$E$11+1,1))-AVERAGE(OFFSET($H$3,0,0,'Données projet'!$E$11+1,1))</f>
        <v>374.62597460242665</v>
      </c>
      <c r="BJ10" s="60">
        <f t="shared" si="38"/>
        <v>277.50105097454616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2.84</v>
      </c>
      <c r="BY10" s="13">
        <f>IF('Données projet'!$A$114&gt;35,BY9+BX10-CG9,IF(A10&lt;'Données projet'!$A$114,$BV$205^A10,IF(A10='Données projet'!$A$114,'Données projet'!$B$114,BY9+BX10-CG9)))</f>
        <v>3.2987722888587467</v>
      </c>
      <c r="BZ10" s="14">
        <f>BY10*VLOOKUP('Données projet'!$B$12,Paramètres!$A$1:$I$89,3,0)*VLOOKUP('Données projet'!$B$12,Paramètres!$A$1:$I$89,5,0)</f>
        <v>2.9847291669593941</v>
      </c>
      <c r="CA10" s="14">
        <f t="shared" si="39"/>
        <v>1.2110945802433715</v>
      </c>
      <c r="CB10" s="22">
        <f t="shared" si="10"/>
        <v>7.3077263597114817</v>
      </c>
      <c r="CC10" s="60">
        <f t="shared" si="11"/>
        <v>149.26092582647502</v>
      </c>
      <c r="CD10" s="60">
        <f ca="1">AVERAGE(OFFSET($CC$3,0,0,'Données projet'!$E$12+1,1))-AVERAGE(OFFSET($H$3,0,0,'Données projet'!$E$12+1,1))</f>
        <v>434.56763649859136</v>
      </c>
      <c r="CE10" s="60">
        <f t="shared" si="40"/>
        <v>271.90302066766264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2.84</v>
      </c>
      <c r="CT10" s="13">
        <f>IF('Données projet'!$A$140&gt;35,CT9+CS10-DB9,IF(A10&lt;'Données projet'!$A$140,$CQ$205^A10,IF(A10='Données projet'!$A$140,'Données projet'!$B$140,CT9+CS10-DB9)))</f>
        <v>3.2987722888587467</v>
      </c>
      <c r="CU10" s="18">
        <f>CT10*VLOOKUP('Données projet'!$B$13,Paramètres!$A$1:$I$89,3,0)*VLOOKUP('Données projet'!$B$13,Paramètres!$A$1:$I$89,5,0)</f>
        <v>2.7788857761346084</v>
      </c>
      <c r="CV10" s="14">
        <f t="shared" si="41"/>
        <v>1.1369888655526514</v>
      </c>
      <c r="CW10" s="22">
        <f t="shared" si="13"/>
        <v>6.8201483342719778</v>
      </c>
      <c r="CX10" s="60">
        <f t="shared" si="14"/>
        <v>148.7733478010355</v>
      </c>
      <c r="CY10" s="60">
        <f ca="1">AVERAGE(OFFSET($CX$3,0,0,'Données projet'!$E$13+1,1))-AVERAGE(OFFSET($H$3,0,0,'Données projet'!$E$13+1,1))</f>
        <v>411.64829629901465</v>
      </c>
      <c r="CZ10" s="60">
        <f t="shared" si="42"/>
        <v>258.66864562757917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2.84</v>
      </c>
      <c r="DO10" s="13">
        <f>IF('Données projet'!$A$166&gt;35,DO9+DN10-DW9,IF(A10&lt;'Données projet'!$A$166,$DL$205^A10,IF(A10='Données projet'!$A$166,'Données projet'!$B$166,DO9+DN10-DW9)))</f>
        <v>3.2987722888587467</v>
      </c>
      <c r="DP10" s="18">
        <f>DO10*VLOOKUP('Données projet'!$B$14,Paramètres!$A$1:$I$89,3,0)*VLOOKUP('Données projet'!$B$14,Paramètres!$A$1:$I$89,5,0)</f>
        <v>3.3449551009027689</v>
      </c>
      <c r="DQ10" s="14">
        <f t="shared" si="43"/>
        <v>1.3393785128914457</v>
      </c>
      <c r="DR10" s="22">
        <f t="shared" si="16"/>
        <v>8.1585477106915896</v>
      </c>
      <c r="DS10" s="60">
        <f t="shared" si="17"/>
        <v>150.1117471774551</v>
      </c>
      <c r="DT10" s="60">
        <f ca="1">AVERAGE(OFFSET($DS$3,0,0,'Données projet'!$E$14+1,1))-AVERAGE(OFFSET($H$3,0,0,'Données projet'!$E$14+1,1))</f>
        <v>474.59791006623266</v>
      </c>
      <c r="DU10" s="60">
        <f t="shared" si="44"/>
        <v>295.01432800690293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7.1333333333333337</v>
      </c>
      <c r="EJ10" s="13">
        <f>IF('Données projet'!$A$192&gt;35,EJ9+EI10-ER9,IF(A10&lt;'Données projet'!$A$192,$EG$205^A10,IF(A10='Données projet'!$A$192,'Données projet'!$B$192,EJ9+EI10-ER9)))</f>
        <v>8.8520888204701524</v>
      </c>
      <c r="EK10" s="18">
        <f>EJ10*VLOOKUP('Données projet'!$B$15,Paramètres!$A$1:$I$89,3,0)*VLOOKUP('Données projet'!$B$15,Paramètres!$A$1:$I$89,5,0)</f>
        <v>7.7331847935627263</v>
      </c>
      <c r="EL10" s="14">
        <f t="shared" si="45"/>
        <v>2.8087011802427866</v>
      </c>
      <c r="EM10" s="22">
        <f t="shared" si="19"/>
        <v>18.360451404377937</v>
      </c>
      <c r="EN10" s="60">
        <f t="shared" si="20"/>
        <v>160.31365087114145</v>
      </c>
      <c r="EO10" s="60">
        <f ca="1">AVERAGE(OFFSET($EN$3,0,0,'Données projet'!$E$15+1,1))-AVERAGE(OFFSET($H$3,0,0,'Données projet'!$E$15+1,1))</f>
        <v>334.73467807584336</v>
      </c>
      <c r="EP10" s="60">
        <f t="shared" si="46"/>
        <v>463.8772059551726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135.66666666666666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0">
        <f t="shared" si="0"/>
        <v>176.58933199114307</v>
      </c>
      <c r="S11" s="60">
        <f ca="1">AVERAGE(OFFSET($R$3,0,0,'Données projet'!$E$9+1,1))-AVERAGE(OFFSET($H$3,0,0,'Données projet'!$E$9+1,1))</f>
        <v>199.65420589615553</v>
      </c>
      <c r="T11" s="60">
        <f t="shared" si="34"/>
        <v>477.85821088970999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0">
        <f t="shared" si="5"/>
        <v>176.58933199114307</v>
      </c>
      <c r="AN11" s="60">
        <f ca="1">AVERAGE(OFFSET($AM$3,0,0,'Données projet'!$E$10+1,1))-AVERAGE(OFFSET($H$3,0,0,'Données projet'!$E$10+1,1))</f>
        <v>199.65420589615553</v>
      </c>
      <c r="AO11" s="60">
        <f t="shared" si="36"/>
        <v>477.85821088970999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6.5</v>
      </c>
      <c r="BD11" s="13">
        <f>IF('Données projet'!$A$88&gt;35,BD10+BC11-BL10,IF(A11&lt;'Données projet'!$A$88,$BA$205^A11,IF(A11='Données projet'!$A$88,'Données projet'!$B$88,BD10+BC11-BL10)))</f>
        <v>4.080147809657138</v>
      </c>
      <c r="BE11" s="14">
        <f>BD11*VLOOKUP('Données projet'!$B$11,Paramètres!$A$1:$I$89,3,0)*VLOOKUP('Données projet'!$B$11,Paramètres!$A$1:$I$89,5,0)</f>
        <v>1.9095091749195405</v>
      </c>
      <c r="BF11" s="14">
        <f t="shared" si="37"/>
        <v>0.81615852755965934</v>
      </c>
      <c r="BG11" s="22">
        <f t="shared" si="7"/>
        <v>4.7472045818179396</v>
      </c>
      <c r="BH11" s="60">
        <f t="shared" si="8"/>
        <v>150.06106822736211</v>
      </c>
      <c r="BI11" s="60">
        <f ca="1">AVERAGE(OFFSET($BH$3,0,0,'Données projet'!$E$11+1,1))-AVERAGE(OFFSET($H$3,0,0,'Données projet'!$E$11+1,1))</f>
        <v>374.62597460242665</v>
      </c>
      <c r="BJ11" s="60">
        <f t="shared" si="38"/>
        <v>277.50105097454616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2.84</v>
      </c>
      <c r="BY11" s="13">
        <f>IF('Données projet'!$A$114&gt;35,BY10+BX11-CG10,IF(A11&lt;'Données projet'!$A$114,$BV$205^A11,IF(A11='Données projet'!$A$114,'Données projet'!$B$114,BY10+BX11-CG10)))</f>
        <v>3.9120344589280696</v>
      </c>
      <c r="BZ11" s="14">
        <f>BY11*VLOOKUP('Données projet'!$B$12,Paramètres!$A$1:$I$89,3,0)*VLOOKUP('Données projet'!$B$12,Paramètres!$A$1:$I$89,5,0)</f>
        <v>3.5396087784381174</v>
      </c>
      <c r="CA11" s="14">
        <f t="shared" si="39"/>
        <v>1.4080203630708406</v>
      </c>
      <c r="CB11" s="22">
        <f t="shared" si="10"/>
        <v>8.6171207547947688</v>
      </c>
      <c r="CC11" s="60">
        <f t="shared" si="11"/>
        <v>153.93098440033893</v>
      </c>
      <c r="CD11" s="60">
        <f ca="1">AVERAGE(OFFSET($CC$3,0,0,'Données projet'!$E$12+1,1))-AVERAGE(OFFSET($H$3,0,0,'Données projet'!$E$12+1,1))</f>
        <v>434.56763649859136</v>
      </c>
      <c r="CE11" s="60">
        <f t="shared" si="40"/>
        <v>271.90302066766264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2.84</v>
      </c>
      <c r="CT11" s="13">
        <f>IF('Données projet'!$A$140&gt;35,CT10+CS11-DB10,IF(A11&lt;'Données projet'!$A$140,$CQ$205^A11,IF(A11='Données projet'!$A$140,'Données projet'!$B$140,CT10+CS11-DB10)))</f>
        <v>3.9120344589280696</v>
      </c>
      <c r="CU11" s="18">
        <f>CT11*VLOOKUP('Données projet'!$B$13,Paramètres!$A$1:$I$89,3,0)*VLOOKUP('Données projet'!$B$13,Paramètres!$A$1:$I$89,5,0)</f>
        <v>3.2954978282010061</v>
      </c>
      <c r="CV11" s="14">
        <f t="shared" si="41"/>
        <v>1.3218649487814926</v>
      </c>
      <c r="CW11" s="22">
        <f t="shared" si="13"/>
        <v>8.0419068365778514</v>
      </c>
      <c r="CX11" s="60">
        <f t="shared" si="14"/>
        <v>153.35577048212201</v>
      </c>
      <c r="CY11" s="60">
        <f ca="1">AVERAGE(OFFSET($CX$3,0,0,'Données projet'!$E$13+1,1))-AVERAGE(OFFSET($H$3,0,0,'Données projet'!$E$13+1,1))</f>
        <v>411.64829629901465</v>
      </c>
      <c r="CZ11" s="60">
        <f t="shared" si="42"/>
        <v>258.66864562757917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2.84</v>
      </c>
      <c r="DO11" s="13">
        <f>IF('Données projet'!$A$166&gt;35,DO10+DN11-DW10,IF(A11&lt;'Données projet'!$A$166,$DL$205^A11,IF(A11='Données projet'!$A$166,'Données projet'!$B$166,DO10+DN11-DW10)))</f>
        <v>3.9120344589280696</v>
      </c>
      <c r="DP11" s="18">
        <f>DO11*VLOOKUP('Données projet'!$B$14,Paramètres!$A$1:$I$89,3,0)*VLOOKUP('Données projet'!$B$14,Paramètres!$A$1:$I$89,5,0)</f>
        <v>3.9668029413530626</v>
      </c>
      <c r="DQ11" s="14">
        <f t="shared" si="43"/>
        <v>1.5571634542627768</v>
      </c>
      <c r="DR11" s="22">
        <f t="shared" si="16"/>
        <v>9.6209081390309201</v>
      </c>
      <c r="DS11" s="60">
        <f t="shared" si="17"/>
        <v>154.93477178457508</v>
      </c>
      <c r="DT11" s="60">
        <f ca="1">AVERAGE(OFFSET($DS$3,0,0,'Données projet'!$E$14+1,1))-AVERAGE(OFFSET($H$3,0,0,'Données projet'!$E$14+1,1))</f>
        <v>474.59791006623266</v>
      </c>
      <c r="DU11" s="60">
        <f t="shared" si="44"/>
        <v>295.01432800690293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7.1333333333333337</v>
      </c>
      <c r="EJ11" s="13">
        <f>IF('Données projet'!$A$192&gt;35,EJ10+EI11-ER10,IF(A11&lt;'Données projet'!$A$192,$EG$205^A11,IF(A11='Données projet'!$A$192,'Données projet'!$B$192,EJ10+EI11-ER10)))</f>
        <v>12.087542519068045</v>
      </c>
      <c r="EK11" s="18">
        <f>EJ11*VLOOKUP('Données projet'!$B$15,Paramètres!$A$1:$I$89,3,0)*VLOOKUP('Données projet'!$B$15,Paramètres!$A$1:$I$89,5,0)</f>
        <v>10.559677144657845</v>
      </c>
      <c r="EL11" s="14">
        <f t="shared" si="45"/>
        <v>3.6987056480557761</v>
      </c>
      <c r="EM11" s="22">
        <f t="shared" si="19"/>
        <v>24.83335003064289</v>
      </c>
      <c r="EN11" s="60">
        <f t="shared" si="20"/>
        <v>170.14721367618705</v>
      </c>
      <c r="EO11" s="60">
        <f ca="1">AVERAGE(OFFSET($EN$3,0,0,'Données projet'!$E$15+1,1))-AVERAGE(OFFSET($H$3,0,0,'Données projet'!$E$15+1,1))</f>
        <v>334.73467807584336</v>
      </c>
      <c r="EP11" s="60">
        <f t="shared" si="46"/>
        <v>463.8772059551726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135.66666666666666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0">
        <f t="shared" si="0"/>
        <v>194.24852687759926</v>
      </c>
      <c r="S12" s="60">
        <f ca="1">AVERAGE(OFFSET($R$3,0,0,'Données projet'!$E$9+1,1))-AVERAGE(OFFSET($H$3,0,0,'Données projet'!$E$9+1,1))</f>
        <v>199.65420589615553</v>
      </c>
      <c r="T12" s="60">
        <f t="shared" si="34"/>
        <v>477.85821088970999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0">
        <f t="shared" si="5"/>
        <v>194.24852687759926</v>
      </c>
      <c r="AN12" s="60">
        <f ca="1">AVERAGE(OFFSET($AM$3,0,0,'Données projet'!$E$10+1,1))-AVERAGE(OFFSET($H$3,0,0,'Données projet'!$E$10+1,1))</f>
        <v>199.65420589615553</v>
      </c>
      <c r="AO12" s="60">
        <f t="shared" si="36"/>
        <v>477.85821088970999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6.5</v>
      </c>
      <c r="BD12" s="13">
        <f>IF('Données projet'!$A$88&gt;35,BD11+BC12-BL11,IF(A12&lt;'Données projet'!$A$88,$BA$205^A12,IF(A12='Données projet'!$A$88,'Données projet'!$B$88,BD11+BC12-BL11)))</f>
        <v>4.8641883518579174</v>
      </c>
      <c r="BE12" s="14">
        <f>BD12*VLOOKUP('Données projet'!$B$11,Paramètres!$A$1:$I$89,3,0)*VLOOKUP('Données projet'!$B$11,Paramètres!$A$1:$I$89,5,0)</f>
        <v>2.2764401486695052</v>
      </c>
      <c r="BF12" s="14">
        <f t="shared" si="37"/>
        <v>0.95328701064281096</v>
      </c>
      <c r="BG12" s="22">
        <f t="shared" si="7"/>
        <v>5.6251081358022832</v>
      </c>
      <c r="BH12" s="60">
        <f t="shared" si="8"/>
        <v>154.26253877302079</v>
      </c>
      <c r="BI12" s="60">
        <f ca="1">AVERAGE(OFFSET($BH$3,0,0,'Données projet'!$E$11+1,1))-AVERAGE(OFFSET($H$3,0,0,'Données projet'!$E$11+1,1))</f>
        <v>374.62597460242665</v>
      </c>
      <c r="BJ12" s="60">
        <f t="shared" si="38"/>
        <v>277.50105097454616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2.84</v>
      </c>
      <c r="BY12" s="13">
        <f>IF('Données projet'!$A$114&gt;35,BY11+BX12-CG11,IF(A12&lt;'Données projet'!$A$114,$BV$205^A12,IF(A12='Données projet'!$A$114,'Données projet'!$B$114,BY11+BX12-CG11)))</f>
        <v>4.6393058591914071</v>
      </c>
      <c r="BZ12" s="14">
        <f>BY12*VLOOKUP('Données projet'!$B$12,Paramètres!$A$1:$I$89,3,0)*VLOOKUP('Données projet'!$B$12,Paramètres!$A$1:$I$89,5,0)</f>
        <v>4.1976439413963851</v>
      </c>
      <c r="CA12" s="14">
        <f t="shared" si="39"/>
        <v>1.6369665715321342</v>
      </c>
      <c r="CB12" s="22">
        <f t="shared" si="10"/>
        <v>10.161946643350502</v>
      </c>
      <c r="CC12" s="60">
        <f t="shared" si="11"/>
        <v>158.79937728056899</v>
      </c>
      <c r="CD12" s="60">
        <f ca="1">AVERAGE(OFFSET($CC$3,0,0,'Données projet'!$E$12+1,1))-AVERAGE(OFFSET($H$3,0,0,'Données projet'!$E$12+1,1))</f>
        <v>434.56763649859136</v>
      </c>
      <c r="CE12" s="60">
        <f t="shared" si="40"/>
        <v>271.90302066766264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2.84</v>
      </c>
      <c r="CT12" s="13">
        <f>IF('Données projet'!$A$140&gt;35,CT11+CS12-DB11,IF(A12&lt;'Données projet'!$A$140,$CQ$205^A12,IF(A12='Données projet'!$A$140,'Données projet'!$B$140,CT11+CS12-DB11)))</f>
        <v>4.6393058591914071</v>
      </c>
      <c r="CU12" s="18">
        <f>CT12*VLOOKUP('Données projet'!$B$13,Paramètres!$A$1:$I$89,3,0)*VLOOKUP('Données projet'!$B$13,Paramètres!$A$1:$I$89,5,0)</f>
        <v>3.9081512557828417</v>
      </c>
      <c r="CV12" s="14">
        <f t="shared" si="41"/>
        <v>1.5368021585398566</v>
      </c>
      <c r="CW12" s="22">
        <f t="shared" si="13"/>
        <v>9.4832938632786998</v>
      </c>
      <c r="CX12" s="60">
        <f t="shared" si="14"/>
        <v>158.1207245004972</v>
      </c>
      <c r="CY12" s="60">
        <f ca="1">AVERAGE(OFFSET($CX$3,0,0,'Données projet'!$E$13+1,1))-AVERAGE(OFFSET($H$3,0,0,'Données projet'!$E$13+1,1))</f>
        <v>411.64829629901465</v>
      </c>
      <c r="CZ12" s="60">
        <f t="shared" si="42"/>
        <v>258.66864562757917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2.84</v>
      </c>
      <c r="DO12" s="13">
        <f>IF('Données projet'!$A$166&gt;35,DO11+DN12-DW11,IF(A12&lt;'Données projet'!$A$166,$DL$205^A12,IF(A12='Données projet'!$A$166,'Données projet'!$B$166,DO11+DN12-DW11)))</f>
        <v>4.6393058591914071</v>
      </c>
      <c r="DP12" s="18">
        <f>DO12*VLOOKUP('Données projet'!$B$14,Paramètres!$A$1:$I$89,3,0)*VLOOKUP('Données projet'!$B$14,Paramètres!$A$1:$I$89,5,0)</f>
        <v>4.7042561412200872</v>
      </c>
      <c r="DQ12" s="14">
        <f t="shared" si="43"/>
        <v>1.8103605515195429</v>
      </c>
      <c r="DR12" s="22">
        <f t="shared" si="16"/>
        <v>11.346290739854856</v>
      </c>
      <c r="DS12" s="60">
        <f t="shared" si="17"/>
        <v>159.98372137707335</v>
      </c>
      <c r="DT12" s="60">
        <f ca="1">AVERAGE(OFFSET($DS$3,0,0,'Données projet'!$E$14+1,1))-AVERAGE(OFFSET($H$3,0,0,'Données projet'!$E$14+1,1))</f>
        <v>474.59791006623266</v>
      </c>
      <c r="DU12" s="60">
        <f t="shared" si="44"/>
        <v>295.01432800690293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7.1333333333333337</v>
      </c>
      <c r="EJ12" s="13">
        <f>IF('Données projet'!$A$192&gt;35,EJ11+EI12-ER11,IF(A12&lt;'Données projet'!$A$192,$EG$205^A12,IF(A12='Données projet'!$A$192,'Données projet'!$B$192,EJ11+EI12-ER11)))</f>
        <v>16.505560112818404</v>
      </c>
      <c r="EK12" s="18">
        <f>EJ12*VLOOKUP('Données projet'!$B$15,Paramètres!$A$1:$I$89,3,0)*VLOOKUP('Données projet'!$B$15,Paramètres!$A$1:$I$89,5,0)</f>
        <v>14.419257314558161</v>
      </c>
      <c r="EL12" s="14">
        <f t="shared" si="45"/>
        <v>4.870729420129039</v>
      </c>
      <c r="EM12" s="22">
        <f t="shared" si="19"/>
        <v>33.596726896246878</v>
      </c>
      <c r="EN12" s="60">
        <f t="shared" si="20"/>
        <v>182.23415753346538</v>
      </c>
      <c r="EO12" s="60">
        <f ca="1">AVERAGE(OFFSET($EN$3,0,0,'Données projet'!$E$15+1,1))-AVERAGE(OFFSET($H$3,0,0,'Données projet'!$E$15+1,1))</f>
        <v>334.73467807584336</v>
      </c>
      <c r="EP12" s="60">
        <f t="shared" si="46"/>
        <v>463.8772059551726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135.66666666666666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0">
        <f t="shared" si="0"/>
        <v>218.46746637490492</v>
      </c>
      <c r="S13" s="60">
        <f ca="1">AVERAGE(OFFSET($R$3,0,0,'Données projet'!$E$9+1,1))-AVERAGE(OFFSET($H$3,0,0,'Données projet'!$E$9+1,1))</f>
        <v>199.65420589615553</v>
      </c>
      <c r="T13" s="60">
        <f t="shared" si="34"/>
        <v>477.85821088970999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0">
        <f t="shared" si="5"/>
        <v>218.46746637490492</v>
      </c>
      <c r="AN13" s="60">
        <f ca="1">AVERAGE(OFFSET($AM$3,0,0,'Données projet'!$E$10+1,1))-AVERAGE(OFFSET($H$3,0,0,'Données projet'!$E$10+1,1))</f>
        <v>199.65420589615553</v>
      </c>
      <c r="AO13" s="60">
        <f t="shared" si="36"/>
        <v>477.85821088970999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6.5</v>
      </c>
      <c r="BD13" s="13">
        <f>IF('Données projet'!$A$88&gt;35,BD12+BC13-BL12,IF(A13&lt;'Données projet'!$A$88,$BA$205^A13,IF(A13='Données projet'!$A$88,'Données projet'!$B$88,BD12+BC13-BL12)))</f>
        <v>5.7988899976489963</v>
      </c>
      <c r="BE13" s="14">
        <f>BD13*VLOOKUP('Données projet'!$B$11,Paramètres!$A$1:$I$89,3,0)*VLOOKUP('Données projet'!$B$11,Paramètres!$A$1:$I$89,5,0)</f>
        <v>2.7138805188997304</v>
      </c>
      <c r="BF13" s="14">
        <f t="shared" si="37"/>
        <v>1.1134554059951043</v>
      </c>
      <c r="BG13" s="22">
        <f t="shared" si="7"/>
        <v>6.66594340252517</v>
      </c>
      <c r="BH13" s="60">
        <f t="shared" si="8"/>
        <v>158.59048739757117</v>
      </c>
      <c r="BI13" s="60">
        <f ca="1">AVERAGE(OFFSET($BH$3,0,0,'Données projet'!$E$11+1,1))-AVERAGE(OFFSET($H$3,0,0,'Données projet'!$E$11+1,1))</f>
        <v>374.62597460242665</v>
      </c>
      <c r="BJ13" s="60">
        <f t="shared" si="38"/>
        <v>277.50105097454616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2.84</v>
      </c>
      <c r="BY13" s="13">
        <f>IF('Données projet'!$A$114&gt;35,BY12+BX13-CG12,IF(A13&lt;'Données projet'!$A$114,$BV$205^A13,IF(A13='Données projet'!$A$114,'Données projet'!$B$114,BY12+BX13-CG12)))</f>
        <v>5.5017815106427381</v>
      </c>
      <c r="BZ13" s="14">
        <f>BY13*VLOOKUP('Données projet'!$B$12,Paramètres!$A$1:$I$89,3,0)*VLOOKUP('Données projet'!$B$12,Paramètres!$A$1:$I$89,5,0)</f>
        <v>4.9780119108295491</v>
      </c>
      <c r="CA13" s="14">
        <f t="shared" si="39"/>
        <v>1.9031397745338225</v>
      </c>
      <c r="CB13" s="22">
        <f t="shared" si="10"/>
        <v>11.984672518674538</v>
      </c>
      <c r="CC13" s="60">
        <f t="shared" si="11"/>
        <v>163.90921651372054</v>
      </c>
      <c r="CD13" s="60">
        <f ca="1">AVERAGE(OFFSET($CC$3,0,0,'Données projet'!$E$12+1,1))-AVERAGE(OFFSET($H$3,0,0,'Données projet'!$E$12+1,1))</f>
        <v>434.56763649859136</v>
      </c>
      <c r="CE13" s="60">
        <f t="shared" si="40"/>
        <v>271.90302066766264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2.84</v>
      </c>
      <c r="CT13" s="13">
        <f>IF('Données projet'!$A$140&gt;35,CT12+CS13-DB12,IF(A13&lt;'Données projet'!$A$140,$CQ$205^A13,IF(A13='Données projet'!$A$140,'Données projet'!$B$140,CT12+CS13-DB12)))</f>
        <v>5.5017815106427381</v>
      </c>
      <c r="CU13" s="18">
        <f>CT13*VLOOKUP('Données projet'!$B$13,Paramètres!$A$1:$I$89,3,0)*VLOOKUP('Données projet'!$B$13,Paramètres!$A$1:$I$89,5,0)</f>
        <v>4.6347007445654436</v>
      </c>
      <c r="CV13" s="14">
        <f t="shared" si="41"/>
        <v>1.786688478781328</v>
      </c>
      <c r="CW13" s="22">
        <f t="shared" si="13"/>
        <v>11.183919563995628</v>
      </c>
      <c r="CX13" s="60">
        <f t="shared" si="14"/>
        <v>163.10846355904164</v>
      </c>
      <c r="CY13" s="60">
        <f ca="1">AVERAGE(OFFSET($CX$3,0,0,'Données projet'!$E$13+1,1))-AVERAGE(OFFSET($H$3,0,0,'Données projet'!$E$13+1,1))</f>
        <v>411.64829629901465</v>
      </c>
      <c r="CZ13" s="60">
        <f t="shared" si="42"/>
        <v>258.66864562757917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2.84</v>
      </c>
      <c r="DO13" s="13">
        <f>IF('Données projet'!$A$166&gt;35,DO12+DN13-DW12,IF(A13&lt;'Données projet'!$A$166,$DL$205^A13,IF(A13='Données projet'!$A$166,'Données projet'!$B$166,DO12+DN13-DW12)))</f>
        <v>5.5017815106427381</v>
      </c>
      <c r="DP13" s="18">
        <f>DO13*VLOOKUP('Données projet'!$B$14,Paramètres!$A$1:$I$89,3,0)*VLOOKUP('Données projet'!$B$14,Paramètres!$A$1:$I$89,5,0)</f>
        <v>5.5788064517917366</v>
      </c>
      <c r="DQ13" s="14">
        <f t="shared" si="43"/>
        <v>2.1047278739596393</v>
      </c>
      <c r="DR13" s="22">
        <f t="shared" si="16"/>
        <v>13.382155617350314</v>
      </c>
      <c r="DS13" s="60">
        <f t="shared" si="17"/>
        <v>165.30669961239633</v>
      </c>
      <c r="DT13" s="60">
        <f ca="1">AVERAGE(OFFSET($DS$3,0,0,'Données projet'!$E$14+1,1))-AVERAGE(OFFSET($H$3,0,0,'Données projet'!$E$14+1,1))</f>
        <v>474.59791006623266</v>
      </c>
      <c r="DU13" s="60">
        <f t="shared" si="44"/>
        <v>295.01432800690293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7.1333333333333337</v>
      </c>
      <c r="EJ13" s="13">
        <f>IF('Données projet'!$A$192&gt;35,EJ12+EI13-ER12,IF(A13&lt;'Données projet'!$A$192,$EG$205^A13,IF(A13='Données projet'!$A$192,'Données projet'!$B$192,EJ12+EI13-ER12)))</f>
        <v>22.538370740628146</v>
      </c>
      <c r="EK13" s="18">
        <f>EJ13*VLOOKUP('Données projet'!$B$15,Paramètres!$A$1:$I$89,3,0)*VLOOKUP('Données projet'!$B$15,Paramètres!$A$1:$I$89,5,0)</f>
        <v>19.689520679012752</v>
      </c>
      <c r="EL13" s="14">
        <f t="shared" si="45"/>
        <v>6.414137090520053</v>
      </c>
      <c r="EM13" s="22">
        <f t="shared" si="19"/>
        <v>45.463870615269634</v>
      </c>
      <c r="EN13" s="60">
        <f t="shared" si="20"/>
        <v>197.38841461031564</v>
      </c>
      <c r="EO13" s="60">
        <f ca="1">AVERAGE(OFFSET($EN$3,0,0,'Données projet'!$E$15+1,1))-AVERAGE(OFFSET($H$3,0,0,'Données projet'!$E$15+1,1))</f>
        <v>334.73467807584336</v>
      </c>
      <c r="EP13" s="60">
        <f t="shared" si="46"/>
        <v>463.8772059551726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135.66666666666666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0">
        <f t="shared" si="0"/>
        <v>252.2925758761121</v>
      </c>
      <c r="S14" s="60">
        <f ca="1">AVERAGE(OFFSET($R$3,0,0,'Données projet'!$E$9+1,1))-AVERAGE(OFFSET($H$3,0,0,'Données projet'!$E$9+1,1))</f>
        <v>199.65420589615553</v>
      </c>
      <c r="T14" s="60">
        <f t="shared" si="34"/>
        <v>477.85821088970999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0">
        <f t="shared" si="5"/>
        <v>252.2925758761121</v>
      </c>
      <c r="AN14" s="60">
        <f ca="1">AVERAGE(OFFSET($AM$3,0,0,'Données projet'!$E$10+1,1))-AVERAGE(OFFSET($H$3,0,0,'Données projet'!$E$10+1,1))</f>
        <v>199.65420589615553</v>
      </c>
      <c r="AO14" s="60">
        <f t="shared" si="36"/>
        <v>477.85821088970999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6.5</v>
      </c>
      <c r="BD14" s="13">
        <f>IF('Données projet'!$A$88&gt;35,BD13+BC14-BL13,IF(A14&lt;'Données projet'!$A$88,$BA$205^A14,IF(A14='Données projet'!$A$88,'Données projet'!$B$88,BD13+BC14-BL13)))</f>
        <v>6.9132037602921814</v>
      </c>
      <c r="BE14" s="14">
        <f>BD14*VLOOKUP('Données projet'!$B$11,Paramètres!$A$1:$I$89,3,0)*VLOOKUP('Données projet'!$B$11,Paramètres!$A$1:$I$89,5,0)</f>
        <v>3.2353793598167409</v>
      </c>
      <c r="BF14" s="14">
        <f t="shared" si="37"/>
        <v>1.3005348098719234</v>
      </c>
      <c r="BG14" s="22">
        <f t="shared" si="7"/>
        <v>7.9000505122077564</v>
      </c>
      <c r="BH14" s="60">
        <f t="shared" si="8"/>
        <v>163.07588662028346</v>
      </c>
      <c r="BI14" s="60">
        <f ca="1">AVERAGE(OFFSET($BH$3,0,0,'Données projet'!$E$11+1,1))-AVERAGE(OFFSET($H$3,0,0,'Données projet'!$E$11+1,1))</f>
        <v>374.62597460242665</v>
      </c>
      <c r="BJ14" s="60">
        <f t="shared" si="38"/>
        <v>277.50105097454616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2.84</v>
      </c>
      <c r="BY14" s="13">
        <f>IF('Données projet'!$A$114&gt;35,BY13+BX14-CG13,IF(A14&lt;'Données projet'!$A$114,$BV$205^A14,IF(A14='Données projet'!$A$114,'Données projet'!$B$114,BY13+BX14-CG13)))</f>
        <v>6.5245967197614414</v>
      </c>
      <c r="BZ14" s="14">
        <f>BY14*VLOOKUP('Données projet'!$B$12,Paramètres!$A$1:$I$89,3,0)*VLOOKUP('Données projet'!$B$12,Paramètres!$A$1:$I$89,5,0)</f>
        <v>5.9034551120401524</v>
      </c>
      <c r="CA14" s="14">
        <f t="shared" si="39"/>
        <v>2.2125931368425316</v>
      </c>
      <c r="CB14" s="22">
        <f t="shared" si="10"/>
        <v>14.135450700137341</v>
      </c>
      <c r="CC14" s="60">
        <f t="shared" si="11"/>
        <v>169.31128680821303</v>
      </c>
      <c r="CD14" s="60">
        <f ca="1">AVERAGE(OFFSET($CC$3,0,0,'Données projet'!$E$12+1,1))-AVERAGE(OFFSET($H$3,0,0,'Données projet'!$E$12+1,1))</f>
        <v>434.56763649859136</v>
      </c>
      <c r="CE14" s="60">
        <f t="shared" si="40"/>
        <v>271.90302066766264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2.84</v>
      </c>
      <c r="CT14" s="13">
        <f>IF('Données projet'!$A$140&gt;35,CT13+CS14-DB13,IF(A14&lt;'Données projet'!$A$140,$CQ$205^A14,IF(A14='Données projet'!$A$140,'Données projet'!$B$140,CT13+CS14-DB13)))</f>
        <v>6.5245967197614414</v>
      </c>
      <c r="CU14" s="18">
        <f>CT14*VLOOKUP('Données projet'!$B$13,Paramètres!$A$1:$I$89,3,0)*VLOOKUP('Données projet'!$B$13,Paramètres!$A$1:$I$89,5,0)</f>
        <v>5.4963202767270385</v>
      </c>
      <c r="CV14" s="14">
        <f t="shared" si="41"/>
        <v>2.0772066869316186</v>
      </c>
      <c r="CW14" s="22">
        <f t="shared" si="13"/>
        <v>13.190559461705492</v>
      </c>
      <c r="CX14" s="60">
        <f t="shared" si="14"/>
        <v>168.36639556978119</v>
      </c>
      <c r="CY14" s="60">
        <f ca="1">AVERAGE(OFFSET($CX$3,0,0,'Données projet'!$E$13+1,1))-AVERAGE(OFFSET($H$3,0,0,'Données projet'!$E$13+1,1))</f>
        <v>411.64829629901465</v>
      </c>
      <c r="CZ14" s="60">
        <f t="shared" si="42"/>
        <v>258.66864562757917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2.84</v>
      </c>
      <c r="DO14" s="13">
        <f>IF('Données projet'!$A$166&gt;35,DO13+DN14-DW13,IF(A14&lt;'Données projet'!$A$166,$DL$205^A14,IF(A14='Données projet'!$A$166,'Données projet'!$B$166,DO13+DN14-DW13)))</f>
        <v>6.5245967197614414</v>
      </c>
      <c r="DP14" s="18">
        <f>DO14*VLOOKUP('Données projet'!$B$14,Paramètres!$A$1:$I$89,3,0)*VLOOKUP('Données projet'!$B$14,Paramètres!$A$1:$I$89,5,0)</f>
        <v>6.6159410738381021</v>
      </c>
      <c r="DQ14" s="14">
        <f t="shared" si="43"/>
        <v>2.4469597615261804</v>
      </c>
      <c r="DR14" s="22">
        <f t="shared" si="16"/>
        <v>15.784552288259455</v>
      </c>
      <c r="DS14" s="60">
        <f t="shared" si="17"/>
        <v>170.96038839633513</v>
      </c>
      <c r="DT14" s="60">
        <f ca="1">AVERAGE(OFFSET($DS$3,0,0,'Données projet'!$E$14+1,1))-AVERAGE(OFFSET($H$3,0,0,'Données projet'!$E$14+1,1))</f>
        <v>474.59791006623266</v>
      </c>
      <c r="DU14" s="60">
        <f t="shared" si="44"/>
        <v>295.01432800690293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7.1333333333333337</v>
      </c>
      <c r="EJ14" s="13">
        <f>IF('Données projet'!$A$192&gt;35,EJ13+EI14-ER13,IF(A14&lt;'Données projet'!$A$192,$EG$205^A14,IF(A14='Données projet'!$A$192,'Données projet'!$B$192,EJ13+EI14-ER13)))</f>
        <v>30.776184035554262</v>
      </c>
      <c r="EK14" s="18">
        <f>EJ14*VLOOKUP('Données projet'!$B$15,Paramètres!$A$1:$I$89,3,0)*VLOOKUP('Données projet'!$B$15,Paramètres!$A$1:$I$89,5,0)</f>
        <v>26.886074373460207</v>
      </c>
      <c r="EL14" s="14">
        <f t="shared" si="45"/>
        <v>8.4466105725279856</v>
      </c>
      <c r="EM14" s="22">
        <f t="shared" si="19"/>
        <v>61.537759614262761</v>
      </c>
      <c r="EN14" s="60">
        <f t="shared" si="20"/>
        <v>216.71359572233845</v>
      </c>
      <c r="EO14" s="60">
        <f ca="1">AVERAGE(OFFSET($EN$3,0,0,'Données projet'!$E$15+1,1))-AVERAGE(OFFSET($H$3,0,0,'Données projet'!$E$15+1,1))</f>
        <v>334.73467807584336</v>
      </c>
      <c r="EP14" s="60">
        <f t="shared" si="46"/>
        <v>463.8772059551726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135.66666666666666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0">
        <f t="shared" si="0"/>
        <v>300.1811930096008</v>
      </c>
      <c r="S15" s="60">
        <f ca="1">AVERAGE(OFFSET($R$3,0,0,'Données projet'!$E$9+1,1))-AVERAGE(OFFSET($H$3,0,0,'Données projet'!$E$9+1,1))</f>
        <v>199.65420589615553</v>
      </c>
      <c r="T15" s="60">
        <f t="shared" si="34"/>
        <v>477.85821088970999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0">
        <f t="shared" si="5"/>
        <v>300.1811930096008</v>
      </c>
      <c r="AN15" s="60">
        <f ca="1">AVERAGE(OFFSET($AM$3,0,0,'Données projet'!$E$10+1,1))-AVERAGE(OFFSET($H$3,0,0,'Données projet'!$E$10+1,1))</f>
        <v>199.65420589615553</v>
      </c>
      <c r="AO15" s="60">
        <f t="shared" si="36"/>
        <v>477.85821088970999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6.5</v>
      </c>
      <c r="BD15" s="13">
        <f>IF('Données projet'!$A$88&gt;35,BD14+BC15-BL14,IF(A15&lt;'Données projet'!$A$88,$BA$205^A15,IF(A15='Données projet'!$A$88,'Données projet'!$B$88,BD14+BC15-BL14)))</f>
        <v>8.2416438750681742</v>
      </c>
      <c r="BE15" s="14">
        <f>BD15*VLOOKUP('Données projet'!$B$11,Paramètres!$A$1:$I$89,3,0)*VLOOKUP('Données projet'!$B$11,Paramètres!$A$1:$I$89,5,0)</f>
        <v>3.8570893335319059</v>
      </c>
      <c r="BF15" s="14">
        <f t="shared" si="37"/>
        <v>1.5190467283932132</v>
      </c>
      <c r="BG15" s="22">
        <f t="shared" si="7"/>
        <v>9.3634369745195816</v>
      </c>
      <c r="BH15" s="60">
        <f t="shared" si="8"/>
        <v>167.75536536934018</v>
      </c>
      <c r="BI15" s="60">
        <f ca="1">AVERAGE(OFFSET($BH$3,0,0,'Données projet'!$E$11+1,1))-AVERAGE(OFFSET($H$3,0,0,'Données projet'!$E$11+1,1))</f>
        <v>374.62597460242665</v>
      </c>
      <c r="BJ15" s="60">
        <f t="shared" si="38"/>
        <v>277.50105097454616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2.84</v>
      </c>
      <c r="BY15" s="13">
        <f>IF('Données projet'!$A$114&gt;35,BY14+BX15-CG14,IF(A15&lt;'Données projet'!$A$114,$BV$205^A15,IF(A15='Données projet'!$A$114,'Données projet'!$B$114,BY14+BX15-CG14)))</f>
        <v>7.7375596019531026</v>
      </c>
      <c r="BZ15" s="14">
        <f>BY15*VLOOKUP('Données projet'!$B$12,Paramètres!$A$1:$I$89,3,0)*VLOOKUP('Données projet'!$B$12,Paramètres!$A$1:$I$89,5,0)</f>
        <v>7.0009439278471666</v>
      </c>
      <c r="CA15" s="14">
        <f t="shared" si="39"/>
        <v>2.5723640768329017</v>
      </c>
      <c r="CB15" s="22">
        <f t="shared" si="10"/>
        <v>16.673511441484454</v>
      </c>
      <c r="CC15" s="60">
        <f t="shared" si="11"/>
        <v>175.06543983630507</v>
      </c>
      <c r="CD15" s="60">
        <f ca="1">AVERAGE(OFFSET($CC$3,0,0,'Données projet'!$E$12+1,1))-AVERAGE(OFFSET($H$3,0,0,'Données projet'!$E$12+1,1))</f>
        <v>434.56763649859136</v>
      </c>
      <c r="CE15" s="60">
        <f t="shared" si="40"/>
        <v>271.90302066766264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2.84</v>
      </c>
      <c r="CT15" s="13">
        <f>IF('Données projet'!$A$140&gt;35,CT14+CS15-DB14,IF(A15&lt;'Données projet'!$A$140,$CQ$205^A15,IF(A15='Données projet'!$A$140,'Données projet'!$B$140,CT14+CS15-DB14)))</f>
        <v>7.7375596019531026</v>
      </c>
      <c r="CU15" s="18">
        <f>CT15*VLOOKUP('Données projet'!$B$13,Paramètres!$A$1:$I$89,3,0)*VLOOKUP('Données projet'!$B$13,Paramètres!$A$1:$I$89,5,0)</f>
        <v>6.5181202086852945</v>
      </c>
      <c r="CV15" s="14">
        <f t="shared" si="41"/>
        <v>2.4149635884910836</v>
      </c>
      <c r="CW15" s="22">
        <f t="shared" si="13"/>
        <v>15.558454280082193</v>
      </c>
      <c r="CX15" s="60">
        <f t="shared" si="14"/>
        <v>173.95038267490281</v>
      </c>
      <c r="CY15" s="60">
        <f ca="1">AVERAGE(OFFSET($CX$3,0,0,'Données projet'!$E$13+1,1))-AVERAGE(OFFSET($H$3,0,0,'Données projet'!$E$13+1,1))</f>
        <v>411.64829629901465</v>
      </c>
      <c r="CZ15" s="60">
        <f t="shared" si="42"/>
        <v>258.66864562757917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2.84</v>
      </c>
      <c r="DO15" s="13">
        <f>IF('Données projet'!$A$166&gt;35,DO14+DN15-DW14,IF(A15&lt;'Données projet'!$A$166,$DL$205^A15,IF(A15='Données projet'!$A$166,'Données projet'!$B$166,DO14+DN15-DW14)))</f>
        <v>7.7375596019531026</v>
      </c>
      <c r="DP15" s="18">
        <f>DO15*VLOOKUP('Données projet'!$B$14,Paramètres!$A$1:$I$89,3,0)*VLOOKUP('Données projet'!$B$14,Paramètres!$A$1:$I$89,5,0)</f>
        <v>7.8458854363804464</v>
      </c>
      <c r="DQ15" s="14">
        <f t="shared" si="43"/>
        <v>2.844839063809101</v>
      </c>
      <c r="DR15" s="22">
        <f t="shared" si="16"/>
        <v>18.619678504496793</v>
      </c>
      <c r="DS15" s="60">
        <f t="shared" si="17"/>
        <v>177.0116068993174</v>
      </c>
      <c r="DT15" s="60">
        <f ca="1">AVERAGE(OFFSET($DS$3,0,0,'Données projet'!$E$14+1,1))-AVERAGE(OFFSET($H$3,0,0,'Données projet'!$E$14+1,1))</f>
        <v>474.59791006623266</v>
      </c>
      <c r="DU15" s="60">
        <f t="shared" si="44"/>
        <v>295.01432800690293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7.1333333333333337</v>
      </c>
      <c r="EJ15" s="13">
        <f>IF('Données projet'!$A$192&gt;35,EJ14+EI15-ER14,IF(A15&lt;'Données projet'!$A$192,$EG$205^A15,IF(A15='Données projet'!$A$192,'Données projet'!$B$192,EJ14+EI15-ER14)))</f>
        <v>42.024932267304926</v>
      </c>
      <c r="EK15" s="18">
        <f>EJ15*VLOOKUP('Données projet'!$B$15,Paramètres!$A$1:$I$89,3,0)*VLOOKUP('Données projet'!$B$15,Paramètres!$A$1:$I$89,5,0)</f>
        <v>36.71298082871759</v>
      </c>
      <c r="EL15" s="14">
        <f t="shared" si="45"/>
        <v>11.123122121818724</v>
      </c>
      <c r="EM15" s="22">
        <f t="shared" si="19"/>
        <v>83.314545972184078</v>
      </c>
      <c r="EN15" s="60">
        <f t="shared" si="20"/>
        <v>241.70647436700469</v>
      </c>
      <c r="EO15" s="60">
        <f ca="1">AVERAGE(OFFSET($EN$3,0,0,'Données projet'!$E$15+1,1))-AVERAGE(OFFSET($H$3,0,0,'Données projet'!$E$15+1,1))</f>
        <v>334.73467807584336</v>
      </c>
      <c r="EP15" s="60">
        <f t="shared" si="46"/>
        <v>463.8772059551726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135.66666666666666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0">
        <f t="shared" si="0"/>
        <v>286.1346246836693</v>
      </c>
      <c r="S16" s="60">
        <f ca="1">AVERAGE(OFFSET($R$3,0,0,'Données projet'!$E$9+1,1))-AVERAGE(OFFSET($H$3,0,0,'Données projet'!$E$9+1,1))</f>
        <v>199.65420589615553</v>
      </c>
      <c r="T16" s="60">
        <f t="shared" si="34"/>
        <v>477.85821088970999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0">
        <f t="shared" si="5"/>
        <v>286.1346246836693</v>
      </c>
      <c r="AN16" s="60">
        <f ca="1">AVERAGE(OFFSET($AM$3,0,0,'Données projet'!$E$10+1,1))-AVERAGE(OFFSET($H$3,0,0,'Données projet'!$E$10+1,1))</f>
        <v>199.65420589615553</v>
      </c>
      <c r="AO16" s="60">
        <f t="shared" si="36"/>
        <v>477.85821088970999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6.5</v>
      </c>
      <c r="BD16" s="13">
        <f>IF('Données projet'!$A$88&gt;35,BD15+BC16-BL15,IF(A16&lt;'Données projet'!$A$88,$BA$205^A16,IF(A16='Données projet'!$A$88,'Données projet'!$B$88,BD15+BC16-BL15)))</f>
        <v>9.8253568271186005</v>
      </c>
      <c r="BE16" s="14">
        <f>BD16*VLOOKUP('Données projet'!$B$11,Paramètres!$A$1:$I$89,3,0)*VLOOKUP('Données projet'!$B$11,Paramètres!$A$1:$I$89,5,0)</f>
        <v>4.5982669950915049</v>
      </c>
      <c r="BF16" s="14">
        <f t="shared" si="37"/>
        <v>1.7742723574383734</v>
      </c>
      <c r="BG16" s="22">
        <f t="shared" si="7"/>
        <v>11.098839372322871</v>
      </c>
      <c r="BH16" s="60">
        <f t="shared" si="8"/>
        <v>172.67227086589457</v>
      </c>
      <c r="BI16" s="60">
        <f ca="1">AVERAGE(OFFSET($BH$3,0,0,'Données projet'!$E$11+1,1))-AVERAGE(OFFSET($H$3,0,0,'Données projet'!$E$11+1,1))</f>
        <v>374.62597460242665</v>
      </c>
      <c r="BJ16" s="60">
        <f t="shared" si="38"/>
        <v>277.50105097454616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2.84</v>
      </c>
      <c r="BY16" s="13">
        <f>IF('Données projet'!$A$114&gt;35,BY15+BX16-CG15,IF(A16&lt;'Données projet'!$A$114,$BV$205^A16,IF(A16='Données projet'!$A$114,'Données projet'!$B$114,BY15+BX16-CG15)))</f>
        <v>9.1760197856283234</v>
      </c>
      <c r="BZ16" s="14">
        <f>BY16*VLOOKUP('Données projet'!$B$12,Paramètres!$A$1:$I$89,3,0)*VLOOKUP('Données projet'!$B$12,Paramètres!$A$1:$I$89,5,0)</f>
        <v>8.3024627020365074</v>
      </c>
      <c r="CA16" s="14">
        <f t="shared" si="39"/>
        <v>2.9906343075904238</v>
      </c>
      <c r="CB16" s="22">
        <f t="shared" si="10"/>
        <v>19.668810625100239</v>
      </c>
      <c r="CC16" s="60">
        <f t="shared" si="11"/>
        <v>181.24224211867192</v>
      </c>
      <c r="CD16" s="60">
        <f ca="1">AVERAGE(OFFSET($CC$3,0,0,'Données projet'!$E$12+1,1))-AVERAGE(OFFSET($H$3,0,0,'Données projet'!$E$12+1,1))</f>
        <v>434.56763649859136</v>
      </c>
      <c r="CE16" s="60">
        <f t="shared" si="40"/>
        <v>271.90302066766264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2.84</v>
      </c>
      <c r="CT16" s="13">
        <f>IF('Données projet'!$A$140&gt;35,CT15+CS16-DB15,IF(A16&lt;'Données projet'!$A$140,$CQ$205^A16,IF(A16='Données projet'!$A$140,'Données projet'!$B$140,CT15+CS16-DB15)))</f>
        <v>9.1760197856283234</v>
      </c>
      <c r="CU16" s="18">
        <f>CT16*VLOOKUP('Données projet'!$B$13,Paramètres!$A$1:$I$89,3,0)*VLOOKUP('Données projet'!$B$13,Paramètres!$A$1:$I$89,5,0)</f>
        <v>7.7298790674133011</v>
      </c>
      <c r="CV16" s="14">
        <f t="shared" si="41"/>
        <v>2.8076402653761163</v>
      </c>
      <c r="CW16" s="22">
        <f t="shared" si="13"/>
        <v>18.352846171274901</v>
      </c>
      <c r="CX16" s="60">
        <f t="shared" si="14"/>
        <v>179.92627766484659</v>
      </c>
      <c r="CY16" s="60">
        <f ca="1">AVERAGE(OFFSET($CX$3,0,0,'Données projet'!$E$13+1,1))-AVERAGE(OFFSET($H$3,0,0,'Données projet'!$E$13+1,1))</f>
        <v>411.64829629901465</v>
      </c>
      <c r="CZ16" s="60">
        <f t="shared" si="42"/>
        <v>258.66864562757917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2.84</v>
      </c>
      <c r="DO16" s="13">
        <f>IF('Données projet'!$A$166&gt;35,DO15+DN16-DW15,IF(A16&lt;'Données projet'!$A$166,$DL$205^A16,IF(A16='Données projet'!$A$166,'Données projet'!$B$166,DO15+DN16-DW15)))</f>
        <v>9.1760197856283234</v>
      </c>
      <c r="DP16" s="18">
        <f>DO16*VLOOKUP('Données projet'!$B$14,Paramètres!$A$1:$I$89,3,0)*VLOOKUP('Données projet'!$B$14,Paramètres!$A$1:$I$89,5,0)</f>
        <v>9.3044840626271217</v>
      </c>
      <c r="DQ16" s="14">
        <f t="shared" si="43"/>
        <v>3.3074141333352105</v>
      </c>
      <c r="DR16" s="22">
        <f t="shared" si="16"/>
        <v>21.965722691301057</v>
      </c>
      <c r="DS16" s="60">
        <f t="shared" si="17"/>
        <v>183.53915418487276</v>
      </c>
      <c r="DT16" s="60">
        <f ca="1">AVERAGE(OFFSET($DS$3,0,0,'Données projet'!$E$14+1,1))-AVERAGE(OFFSET($H$3,0,0,'Données projet'!$E$14+1,1))</f>
        <v>474.59791006623266</v>
      </c>
      <c r="DU16" s="60">
        <f t="shared" si="44"/>
        <v>295.01432800690293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7.1333333333333337</v>
      </c>
      <c r="EJ16" s="13">
        <f>IF('Données projet'!$A$192&gt;35,EJ15+EI16-ER15,IF(A16&lt;'Données projet'!$A$192,$EG$205^A16,IF(A16='Données projet'!$A$192,'Données projet'!$B$192,EJ15+EI16-ER15)))</f>
        <v>57.385117337200782</v>
      </c>
      <c r="EK16" s="18">
        <f>EJ16*VLOOKUP('Données projet'!$B$15,Paramètres!$A$1:$I$89,3,0)*VLOOKUP('Données projet'!$B$15,Paramètres!$A$1:$I$89,5,0)</f>
        <v>50.131638505778611</v>
      </c>
      <c r="EL16" s="14">
        <f t="shared" si="45"/>
        <v>14.647750677567194</v>
      </c>
      <c r="EM16" s="22">
        <f t="shared" si="19"/>
        <v>112.82410282766058</v>
      </c>
      <c r="EN16" s="60">
        <f t="shared" si="20"/>
        <v>274.39753432123229</v>
      </c>
      <c r="EO16" s="60">
        <f ca="1">AVERAGE(OFFSET($EN$3,0,0,'Données projet'!$E$15+1,1))-AVERAGE(OFFSET($H$3,0,0,'Données projet'!$E$15+1,1))</f>
        <v>334.73467807584336</v>
      </c>
      <c r="EP16" s="60">
        <f t="shared" si="46"/>
        <v>463.8772059551726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135.66666666666666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0">
        <f t="shared" si="0"/>
        <v>316.40619058933919</v>
      </c>
      <c r="S17" s="60">
        <f ca="1">AVERAGE(OFFSET($R$3,0,0,'Données projet'!$E$9+1,1))-AVERAGE(OFFSET($H$3,0,0,'Données projet'!$E$9+1,1))</f>
        <v>199.65420589615553</v>
      </c>
      <c r="T17" s="60">
        <f t="shared" si="34"/>
        <v>477.85821088970999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0">
        <f t="shared" si="5"/>
        <v>316.40619058933919</v>
      </c>
      <c r="AN17" s="60">
        <f ca="1">AVERAGE(OFFSET($AM$3,0,0,'Données projet'!$E$10+1,1))-AVERAGE(OFFSET($H$3,0,0,'Données projet'!$E$10+1,1))</f>
        <v>199.65420589615553</v>
      </c>
      <c r="AO17" s="60">
        <f t="shared" si="36"/>
        <v>477.85821088970999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6.5</v>
      </c>
      <c r="BD17" s="13">
        <f>IF('Données projet'!$A$88&gt;35,BD16+BC17-BL16,IF(A17&lt;'Données projet'!$A$88,$BA$205^A17,IF(A17='Données projet'!$A$88,'Données projet'!$B$88,BD16+BC17-BL16)))</f>
        <v>11.71339580350498</v>
      </c>
      <c r="BE17" s="14">
        <f>BD17*VLOOKUP('Données projet'!$B$11,Paramètres!$A$1:$I$89,3,0)*VLOOKUP('Données projet'!$B$11,Paramètres!$A$1:$I$89,5,0)</f>
        <v>5.4818692360403301</v>
      </c>
      <c r="BF17" s="14">
        <f t="shared" si="37"/>
        <v>2.0723802234180093</v>
      </c>
      <c r="BG17" s="22">
        <f t="shared" si="7"/>
        <v>13.156984475223274</v>
      </c>
      <c r="BH17" s="60">
        <f t="shared" si="8"/>
        <v>177.87792992463409</v>
      </c>
      <c r="BI17" s="60">
        <f ca="1">AVERAGE(OFFSET($BH$3,0,0,'Données projet'!$E$11+1,1))-AVERAGE(OFFSET($H$3,0,0,'Données projet'!$E$11+1,1))</f>
        <v>374.62597460242665</v>
      </c>
      <c r="BJ17" s="60">
        <f t="shared" si="38"/>
        <v>277.50105097454616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2.84</v>
      </c>
      <c r="BY17" s="13">
        <f>IF('Données projet'!$A$114&gt;35,BY16+BX17-CG16,IF(A17&lt;'Données projet'!$A$114,$BV$205^A17,IF(A17='Données projet'!$A$114,'Données projet'!$B$114,BY16+BX17-CG16)))</f>
        <v>10.881898613742376</v>
      </c>
      <c r="BZ17" s="14">
        <f>BY17*VLOOKUP('Données projet'!$B$12,Paramètres!$A$1:$I$89,3,0)*VLOOKUP('Données projet'!$B$12,Paramètres!$A$1:$I$89,5,0)</f>
        <v>9.8459418657141011</v>
      </c>
      <c r="CA17" s="14">
        <f t="shared" si="39"/>
        <v>3.4769159009359916</v>
      </c>
      <c r="CB17" s="22">
        <f t="shared" si="10"/>
        <v>23.203977276915577</v>
      </c>
      <c r="CC17" s="60">
        <f t="shared" si="11"/>
        <v>187.92492272632637</v>
      </c>
      <c r="CD17" s="60">
        <f ca="1">AVERAGE(OFFSET($CC$3,0,0,'Données projet'!$E$12+1,1))-AVERAGE(OFFSET($H$3,0,0,'Données projet'!$E$12+1,1))</f>
        <v>434.56763649859136</v>
      </c>
      <c r="CE17" s="60">
        <f t="shared" si="40"/>
        <v>271.90302066766264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2.84</v>
      </c>
      <c r="CT17" s="13">
        <f>IF('Données projet'!$A$140&gt;35,CT16+CS17-DB16,IF(A17&lt;'Données projet'!$A$140,$CQ$205^A17,IF(A17='Données projet'!$A$140,'Données projet'!$B$140,CT16+CS17-DB16)))</f>
        <v>10.881898613742376</v>
      </c>
      <c r="CU17" s="18">
        <f>CT17*VLOOKUP('Données projet'!$B$13,Paramètres!$A$1:$I$89,3,0)*VLOOKUP('Données projet'!$B$13,Paramètres!$A$1:$I$89,5,0)</f>
        <v>9.1669113922165781</v>
      </c>
      <c r="CV17" s="14">
        <f t="shared" si="41"/>
        <v>3.2641667548646658</v>
      </c>
      <c r="CW17" s="22">
        <f t="shared" si="13"/>
        <v>21.650794439499833</v>
      </c>
      <c r="CX17" s="60">
        <f t="shared" si="14"/>
        <v>186.37173988891064</v>
      </c>
      <c r="CY17" s="60">
        <f ca="1">AVERAGE(OFFSET($CX$3,0,0,'Données projet'!$E$13+1,1))-AVERAGE(OFFSET($H$3,0,0,'Données projet'!$E$13+1,1))</f>
        <v>411.64829629901465</v>
      </c>
      <c r="CZ17" s="60">
        <f t="shared" si="42"/>
        <v>258.66864562757917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2.84</v>
      </c>
      <c r="DO17" s="13">
        <f>IF('Données projet'!$A$166&gt;35,DO16+DN17-DW16,IF(A17&lt;'Données projet'!$A$166,$DL$205^A17,IF(A17='Données projet'!$A$166,'Données projet'!$B$166,DO16+DN17-DW16)))</f>
        <v>10.881898613742376</v>
      </c>
      <c r="DP17" s="18">
        <f>DO17*VLOOKUP('Données projet'!$B$14,Paramètres!$A$1:$I$89,3,0)*VLOOKUP('Données projet'!$B$14,Paramètres!$A$1:$I$89,5,0)</f>
        <v>11.034245194334769</v>
      </c>
      <c r="DQ17" s="14">
        <f t="shared" si="43"/>
        <v>3.8452045982308483</v>
      </c>
      <c r="DR17" s="22">
        <f t="shared" si="16"/>
        <v>25.915041722051782</v>
      </c>
      <c r="DS17" s="60">
        <f t="shared" si="17"/>
        <v>190.6359871714626</v>
      </c>
      <c r="DT17" s="60">
        <f ca="1">AVERAGE(OFFSET($DS$3,0,0,'Données projet'!$E$14+1,1))-AVERAGE(OFFSET($H$3,0,0,'Données projet'!$E$14+1,1))</f>
        <v>474.59791006623266</v>
      </c>
      <c r="DU17" s="60">
        <f t="shared" si="44"/>
        <v>295.01432800690293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7.1333333333333337</v>
      </c>
      <c r="EJ17" s="13">
        <f>IF('Données projet'!$A$192&gt;35,EJ16+EI17-ER16,IF(A17&lt;'Données projet'!$A$192,$EG$205^A17,IF(A17='Données projet'!$A$192,'Données projet'!$B$192,EJ16+EI17-ER16)))</f>
        <v>78.35947648549265</v>
      </c>
      <c r="EK17" s="18">
        <f>EJ17*VLOOKUP('Données projet'!$B$15,Paramètres!$A$1:$I$89,3,0)*VLOOKUP('Données projet'!$B$15,Paramètres!$A$1:$I$89,5,0)</f>
        <v>68.454838657726384</v>
      </c>
      <c r="EL17" s="14">
        <f t="shared" si="45"/>
        <v>19.289242495261615</v>
      </c>
      <c r="EM17" s="22">
        <f t="shared" si="19"/>
        <v>152.8209413414541</v>
      </c>
      <c r="EN17" s="60">
        <f t="shared" si="20"/>
        <v>317.54188679086491</v>
      </c>
      <c r="EO17" s="60">
        <f ca="1">AVERAGE(OFFSET($EN$3,0,0,'Données projet'!$E$15+1,1))-AVERAGE(OFFSET($H$3,0,0,'Données projet'!$E$15+1,1))</f>
        <v>334.73467807584336</v>
      </c>
      <c r="EP17" s="60">
        <f t="shared" si="46"/>
        <v>463.8772059551726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135.66666666666666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0">
        <f t="shared" si="0"/>
        <v>346.52852721562152</v>
      </c>
      <c r="S18" s="60">
        <f ca="1">AVERAGE(OFFSET($R$3,0,0,'Données projet'!$E$9+1,1))-AVERAGE(OFFSET($H$3,0,0,'Données projet'!$E$9+1,1))</f>
        <v>199.65420589615553</v>
      </c>
      <c r="T18" s="60">
        <f t="shared" si="34"/>
        <v>477.85821088970999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0">
        <f t="shared" si="5"/>
        <v>346.52852721562152</v>
      </c>
      <c r="AN18" s="60">
        <f ca="1">AVERAGE(OFFSET($AM$3,0,0,'Données projet'!$E$10+1,1))-AVERAGE(OFFSET($H$3,0,0,'Données projet'!$E$10+1,1))</f>
        <v>199.65420589615553</v>
      </c>
      <c r="AO18" s="60">
        <f t="shared" si="36"/>
        <v>477.85821088970999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6.5</v>
      </c>
      <c r="BD18" s="13">
        <f>IF('Données projet'!$A$88&gt;35,BD17+BC18-BL17,IF(A18&lt;'Données projet'!$A$88,$BA$205^A18,IF(A18='Données projet'!$A$88,'Données projet'!$B$88,BD17+BC18-BL17)))</f>
        <v>13.964240043768939</v>
      </c>
      <c r="BE18" s="14">
        <f>BD18*VLOOKUP('Données projet'!$B$11,Paramètres!$A$1:$I$89,3,0)*VLOOKUP('Données projet'!$B$11,Paramètres!$A$1:$I$89,5,0)</f>
        <v>6.5352643404838631</v>
      </c>
      <c r="BF18" s="14">
        <f t="shared" si="37"/>
        <v>2.4205752698614362</v>
      </c>
      <c r="BG18" s="22">
        <f t="shared" si="7"/>
        <v>15.598087321351393</v>
      </c>
      <c r="BH18" s="60">
        <f t="shared" si="8"/>
        <v>183.43314721933055</v>
      </c>
      <c r="BI18" s="60">
        <f ca="1">AVERAGE(OFFSET($BH$3,0,0,'Données projet'!$E$11+1,1))-AVERAGE(OFFSET($H$3,0,0,'Données projet'!$E$11+1,1))</f>
        <v>374.62597460242665</v>
      </c>
      <c r="BJ18" s="60">
        <f t="shared" si="38"/>
        <v>277.50105097454616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2.84</v>
      </c>
      <c r="BY18" s="13">
        <f>IF('Données projet'!$A$114&gt;35,BY17+BX18-CG17,IF(A18&lt;'Données projet'!$A$114,$BV$205^A18,IF(A18='Données projet'!$A$114,'Données projet'!$B$114,BY17+BX18-CG17)))</f>
        <v>12.904910866172436</v>
      </c>
      <c r="BZ18" s="14">
        <f>BY18*VLOOKUP('Données projet'!$B$12,Paramètres!$A$1:$I$89,3,0)*VLOOKUP('Données projet'!$B$12,Paramètres!$A$1:$I$89,5,0)</f>
        <v>11.676363351712819</v>
      </c>
      <c r="CA18" s="14">
        <f t="shared" si="39"/>
        <v>4.0422676057380276</v>
      </c>
      <c r="CB18" s="22">
        <f t="shared" si="10"/>
        <v>27.376615584226887</v>
      </c>
      <c r="CC18" s="60">
        <f t="shared" si="11"/>
        <v>195.21167548220606</v>
      </c>
      <c r="CD18" s="60">
        <f ca="1">AVERAGE(OFFSET($CC$3,0,0,'Données projet'!$E$12+1,1))-AVERAGE(OFFSET($H$3,0,0,'Données projet'!$E$12+1,1))</f>
        <v>434.56763649859136</v>
      </c>
      <c r="CE18" s="60">
        <f t="shared" si="40"/>
        <v>271.90302066766264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2.84</v>
      </c>
      <c r="CT18" s="13">
        <f>IF('Données projet'!$A$140&gt;35,CT17+CS18-DB17,IF(A18&lt;'Données projet'!$A$140,$CQ$205^A18,IF(A18='Données projet'!$A$140,'Données projet'!$B$140,CT17+CS18-DB17)))</f>
        <v>12.904910866172436</v>
      </c>
      <c r="CU18" s="18">
        <f>CT18*VLOOKUP('Données projet'!$B$13,Paramètres!$A$1:$I$89,3,0)*VLOOKUP('Données projet'!$B$13,Paramètres!$A$1:$I$89,5,0)</f>
        <v>10.871096913663662</v>
      </c>
      <c r="CV18" s="14">
        <f t="shared" si="41"/>
        <v>3.7949251315985042</v>
      </c>
      <c r="CW18" s="22">
        <f t="shared" si="13"/>
        <v>25.543321728831604</v>
      </c>
      <c r="CX18" s="60">
        <f t="shared" si="14"/>
        <v>193.37838162681078</v>
      </c>
      <c r="CY18" s="60">
        <f ca="1">AVERAGE(OFFSET($CX$3,0,0,'Données projet'!$E$13+1,1))-AVERAGE(OFFSET($H$3,0,0,'Données projet'!$E$13+1,1))</f>
        <v>411.64829629901465</v>
      </c>
      <c r="CZ18" s="60">
        <f t="shared" si="42"/>
        <v>258.66864562757917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2.84</v>
      </c>
      <c r="DO18" s="13">
        <f>IF('Données projet'!$A$166&gt;35,DO17+DN18-DW17,IF(A18&lt;'Données projet'!$A$166,$DL$205^A18,IF(A18='Données projet'!$A$166,'Données projet'!$B$166,DO17+DN18-DW17)))</f>
        <v>12.904910866172436</v>
      </c>
      <c r="DP18" s="18">
        <f>DO18*VLOOKUP('Données projet'!$B$14,Paramètres!$A$1:$I$89,3,0)*VLOOKUP('Données projet'!$B$14,Paramètres!$A$1:$I$89,5,0)</f>
        <v>13.085579618298853</v>
      </c>
      <c r="DQ18" s="14">
        <f t="shared" si="43"/>
        <v>4.4704405938260292</v>
      </c>
      <c r="DR18" s="22">
        <f t="shared" si="16"/>
        <v>30.576735202784167</v>
      </c>
      <c r="DS18" s="60">
        <f t="shared" si="17"/>
        <v>198.41179510076333</v>
      </c>
      <c r="DT18" s="60">
        <f ca="1">AVERAGE(OFFSET($DS$3,0,0,'Données projet'!$E$14+1,1))-AVERAGE(OFFSET($H$3,0,0,'Données projet'!$E$14+1,1))</f>
        <v>474.59791006623266</v>
      </c>
      <c r="DU18" s="60">
        <f t="shared" si="44"/>
        <v>295.01432800690293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107</v>
      </c>
      <c r="EH18" s="13">
        <f>VLOOKUP(A18,'Données projet'!$A$191:$I$211,9,0)</f>
        <v>7.1333333333333337</v>
      </c>
      <c r="EI18" s="13">
        <f t="array" ref="EI18">INDEX(EH:EH,MIN(IF(ISNUMBER(EH18:EH214),ROW(EH18:EH214),"")))</f>
        <v>7.1333333333333337</v>
      </c>
      <c r="EJ18" s="13">
        <f>IF('Données projet'!$A$192&gt;35,EJ17+EI18-ER17,IF(A18&lt;'Données projet'!$A$192,$EG$205^A18,IF(A18='Données projet'!$A$192,'Données projet'!$B$192,EJ17+EI18-ER17)))</f>
        <v>107</v>
      </c>
      <c r="EK18" s="18">
        <f>EJ18*VLOOKUP('Données projet'!$B$15,Paramètres!$A$1:$I$89,3,0)*VLOOKUP('Données projet'!$B$15,Paramètres!$A$1:$I$89,5,0)</f>
        <v>93.475200000000015</v>
      </c>
      <c r="EL18" s="14">
        <f t="shared" si="45"/>
        <v>25.401502539965662</v>
      </c>
      <c r="EM18" s="22">
        <f t="shared" si="19"/>
        <v>207.04359025710687</v>
      </c>
      <c r="EN18" s="60">
        <f t="shared" si="20"/>
        <v>374.87865015508601</v>
      </c>
      <c r="EO18" s="60">
        <f ca="1">AVERAGE(OFFSET($EN$3,0,0,'Données projet'!$E$15+1,1))-AVERAGE(OFFSET($H$3,0,0,'Données projet'!$E$15+1,1))</f>
        <v>334.73467807584336</v>
      </c>
      <c r="EP18" s="60">
        <f t="shared" si="46"/>
        <v>463.8772059551726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34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135.66666666666666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0">
        <f t="shared" si="0"/>
        <v>376.52222176582666</v>
      </c>
      <c r="S19" s="60">
        <f ca="1">AVERAGE(OFFSET($R$3,0,0,'Données projet'!$E$9+1,1))-AVERAGE(OFFSET($H$3,0,0,'Données projet'!$E$9+1,1))</f>
        <v>199.65420589615553</v>
      </c>
      <c r="T19" s="60">
        <f t="shared" si="34"/>
        <v>477.85821088970999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0">
        <f t="shared" si="5"/>
        <v>376.52222176582666</v>
      </c>
      <c r="AN19" s="60">
        <f ca="1">AVERAGE(OFFSET($AM$3,0,0,'Données projet'!$E$10+1,1))-AVERAGE(OFFSET($H$3,0,0,'Données projet'!$E$10+1,1))</f>
        <v>199.65420589615553</v>
      </c>
      <c r="AO19" s="60">
        <f t="shared" si="36"/>
        <v>477.85821088970999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6.5</v>
      </c>
      <c r="BD19" s="13">
        <f>IF('Données projet'!$A$88&gt;35,BD18+BC19-BL18,IF(A19&lt;'Données projet'!$A$88,$BA$205^A19,IF(A19='Données projet'!$A$88,'Données projet'!$B$88,BD18+BC19-BL18)))</f>
        <v>16.647606148649942</v>
      </c>
      <c r="BE19" s="14">
        <f>BD19*VLOOKUP('Données projet'!$B$11,Paramètres!$A$1:$I$89,3,0)*VLOOKUP('Données projet'!$B$11,Paramètres!$A$1:$I$89,5,0)</f>
        <v>7.791079677568173</v>
      </c>
      <c r="BF19" s="14">
        <f t="shared" si="37"/>
        <v>2.8272729930809319</v>
      </c>
      <c r="BG19" s="22">
        <f t="shared" si="7"/>
        <v>18.493630901380524</v>
      </c>
      <c r="BH19" s="60">
        <f t="shared" si="8"/>
        <v>189.40998514743833</v>
      </c>
      <c r="BI19" s="60">
        <f ca="1">AVERAGE(OFFSET($BH$3,0,0,'Données projet'!$E$11+1,1))-AVERAGE(OFFSET($H$3,0,0,'Données projet'!$E$11+1,1))</f>
        <v>374.62597460242665</v>
      </c>
      <c r="BJ19" s="60">
        <f t="shared" si="38"/>
        <v>277.50105097454616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2.84</v>
      </c>
      <c r="BY19" s="13">
        <f>IF('Données projet'!$A$114&gt;35,BY18+BX19-CG18,IF(A19&lt;'Données projet'!$A$114,$BV$205^A19,IF(A19='Données projet'!$A$114,'Données projet'!$B$114,BY18+BX19-CG18)))</f>
        <v>15.304013607840634</v>
      </c>
      <c r="BZ19" s="14">
        <f>BY19*VLOOKUP('Données projet'!$B$12,Paramètres!$A$1:$I$89,3,0)*VLOOKUP('Données projet'!$B$12,Paramètres!$A$1:$I$89,5,0)</f>
        <v>13.847071512374203</v>
      </c>
      <c r="CA19" s="14">
        <f t="shared" si="39"/>
        <v>4.6995463399043667</v>
      </c>
      <c r="CB19" s="22">
        <f t="shared" si="10"/>
        <v>32.302026092718499</v>
      </c>
      <c r="CC19" s="60">
        <f t="shared" si="11"/>
        <v>203.21838033877631</v>
      </c>
      <c r="CD19" s="60">
        <f ca="1">AVERAGE(OFFSET($CC$3,0,0,'Données projet'!$E$12+1,1))-AVERAGE(OFFSET($H$3,0,0,'Données projet'!$E$12+1,1))</f>
        <v>434.56763649859136</v>
      </c>
      <c r="CE19" s="60">
        <f t="shared" si="40"/>
        <v>271.90302066766264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2.84</v>
      </c>
      <c r="CT19" s="13">
        <f>IF('Données projet'!$A$140&gt;35,CT18+CS19-DB18,IF(A19&lt;'Données projet'!$A$140,$CQ$205^A19,IF(A19='Données projet'!$A$140,'Données projet'!$B$140,CT18+CS19-DB18)))</f>
        <v>15.304013607840634</v>
      </c>
      <c r="CU19" s="18">
        <f>CT19*VLOOKUP('Données projet'!$B$13,Paramètres!$A$1:$I$89,3,0)*VLOOKUP('Données projet'!$B$13,Paramètres!$A$1:$I$89,5,0)</f>
        <v>12.892101063244953</v>
      </c>
      <c r="CV19" s="14">
        <f t="shared" si="41"/>
        <v>4.4119856110215858</v>
      </c>
      <c r="CW19" s="22">
        <f t="shared" si="13"/>
        <v>30.137950957680886</v>
      </c>
      <c r="CX19" s="60">
        <f t="shared" si="14"/>
        <v>201.05430520373869</v>
      </c>
      <c r="CY19" s="60">
        <f ca="1">AVERAGE(OFFSET($CX$3,0,0,'Données projet'!$E$13+1,1))-AVERAGE(OFFSET($H$3,0,0,'Données projet'!$E$13+1,1))</f>
        <v>411.64829629901465</v>
      </c>
      <c r="CZ19" s="60">
        <f t="shared" si="42"/>
        <v>258.66864562757917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2.84</v>
      </c>
      <c r="DO19" s="13">
        <f>IF('Données projet'!$A$166&gt;35,DO18+DN19-DW18,IF(A19&lt;'Données projet'!$A$166,$DL$205^A19,IF(A19='Données projet'!$A$166,'Données projet'!$B$166,DO18+DN19-DW18)))</f>
        <v>15.304013607840634</v>
      </c>
      <c r="DP19" s="18">
        <f>DO19*VLOOKUP('Données projet'!$B$14,Paramètres!$A$1:$I$89,3,0)*VLOOKUP('Données projet'!$B$14,Paramètres!$A$1:$I$89,5,0)</f>
        <v>15.518269798350405</v>
      </c>
      <c r="DQ19" s="14">
        <f t="shared" si="43"/>
        <v>5.1973408936737764</v>
      </c>
      <c r="DR19" s="22">
        <f t="shared" si="16"/>
        <v>36.079688621942118</v>
      </c>
      <c r="DS19" s="60">
        <f t="shared" si="17"/>
        <v>206.99604286799993</v>
      </c>
      <c r="DT19" s="60">
        <f ca="1">AVERAGE(OFFSET($DS$3,0,0,'Données projet'!$E$14+1,1))-AVERAGE(OFFSET($H$3,0,0,'Données projet'!$E$14+1,1))</f>
        <v>474.59791006623266</v>
      </c>
      <c r="DU19" s="60">
        <f t="shared" si="44"/>
        <v>295.01432800690293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16.2</v>
      </c>
      <c r="EJ19" s="13">
        <f>IF('Données projet'!$A$192&gt;35,EJ18+EI19-ER18,IF(A19&lt;'Données projet'!$A$192,$EG$205^A19,IF(A19='Données projet'!$A$192,'Données projet'!$B$192,EJ18+EI19-ER18)))</f>
        <v>89.2</v>
      </c>
      <c r="EK19" s="18">
        <f>EJ19*VLOOKUP('Données projet'!$B$15,Paramètres!$A$1:$I$89,3,0)*VLOOKUP('Données projet'!$B$15,Paramètres!$A$1:$I$89,5,0)</f>
        <v>77.925120000000007</v>
      </c>
      <c r="EL19" s="14">
        <f t="shared" si="45"/>
        <v>21.629091902424182</v>
      </c>
      <c r="EM19" s="22">
        <f t="shared" si="19"/>
        <v>173.3902523967221</v>
      </c>
      <c r="EN19" s="60">
        <f t="shared" si="20"/>
        <v>344.30660664277991</v>
      </c>
      <c r="EO19" s="60">
        <f ca="1">AVERAGE(OFFSET($EN$3,0,0,'Données projet'!$E$15+1,1))-AVERAGE(OFFSET($H$3,0,0,'Données projet'!$E$15+1,1))</f>
        <v>334.73467807584336</v>
      </c>
      <c r="EP19" s="60">
        <f t="shared" si="46"/>
        <v>463.8772059551726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135.66666666666666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0">
        <f t="shared" si="0"/>
        <v>406.40216152201674</v>
      </c>
      <c r="S20" s="60">
        <f ca="1">AVERAGE(OFFSET($R$3,0,0,'Données projet'!$E$9+1,1))-AVERAGE(OFFSET($H$3,0,0,'Données projet'!$E$9+1,1))</f>
        <v>199.65420589615553</v>
      </c>
      <c r="T20" s="60">
        <f t="shared" si="34"/>
        <v>477.85821088970999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0">
        <f t="shared" si="5"/>
        <v>406.40216152201674</v>
      </c>
      <c r="AN20" s="60">
        <f ca="1">AVERAGE(OFFSET($AM$3,0,0,'Données projet'!$E$10+1,1))-AVERAGE(OFFSET($H$3,0,0,'Données projet'!$E$10+1,1))</f>
        <v>199.65420589615553</v>
      </c>
      <c r="AO20" s="60">
        <f t="shared" si="36"/>
        <v>477.85821088970999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6.5</v>
      </c>
      <c r="BD20" s="13">
        <f>IF('Données projet'!$A$88&gt;35,BD19+BC20-BL19,IF(A20&lt;'Données projet'!$A$88,$BA$205^A20,IF(A20='Données projet'!$A$88,'Données projet'!$B$88,BD19+BC20-BL19)))</f>
        <v>19.846607449592845</v>
      </c>
      <c r="BE20" s="14">
        <f>BD20*VLOOKUP('Données projet'!$B$11,Paramètres!$A$1:$I$89,3,0)*VLOOKUP('Données projet'!$B$11,Paramètres!$A$1:$I$89,5,0)</f>
        <v>9.2882122864094523</v>
      </c>
      <c r="BF20" s="14">
        <f t="shared" si="37"/>
        <v>3.3023028355827138</v>
      </c>
      <c r="BG20" s="22">
        <f t="shared" si="7"/>
        <v>21.928480504136356</v>
      </c>
      <c r="BH20" s="60">
        <f t="shared" si="8"/>
        <v>195.89387835315179</v>
      </c>
      <c r="BI20" s="60">
        <f ca="1">AVERAGE(OFFSET($BH$3,0,0,'Données projet'!$E$11+1,1))-AVERAGE(OFFSET($H$3,0,0,'Données projet'!$E$11+1,1))</f>
        <v>374.62597460242665</v>
      </c>
      <c r="BJ20" s="60">
        <f t="shared" si="38"/>
        <v>277.50105097454616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2.84</v>
      </c>
      <c r="BY20" s="13">
        <f>IF('Données projet'!$A$114&gt;35,BY19+BX20-CG19,IF(A20&lt;'Données projet'!$A$114,$BV$205^A20,IF(A20='Données projet'!$A$114,'Données projet'!$B$114,BY19+BX20-CG19)))</f>
        <v>18.149124386663679</v>
      </c>
      <c r="BZ20" s="14">
        <f>BY20*VLOOKUP('Données projet'!$B$12,Paramètres!$A$1:$I$89,3,0)*VLOOKUP('Données projet'!$B$12,Paramètres!$A$1:$I$89,5,0)</f>
        <v>16.421327745053297</v>
      </c>
      <c r="CA20" s="14">
        <f t="shared" si="39"/>
        <v>5.4636995753466904</v>
      </c>
      <c r="CB20" s="22">
        <f t="shared" si="10"/>
        <v>38.11642258302998</v>
      </c>
      <c r="CC20" s="60">
        <f t="shared" si="11"/>
        <v>212.08182043204542</v>
      </c>
      <c r="CD20" s="60">
        <f ca="1">AVERAGE(OFFSET($CC$3,0,0,'Données projet'!$E$12+1,1))-AVERAGE(OFFSET($H$3,0,0,'Données projet'!$E$12+1,1))</f>
        <v>434.56763649859136</v>
      </c>
      <c r="CE20" s="60">
        <f t="shared" si="40"/>
        <v>271.90302066766264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2.84</v>
      </c>
      <c r="CT20" s="13">
        <f>IF('Données projet'!$A$140&gt;35,CT19+CS20-DB19,IF(A20&lt;'Données projet'!$A$140,$CQ$205^A20,IF(A20='Données projet'!$A$140,'Données projet'!$B$140,CT19+CS20-DB19)))</f>
        <v>18.149124386663679</v>
      </c>
      <c r="CU20" s="18">
        <f>CT20*VLOOKUP('Données projet'!$B$13,Paramètres!$A$1:$I$89,3,0)*VLOOKUP('Données projet'!$B$13,Paramètres!$A$1:$I$89,5,0)</f>
        <v>15.288822383325485</v>
      </c>
      <c r="CV20" s="14">
        <f t="shared" si="41"/>
        <v>5.1293810435891753</v>
      </c>
      <c r="CW20" s="22">
        <f t="shared" si="13"/>
        <v>35.561704301876368</v>
      </c>
      <c r="CX20" s="60">
        <f t="shared" si="14"/>
        <v>209.52710215089181</v>
      </c>
      <c r="CY20" s="60">
        <f ca="1">AVERAGE(OFFSET($CX$3,0,0,'Données projet'!$E$13+1,1))-AVERAGE(OFFSET($H$3,0,0,'Données projet'!$E$13+1,1))</f>
        <v>411.64829629901465</v>
      </c>
      <c r="CZ20" s="60">
        <f t="shared" si="42"/>
        <v>258.66864562757917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2.84</v>
      </c>
      <c r="DO20" s="13">
        <f>IF('Données projet'!$A$166&gt;35,DO19+DN20-DW19,IF(A20&lt;'Données projet'!$A$166,$DL$205^A20,IF(A20='Données projet'!$A$166,'Données projet'!$B$166,DO19+DN20-DW19)))</f>
        <v>18.149124386663679</v>
      </c>
      <c r="DP20" s="18">
        <f>DO20*VLOOKUP('Données projet'!$B$14,Paramètres!$A$1:$I$89,3,0)*VLOOKUP('Données projet'!$B$14,Paramètres!$A$1:$I$89,5,0)</f>
        <v>18.403212128076973</v>
      </c>
      <c r="DQ20" s="14">
        <f t="shared" si="43"/>
        <v>6.0424362650875043</v>
      </c>
      <c r="DR20" s="22">
        <f t="shared" si="16"/>
        <v>42.576170951428125</v>
      </c>
      <c r="DS20" s="60">
        <f t="shared" si="17"/>
        <v>216.54156880044354</v>
      </c>
      <c r="DT20" s="60">
        <f ca="1">AVERAGE(OFFSET($DS$3,0,0,'Données projet'!$E$14+1,1))-AVERAGE(OFFSET($H$3,0,0,'Données projet'!$E$14+1,1))</f>
        <v>474.59791006623266</v>
      </c>
      <c r="DU20" s="60">
        <f t="shared" si="44"/>
        <v>295.01432800690293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16.2</v>
      </c>
      <c r="EJ20" s="13">
        <f>IF('Données projet'!$A$192&gt;35,EJ19+EI20-ER19,IF(A20&lt;'Données projet'!$A$192,$EG$205^A20,IF(A20='Données projet'!$A$192,'Données projet'!$B$192,EJ19+EI20-ER19)))</f>
        <v>105.4</v>
      </c>
      <c r="EK20" s="18">
        <f>EJ20*VLOOKUP('Données projet'!$B$15,Paramètres!$A$1:$I$89,3,0)*VLOOKUP('Données projet'!$B$15,Paramètres!$A$1:$I$89,5,0)</f>
        <v>92.07744000000001</v>
      </c>
      <c r="EL20" s="14">
        <f t="shared" si="45"/>
        <v>25.065586122051112</v>
      </c>
      <c r="EM20" s="22">
        <f t="shared" si="19"/>
        <v>204.02410382923904</v>
      </c>
      <c r="EN20" s="60">
        <f t="shared" si="20"/>
        <v>377.98950167825444</v>
      </c>
      <c r="EO20" s="60">
        <f ca="1">AVERAGE(OFFSET($EN$3,0,0,'Données projet'!$E$15+1,1))-AVERAGE(OFFSET($H$3,0,0,'Données projet'!$E$15+1,1))</f>
        <v>334.73467807584336</v>
      </c>
      <c r="EP20" s="60">
        <f t="shared" si="46"/>
        <v>463.8772059551726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135.66666666666666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0">
        <f t="shared" si="0"/>
        <v>379.48773422576835</v>
      </c>
      <c r="S21" s="60">
        <f ca="1">AVERAGE(OFFSET($R$3,0,0,'Données projet'!$E$9+1,1))-AVERAGE(OFFSET($H$3,0,0,'Données projet'!$E$9+1,1))</f>
        <v>199.65420589615553</v>
      </c>
      <c r="T21" s="60">
        <f t="shared" si="34"/>
        <v>477.85821088970999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0">
        <f t="shared" si="5"/>
        <v>379.48773422576835</v>
      </c>
      <c r="AN21" s="60">
        <f ca="1">AVERAGE(OFFSET($AM$3,0,0,'Données projet'!$E$10+1,1))-AVERAGE(OFFSET($H$3,0,0,'Données projet'!$E$10+1,1))</f>
        <v>199.65420589615553</v>
      </c>
      <c r="AO21" s="60">
        <f t="shared" si="36"/>
        <v>477.85821088970999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6.5</v>
      </c>
      <c r="BD21" s="13">
        <f>IF('Données projet'!$A$88&gt;35,BD20+BC21-BL20,IF(A21&lt;'Données projet'!$A$88,$BA$205^A21,IF(A21='Données projet'!$A$88,'Données projet'!$B$88,BD20+BC21-BL20)))</f>
        <v>23.660328322350242</v>
      </c>
      <c r="BE21" s="14">
        <f>BD21*VLOOKUP('Données projet'!$B$11,Paramètres!$A$1:$I$89,3,0)*VLOOKUP('Données projet'!$B$11,Paramètres!$A$1:$I$89,5,0)</f>
        <v>11.073033654859913</v>
      </c>
      <c r="BF21" s="14">
        <f t="shared" si="37"/>
        <v>3.8571457530226052</v>
      </c>
      <c r="BG21" s="22">
        <f t="shared" si="7"/>
        <v>26.003395802062048</v>
      </c>
      <c r="BH21" s="60">
        <f t="shared" si="8"/>
        <v>202.98614598724015</v>
      </c>
      <c r="BI21" s="60">
        <f ca="1">AVERAGE(OFFSET($BH$3,0,0,'Données projet'!$E$11+1,1))-AVERAGE(OFFSET($H$3,0,0,'Données projet'!$E$11+1,1))</f>
        <v>374.62597460242665</v>
      </c>
      <c r="BJ21" s="60">
        <f t="shared" si="38"/>
        <v>277.50105097454616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2.84</v>
      </c>
      <c r="BY21" s="13">
        <f>IF('Données projet'!$A$114&gt;35,BY20+BX21-CG20,IF(A21&lt;'Données projet'!$A$114,$BV$205^A21,IF(A21='Données projet'!$A$114,'Données projet'!$B$114,BY20+BX21-CG20)))</f>
        <v>21.523158855127722</v>
      </c>
      <c r="BZ21" s="14">
        <f>BY21*VLOOKUP('Données projet'!$B$12,Paramètres!$A$1:$I$89,3,0)*VLOOKUP('Données projet'!$B$12,Paramètres!$A$1:$I$89,5,0)</f>
        <v>19.474154132119562</v>
      </c>
      <c r="CA21" s="14">
        <f t="shared" si="39"/>
        <v>6.3521052651756742</v>
      </c>
      <c r="CB21" s="22">
        <f t="shared" si="10"/>
        <v>44.980735116955863</v>
      </c>
      <c r="CC21" s="60">
        <f t="shared" si="11"/>
        <v>221.96348530213396</v>
      </c>
      <c r="CD21" s="60">
        <f ca="1">AVERAGE(OFFSET($CC$3,0,0,'Données projet'!$E$12+1,1))-AVERAGE(OFFSET($H$3,0,0,'Données projet'!$E$12+1,1))</f>
        <v>434.56763649859136</v>
      </c>
      <c r="CE21" s="60">
        <f t="shared" si="40"/>
        <v>271.90302066766264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2.84</v>
      </c>
      <c r="CT21" s="13">
        <f>IF('Données projet'!$A$140&gt;35,CT20+CS21-DB20,IF(A21&lt;'Données projet'!$A$140,$CQ$205^A21,IF(A21='Données projet'!$A$140,'Données projet'!$B$140,CT20+CS21-DB20)))</f>
        <v>21.523158855127722</v>
      </c>
      <c r="CU21" s="18">
        <f>CT21*VLOOKUP('Données projet'!$B$13,Paramètres!$A$1:$I$89,3,0)*VLOOKUP('Données projet'!$B$13,Paramètres!$A$1:$I$89,5,0)</f>
        <v>18.131109019559595</v>
      </c>
      <c r="CV21" s="14">
        <f t="shared" si="41"/>
        <v>5.9634260421442793</v>
      </c>
      <c r="CW21" s="22">
        <f t="shared" si="13"/>
        <v>41.964648565800914</v>
      </c>
      <c r="CX21" s="60">
        <f t="shared" si="14"/>
        <v>218.947398750979</v>
      </c>
      <c r="CY21" s="60">
        <f ca="1">AVERAGE(OFFSET($CX$3,0,0,'Données projet'!$E$13+1,1))-AVERAGE(OFFSET($H$3,0,0,'Données projet'!$E$13+1,1))</f>
        <v>411.64829629901465</v>
      </c>
      <c r="CZ21" s="60">
        <f t="shared" si="42"/>
        <v>258.66864562757917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2.84</v>
      </c>
      <c r="DO21" s="13">
        <f>IF('Données projet'!$A$166&gt;35,DO20+DN21-DW20,IF(A21&lt;'Données projet'!$A$166,$DL$205^A21,IF(A21='Données projet'!$A$166,'Données projet'!$B$166,DO20+DN21-DW20)))</f>
        <v>21.523158855127722</v>
      </c>
      <c r="DP21" s="18">
        <f>DO21*VLOOKUP('Données projet'!$B$14,Paramètres!$A$1:$I$89,3,0)*VLOOKUP('Données projet'!$B$14,Paramètres!$A$1:$I$89,5,0)</f>
        <v>21.824483079099512</v>
      </c>
      <c r="DQ21" s="14">
        <f t="shared" si="43"/>
        <v>7.0249454027704825</v>
      </c>
      <c r="DR21" s="22">
        <f t="shared" si="16"/>
        <v>50.246087939256903</v>
      </c>
      <c r="DS21" s="60">
        <f t="shared" si="17"/>
        <v>227.22883812443501</v>
      </c>
      <c r="DT21" s="60">
        <f ca="1">AVERAGE(OFFSET($DS$3,0,0,'Données projet'!$E$14+1,1))-AVERAGE(OFFSET($H$3,0,0,'Données projet'!$E$14+1,1))</f>
        <v>474.59791006623266</v>
      </c>
      <c r="DU21" s="60">
        <f t="shared" si="44"/>
        <v>295.01432800690293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16.2</v>
      </c>
      <c r="EJ21" s="13">
        <f>IF('Données projet'!$A$192&gt;35,EJ20+EI21-ER20,IF(A21&lt;'Données projet'!$A$192,$EG$205^A21,IF(A21='Données projet'!$A$192,'Données projet'!$B$192,EJ20+EI21-ER20)))</f>
        <v>121.60000000000001</v>
      </c>
      <c r="EK21" s="18">
        <f>EJ21*VLOOKUP('Données projet'!$B$15,Paramètres!$A$1:$I$89,3,0)*VLOOKUP('Données projet'!$B$15,Paramètres!$A$1:$I$89,5,0)</f>
        <v>106.22976000000003</v>
      </c>
      <c r="EL21" s="14">
        <f t="shared" si="45"/>
        <v>28.440891625171492</v>
      </c>
      <c r="EM21" s="22">
        <f t="shared" si="19"/>
        <v>234.55138491384039</v>
      </c>
      <c r="EN21" s="60">
        <f t="shared" si="20"/>
        <v>411.5341350990185</v>
      </c>
      <c r="EO21" s="60">
        <f ca="1">AVERAGE(OFFSET($EN$3,0,0,'Données projet'!$E$15+1,1))-AVERAGE(OFFSET($H$3,0,0,'Données projet'!$E$15+1,1))</f>
        <v>334.73467807584336</v>
      </c>
      <c r="EP21" s="60">
        <f t="shared" si="46"/>
        <v>463.8772059551726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135.66666666666666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0">
        <f t="shared" si="0"/>
        <v>408.02499443284819</v>
      </c>
      <c r="S22" s="60">
        <f ca="1">AVERAGE(OFFSET($R$3,0,0,'Données projet'!$E$9+1,1))-AVERAGE(OFFSET($H$3,0,0,'Données projet'!$E$9+1,1))</f>
        <v>199.65420589615553</v>
      </c>
      <c r="T22" s="60">
        <f t="shared" si="34"/>
        <v>477.85821088970999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0">
        <f t="shared" si="5"/>
        <v>408.02499443284819</v>
      </c>
      <c r="AN22" s="60">
        <f ca="1">AVERAGE(OFFSET($AM$3,0,0,'Données projet'!$E$10+1,1))-AVERAGE(OFFSET($H$3,0,0,'Données projet'!$E$10+1,1))</f>
        <v>199.65420589615553</v>
      </c>
      <c r="AO22" s="60">
        <f t="shared" si="36"/>
        <v>477.85821088970999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6.5</v>
      </c>
      <c r="BD22" s="13">
        <f>IF('Données projet'!$A$88&gt;35,BD21+BC22-BL21,IF(A22&lt;'Données projet'!$A$88,$BA$205^A22,IF(A22='Données projet'!$A$88,'Données projet'!$B$88,BD21+BC22-BL21)))</f>
        <v>28.206893180269638</v>
      </c>
      <c r="BE22" s="14">
        <f>BD22*VLOOKUP('Données projet'!$B$11,Paramètres!$A$1:$I$89,3,0)*VLOOKUP('Données projet'!$B$11,Paramètres!$A$1:$I$89,5,0)</f>
        <v>13.200826008366192</v>
      </c>
      <c r="BF22" s="14">
        <f t="shared" si="37"/>
        <v>4.5052116964418483</v>
      </c>
      <c r="BG22" s="22">
        <f t="shared" si="7"/>
        <v>30.838015669207337</v>
      </c>
      <c r="BH22" s="60">
        <f t="shared" si="8"/>
        <v>210.8069766963809</v>
      </c>
      <c r="BI22" s="60">
        <f ca="1">AVERAGE(OFFSET($BH$3,0,0,'Données projet'!$E$11+1,1))-AVERAGE(OFFSET($H$3,0,0,'Données projet'!$E$11+1,1))</f>
        <v>374.62597460242665</v>
      </c>
      <c r="BJ22" s="60">
        <f t="shared" si="38"/>
        <v>277.50105097454616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2.84</v>
      </c>
      <c r="BY22" s="13">
        <f>IF('Données projet'!$A$114&gt;35,BY21+BX22-CG21,IF(A22&lt;'Données projet'!$A$114,$BV$205^A22,IF(A22='Données projet'!$A$114,'Données projet'!$B$114,BY21+BX22-CG21)))</f>
        <v>25.524447198315809</v>
      </c>
      <c r="BZ22" s="14">
        <f>BY22*VLOOKUP('Données projet'!$B$12,Paramètres!$A$1:$I$89,3,0)*VLOOKUP('Données projet'!$B$12,Paramètres!$A$1:$I$89,5,0)</f>
        <v>23.094519825036141</v>
      </c>
      <c r="CA22" s="14">
        <f t="shared" si="39"/>
        <v>7.3849670435644734</v>
      </c>
      <c r="CB22" s="22">
        <f t="shared" si="10"/>
        <v>53.085106296146058</v>
      </c>
      <c r="CC22" s="60">
        <f t="shared" si="11"/>
        <v>233.05406732331963</v>
      </c>
      <c r="CD22" s="60">
        <f ca="1">AVERAGE(OFFSET($CC$3,0,0,'Données projet'!$E$12+1,1))-AVERAGE(OFFSET($H$3,0,0,'Données projet'!$E$12+1,1))</f>
        <v>434.56763649859136</v>
      </c>
      <c r="CE22" s="60">
        <f t="shared" si="40"/>
        <v>271.90302066766264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2.84</v>
      </c>
      <c r="CT22" s="13">
        <f>IF('Données projet'!$A$140&gt;35,CT21+CS22-DB21,IF(A22&lt;'Données projet'!$A$140,$CQ$205^A22,IF(A22='Données projet'!$A$140,'Données projet'!$B$140,CT21+CS22-DB21)))</f>
        <v>25.524447198315809</v>
      </c>
      <c r="CU22" s="18">
        <f>CT22*VLOOKUP('Données projet'!$B$13,Paramètres!$A$1:$I$89,3,0)*VLOOKUP('Données projet'!$B$13,Paramètres!$A$1:$I$89,5,0)</f>
        <v>21.501794319861236</v>
      </c>
      <c r="CV22" s="14">
        <f t="shared" si="41"/>
        <v>6.9330879998808816</v>
      </c>
      <c r="CW22" s="22">
        <f t="shared" si="13"/>
        <v>49.524086706884191</v>
      </c>
      <c r="CX22" s="60">
        <f t="shared" si="14"/>
        <v>229.49304773405777</v>
      </c>
      <c r="CY22" s="60">
        <f ca="1">AVERAGE(OFFSET($CX$3,0,0,'Données projet'!$E$13+1,1))-AVERAGE(OFFSET($H$3,0,0,'Données projet'!$E$13+1,1))</f>
        <v>411.64829629901465</v>
      </c>
      <c r="CZ22" s="60">
        <f t="shared" si="42"/>
        <v>258.66864562757917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2.84</v>
      </c>
      <c r="DO22" s="13">
        <f>IF('Données projet'!$A$166&gt;35,DO21+DN22-DW21,IF(A22&lt;'Données projet'!$A$166,$DL$205^A22,IF(A22='Données projet'!$A$166,'Données projet'!$B$166,DO21+DN22-DW21)))</f>
        <v>25.524447198315809</v>
      </c>
      <c r="DP22" s="18">
        <f>DO22*VLOOKUP('Données projet'!$B$14,Paramètres!$A$1:$I$89,3,0)*VLOOKUP('Données projet'!$B$14,Paramètres!$A$1:$I$89,5,0)</f>
        <v>25.881789459092229</v>
      </c>
      <c r="DQ22" s="14">
        <f t="shared" si="43"/>
        <v>8.1672119898134259</v>
      </c>
      <c r="DR22" s="22">
        <f t="shared" si="16"/>
        <v>59.302010856844014</v>
      </c>
      <c r="DS22" s="60">
        <f t="shared" si="17"/>
        <v>239.2709718840176</v>
      </c>
      <c r="DT22" s="60">
        <f ca="1">AVERAGE(OFFSET($DS$3,0,0,'Données projet'!$E$14+1,1))-AVERAGE(OFFSET($H$3,0,0,'Données projet'!$E$14+1,1))</f>
        <v>474.59791006623266</v>
      </c>
      <c r="DU22" s="60">
        <f t="shared" si="44"/>
        <v>295.01432800690293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16.2</v>
      </c>
      <c r="EJ22" s="13">
        <f>IF('Données projet'!$A$192&gt;35,EJ21+EI22-ER21,IF(A22&lt;'Données projet'!$A$192,$EG$205^A22,IF(A22='Données projet'!$A$192,'Données projet'!$B$192,EJ21+EI22-ER21)))</f>
        <v>137.80000000000001</v>
      </c>
      <c r="EK22" s="18">
        <f>EJ22*VLOOKUP('Données projet'!$B$15,Paramètres!$A$1:$I$89,3,0)*VLOOKUP('Données projet'!$B$15,Paramètres!$A$1:$I$89,5,0)</f>
        <v>120.38208000000003</v>
      </c>
      <c r="EL22" s="14">
        <f t="shared" si="45"/>
        <v>31.76409668560358</v>
      </c>
      <c r="EM22" s="22">
        <f t="shared" si="19"/>
        <v>264.98792439409294</v>
      </c>
      <c r="EN22" s="60">
        <f t="shared" si="20"/>
        <v>444.95688542126652</v>
      </c>
      <c r="EO22" s="60">
        <f ca="1">AVERAGE(OFFSET($EN$3,0,0,'Données projet'!$E$15+1,1))-AVERAGE(OFFSET($H$3,0,0,'Données projet'!$E$15+1,1))</f>
        <v>334.73467807584336</v>
      </c>
      <c r="EP22" s="60">
        <f t="shared" si="46"/>
        <v>463.8772059551726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135.66666666666666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0">
        <f t="shared" si="0"/>
        <v>436.46612231849019</v>
      </c>
      <c r="S23" s="60">
        <f ca="1">AVERAGE(OFFSET($R$3,0,0,'Données projet'!$E$9+1,1))-AVERAGE(OFFSET($H$3,0,0,'Données projet'!$E$9+1,1))</f>
        <v>199.65420589615553</v>
      </c>
      <c r="T23" s="60">
        <f t="shared" si="34"/>
        <v>477.85821088970999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0">
        <f t="shared" si="5"/>
        <v>436.46612231849019</v>
      </c>
      <c r="AN23" s="60">
        <f ca="1">AVERAGE(OFFSET($AM$3,0,0,'Données projet'!$E$10+1,1))-AVERAGE(OFFSET($H$3,0,0,'Données projet'!$E$10+1,1))</f>
        <v>199.65420589615553</v>
      </c>
      <c r="AO23" s="60">
        <f t="shared" si="36"/>
        <v>477.85821088970999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6.5</v>
      </c>
      <c r="BD23" s="13">
        <f>IF('Données projet'!$A$88&gt;35,BD22+BC23-BL22,IF(A23&lt;'Données projet'!$A$88,$BA$205^A23,IF(A23='Données projet'!$A$88,'Données projet'!$B$88,BD22+BC23-BL22)))</f>
        <v>33.627125204833582</v>
      </c>
      <c r="BE23" s="14">
        <f>BD23*VLOOKUP('Données projet'!$B$11,Paramètres!$A$1:$I$89,3,0)*VLOOKUP('Données projet'!$B$11,Paramètres!$A$1:$I$89,5,0)</f>
        <v>15.737494595862117</v>
      </c>
      <c r="BF23" s="14">
        <f t="shared" si="37"/>
        <v>5.2621637162274721</v>
      </c>
      <c r="BG23" s="22">
        <f t="shared" si="7"/>
        <v>36.574404893556029</v>
      </c>
      <c r="BH23" s="60">
        <f t="shared" si="8"/>
        <v>219.49897550385973</v>
      </c>
      <c r="BI23" s="60">
        <f ca="1">AVERAGE(OFFSET($BH$3,0,0,'Données projet'!$E$11+1,1))-AVERAGE(OFFSET($H$3,0,0,'Données projet'!$E$11+1,1))</f>
        <v>374.62597460242665</v>
      </c>
      <c r="BJ23" s="60">
        <f t="shared" si="38"/>
        <v>277.50105097454616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2.84</v>
      </c>
      <c r="BY23" s="13">
        <f>IF('Données projet'!$A$114&gt;35,BY22+BX23-CG22,IF(A23&lt;'Données projet'!$A$114,$BV$205^A23,IF(A23='Données projet'!$A$114,'Données projet'!$B$114,BY22+BX23-CG22)))</f>
        <v>30.269599790850293</v>
      </c>
      <c r="BZ23" s="14">
        <f>BY23*VLOOKUP('Données projet'!$B$12,Paramètres!$A$1:$I$89,3,0)*VLOOKUP('Données projet'!$B$12,Paramètres!$A$1:$I$89,5,0)</f>
        <v>27.387933890761346</v>
      </c>
      <c r="CA23" s="14">
        <f t="shared" si="39"/>
        <v>8.5857736856986921</v>
      </c>
      <c r="CB23" s="22">
        <f t="shared" si="10"/>
        <v>62.654207362334567</v>
      </c>
      <c r="CC23" s="60">
        <f t="shared" si="11"/>
        <v>245.57877797263828</v>
      </c>
      <c r="CD23" s="60">
        <f ca="1">AVERAGE(OFFSET($CC$3,0,0,'Données projet'!$E$12+1,1))-AVERAGE(OFFSET($H$3,0,0,'Données projet'!$E$12+1,1))</f>
        <v>434.56763649859136</v>
      </c>
      <c r="CE23" s="60">
        <f t="shared" si="40"/>
        <v>271.90302066766264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2.84</v>
      </c>
      <c r="CT23" s="13">
        <f>IF('Données projet'!$A$140&gt;35,CT22+CS23-DB22,IF(A23&lt;'Données projet'!$A$140,$CQ$205^A23,IF(A23='Données projet'!$A$140,'Données projet'!$B$140,CT22+CS23-DB22)))</f>
        <v>30.269599790850293</v>
      </c>
      <c r="CU23" s="18">
        <f>CT23*VLOOKUP('Données projet'!$B$13,Paramètres!$A$1:$I$89,3,0)*VLOOKUP('Données projet'!$B$13,Paramètres!$A$1:$I$89,5,0)</f>
        <v>25.499110863812291</v>
      </c>
      <c r="CV23" s="14">
        <f t="shared" si="41"/>
        <v>8.0604184363806581</v>
      </c>
      <c r="CW23" s="22">
        <f t="shared" si="13"/>
        <v>58.44951353116938</v>
      </c>
      <c r="CX23" s="60">
        <f t="shared" si="14"/>
        <v>241.37408414147308</v>
      </c>
      <c r="CY23" s="60">
        <f ca="1">AVERAGE(OFFSET($CX$3,0,0,'Données projet'!$E$13+1,1))-AVERAGE(OFFSET($H$3,0,0,'Données projet'!$E$13+1,1))</f>
        <v>411.64829629901465</v>
      </c>
      <c r="CZ23" s="60">
        <f t="shared" si="42"/>
        <v>258.66864562757917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2.84</v>
      </c>
      <c r="DO23" s="13">
        <f>IF('Données projet'!$A$166&gt;35,DO22+DN23-DW22,IF(A23&lt;'Données projet'!$A$166,$DL$205^A23,IF(A23='Données projet'!$A$166,'Données projet'!$B$166,DO22+DN23-DW22)))</f>
        <v>30.269599790850293</v>
      </c>
      <c r="DP23" s="18">
        <f>DO23*VLOOKUP('Données projet'!$B$14,Paramètres!$A$1:$I$89,3,0)*VLOOKUP('Données projet'!$B$14,Paramètres!$A$1:$I$89,5,0)</f>
        <v>30.693374187922199</v>
      </c>
      <c r="DQ23" s="14">
        <f t="shared" si="43"/>
        <v>9.4952128254613779</v>
      </c>
      <c r="DR23" s="22">
        <f t="shared" si="16"/>
        <v>69.995122381643057</v>
      </c>
      <c r="DS23" s="60">
        <f t="shared" si="17"/>
        <v>252.91969299194676</v>
      </c>
      <c r="DT23" s="60">
        <f ca="1">AVERAGE(OFFSET($DS$3,0,0,'Données projet'!$E$14+1,1))-AVERAGE(OFFSET($H$3,0,0,'Données projet'!$E$14+1,1))</f>
        <v>474.59791006623266</v>
      </c>
      <c r="DU23" s="60">
        <f t="shared" si="44"/>
        <v>295.01432800690293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154</v>
      </c>
      <c r="EH23" s="13">
        <f>VLOOKUP(A23,'Données projet'!$A$191:$I$211,9,0)</f>
        <v>16.2</v>
      </c>
      <c r="EI23" s="13">
        <f t="array" ref="EI23">INDEX(EH:EH,MIN(IF(ISNUMBER(EH23:EH219),ROW(EH23:EH219),"")))</f>
        <v>16.2</v>
      </c>
      <c r="EJ23" s="13">
        <f>IF('Données projet'!$A$192&gt;35,EJ22+EI23-ER22,IF(A23&lt;'Données projet'!$A$192,$EG$205^A23,IF(A23='Données projet'!$A$192,'Données projet'!$B$192,EJ22+EI23-ER22)))</f>
        <v>154</v>
      </c>
      <c r="EK23" s="18">
        <f>EJ23*VLOOKUP('Données projet'!$B$15,Paramètres!$A$1:$I$89,3,0)*VLOOKUP('Données projet'!$B$15,Paramètres!$A$1:$I$89,5,0)</f>
        <v>134.53440000000001</v>
      </c>
      <c r="EL23" s="14">
        <f t="shared" si="45"/>
        <v>35.042026165482234</v>
      </c>
      <c r="EM23" s="22">
        <f t="shared" si="19"/>
        <v>295.34560890488154</v>
      </c>
      <c r="EN23" s="60">
        <f t="shared" si="20"/>
        <v>478.27017951518525</v>
      </c>
      <c r="EO23" s="60">
        <f ca="1">AVERAGE(OFFSET($EN$3,0,0,'Données projet'!$E$15+1,1))-AVERAGE(OFFSET($H$3,0,0,'Données projet'!$E$15+1,1))</f>
        <v>334.73467807584336</v>
      </c>
      <c r="EP23" s="60">
        <f t="shared" si="46"/>
        <v>463.8772059551726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50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8.6000000000000007E-2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4.1363266982029705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4.1363266982029705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135.66666666666666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0">
        <f t="shared" si="0"/>
        <v>464.81916062889263</v>
      </c>
      <c r="S24" s="60">
        <f ca="1">AVERAGE(OFFSET($R$3,0,0,'Données projet'!$E$9+1,1))-AVERAGE(OFFSET($H$3,0,0,'Données projet'!$E$9+1,1))</f>
        <v>199.65420589615553</v>
      </c>
      <c r="T24" s="60">
        <f t="shared" si="34"/>
        <v>477.85821088970999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0">
        <f t="shared" si="5"/>
        <v>464.81916062889263</v>
      </c>
      <c r="AN24" s="60">
        <f ca="1">AVERAGE(OFFSET($AM$3,0,0,'Données projet'!$E$10+1,1))-AVERAGE(OFFSET($H$3,0,0,'Données projet'!$E$10+1,1))</f>
        <v>199.65420589615553</v>
      </c>
      <c r="AO24" s="60">
        <f t="shared" si="36"/>
        <v>477.85821088970999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</v>
      </c>
      <c r="BD24" s="13">
        <f>IF('Données projet'!$A$88&gt;35,BD23+BC24-BL23,IF(A24&lt;'Données projet'!$A$88,$BA$205^A24,IF(A24='Données projet'!$A$88,'Données projet'!$B$88,BD23+BC24-BL23)))</f>
        <v>40.088908137267765</v>
      </c>
      <c r="BE24" s="14">
        <f>BD24*VLOOKUP('Données projet'!$B$11,Paramètres!$A$1:$I$89,3,0)*VLOOKUP('Données projet'!$B$11,Paramètres!$A$1:$I$89,5,0)</f>
        <v>18.761609008241315</v>
      </c>
      <c r="BF24" s="14">
        <f t="shared" si="37"/>
        <v>6.1462965210381464</v>
      </c>
      <c r="BG24" s="22">
        <f t="shared" si="7"/>
        <v>43.381268796828387</v>
      </c>
      <c r="BH24" s="60">
        <f t="shared" si="8"/>
        <v>229.23137859482409</v>
      </c>
      <c r="BI24" s="60">
        <f ca="1">AVERAGE(OFFSET($BH$3,0,0,'Données projet'!$E$11+1,1))-AVERAGE(OFFSET($H$3,0,0,'Données projet'!$E$11+1,1))</f>
        <v>374.62597460242665</v>
      </c>
      <c r="BJ24" s="60">
        <f t="shared" si="38"/>
        <v>277.50105097454616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2.84</v>
      </c>
      <c r="BY24" s="13">
        <f>IF('Données projet'!$A$114&gt;35,BY23+BX24-CG23,IF(A24&lt;'Données projet'!$A$114,$BV$205^A24,IF(A24='Données projet'!$A$114,'Données projet'!$B$114,BY23+BX24-CG23)))</f>
        <v>35.896905597183761</v>
      </c>
      <c r="BZ24" s="14">
        <f>BY24*VLOOKUP('Données projet'!$B$12,Paramètres!$A$1:$I$89,3,0)*VLOOKUP('Données projet'!$B$12,Paramètres!$A$1:$I$89,5,0)</f>
        <v>32.479520184331868</v>
      </c>
      <c r="CA24" s="14">
        <f t="shared" si="39"/>
        <v>9.9818332765986337</v>
      </c>
      <c r="CB24" s="22">
        <f t="shared" si="10"/>
        <v>73.953523944453949</v>
      </c>
      <c r="CC24" s="60">
        <f t="shared" si="11"/>
        <v>259.80363374244968</v>
      </c>
      <c r="CD24" s="60">
        <f ca="1">AVERAGE(OFFSET($CC$3,0,0,'Données projet'!$E$12+1,1))-AVERAGE(OFFSET($H$3,0,0,'Données projet'!$E$12+1,1))</f>
        <v>434.56763649859136</v>
      </c>
      <c r="CE24" s="60">
        <f t="shared" si="40"/>
        <v>271.90302066766264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2.84</v>
      </c>
      <c r="CT24" s="13">
        <f>IF('Données projet'!$A$140&gt;35,CT23+CS24-DB23,IF(A24&lt;'Données projet'!$A$140,$CQ$205^A24,IF(A24='Données projet'!$A$140,'Données projet'!$B$140,CT23+CS24-DB23)))</f>
        <v>35.896905597183761</v>
      </c>
      <c r="CU24" s="18">
        <f>CT24*VLOOKUP('Données projet'!$B$13,Paramètres!$A$1:$I$89,3,0)*VLOOKUP('Données projet'!$B$13,Paramètres!$A$1:$I$89,5,0)</f>
        <v>30.239553275067603</v>
      </c>
      <c r="CV24" s="14">
        <f t="shared" si="41"/>
        <v>9.3710544811578149</v>
      </c>
      <c r="CW24" s="22">
        <f t="shared" si="13"/>
        <v>68.988475175425933</v>
      </c>
      <c r="CX24" s="60">
        <f t="shared" si="14"/>
        <v>254.83858497342163</v>
      </c>
      <c r="CY24" s="60">
        <f ca="1">AVERAGE(OFFSET($CX$3,0,0,'Données projet'!$E$13+1,1))-AVERAGE(OFFSET($H$3,0,0,'Données projet'!$E$13+1,1))</f>
        <v>411.64829629901465</v>
      </c>
      <c r="CZ24" s="60">
        <f t="shared" si="42"/>
        <v>258.66864562757917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2.84</v>
      </c>
      <c r="DO24" s="13">
        <f>IF('Données projet'!$A$166&gt;35,DO23+DN24-DW23,IF(A24&lt;'Données projet'!$A$166,$DL$205^A24,IF(A24='Données projet'!$A$166,'Données projet'!$B$166,DO23+DN24-DW23)))</f>
        <v>35.896905597183761</v>
      </c>
      <c r="DP24" s="18">
        <f>DO24*VLOOKUP('Données projet'!$B$14,Paramètres!$A$1:$I$89,3,0)*VLOOKUP('Données projet'!$B$14,Paramètres!$A$1:$I$89,5,0)</f>
        <v>36.399462275544337</v>
      </c>
      <c r="DQ24" s="14">
        <f t="shared" si="43"/>
        <v>11.039148575212362</v>
      </c>
      <c r="DR24" s="22">
        <f t="shared" si="16"/>
        <v>82.62224723173459</v>
      </c>
      <c r="DS24" s="60">
        <f t="shared" si="17"/>
        <v>268.47235702973029</v>
      </c>
      <c r="DT24" s="60">
        <f ca="1">AVERAGE(OFFSET($DS$3,0,0,'Données projet'!$E$14+1,1))-AVERAGE(OFFSET($H$3,0,0,'Données projet'!$E$14+1,1))</f>
        <v>474.59791006623266</v>
      </c>
      <c r="DU24" s="60">
        <f t="shared" si="44"/>
        <v>295.01432800690293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15.6</v>
      </c>
      <c r="EJ24" s="13">
        <f>IF('Données projet'!$A$192&gt;35,EJ23+EI24-ER23,IF(A24&lt;'Données projet'!$A$192,$EG$205^A24,IF(A24='Données projet'!$A$192,'Données projet'!$B$192,EJ23+EI24-ER23)))</f>
        <v>119.6</v>
      </c>
      <c r="EK24" s="18">
        <f>EJ24*VLOOKUP('Données projet'!$B$15,Paramètres!$A$1:$I$89,3,0)*VLOOKUP('Données projet'!$B$15,Paramètres!$A$1:$I$89,5,0)</f>
        <v>104.48256000000001</v>
      </c>
      <c r="EL24" s="14">
        <f t="shared" si="45"/>
        <v>28.02716504477474</v>
      </c>
      <c r="EM24" s="22">
        <f t="shared" si="19"/>
        <v>230.78777111964931</v>
      </c>
      <c r="EN24" s="60">
        <f t="shared" si="20"/>
        <v>416.63788091764502</v>
      </c>
      <c r="EO24" s="60">
        <f ca="1">AVERAGE(OFFSET($EN$3,0,0,'Données projet'!$E$15+1,1))-AVERAGE(OFFSET($H$3,0,0,'Données projet'!$E$15+1,1))</f>
        <v>334.73467807584336</v>
      </c>
      <c r="EP24" s="60">
        <f t="shared" si="46"/>
        <v>463.8772059551726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4.0232186271206425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4.0232186271206425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135.66666666666666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0">
        <f t="shared" si="0"/>
        <v>493.09066048344522</v>
      </c>
      <c r="S25" s="60">
        <f ca="1">AVERAGE(OFFSET($R$3,0,0,'Données projet'!$E$9+1,1))-AVERAGE(OFFSET($H$3,0,0,'Données projet'!$E$9+1,1))</f>
        <v>199.65420589615553</v>
      </c>
      <c r="T25" s="60">
        <f t="shared" si="34"/>
        <v>477.85821088970999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0">
        <f t="shared" si="5"/>
        <v>493.09066048344522</v>
      </c>
      <c r="AN25" s="60">
        <f ca="1">AVERAGE(OFFSET($AM$3,0,0,'Données projet'!$E$10+1,1))-AVERAGE(OFFSET($H$3,0,0,'Données projet'!$E$10+1,1))</f>
        <v>199.65420589615553</v>
      </c>
      <c r="AO25" s="60">
        <f t="shared" si="36"/>
        <v>477.85821088970999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</v>
      </c>
      <c r="BD25" s="13">
        <f>IF('Données projet'!$A$88&gt;35,BD24+BC25-BL24,IF(A25&lt;'Données projet'!$A$88,$BA$205^A25,IF(A25='Données projet'!$A$88,'Données projet'!$B$88,BD24+BC25-BL24)))</f>
        <v>47.792386231317963</v>
      </c>
      <c r="BE25" s="14">
        <f>BD25*VLOOKUP('Données projet'!$B$11,Paramètres!$A$1:$I$89,3,0)*VLOOKUP('Données projet'!$B$11,Paramètres!$A$1:$I$89,5,0)</f>
        <v>22.366836756256806</v>
      </c>
      <c r="BF25" s="14">
        <f t="shared" si="37"/>
        <v>7.178978641053865</v>
      </c>
      <c r="BG25" s="22">
        <f t="shared" si="7"/>
        <v>51.458961816982743</v>
      </c>
      <c r="BH25" s="60">
        <f t="shared" si="8"/>
        <v>240.20506206136574</v>
      </c>
      <c r="BI25" s="60">
        <f ca="1">AVERAGE(OFFSET($BH$3,0,0,'Données projet'!$E$11+1,1))-AVERAGE(OFFSET($H$3,0,0,'Données projet'!$E$11+1,1))</f>
        <v>374.62597460242665</v>
      </c>
      <c r="BJ25" s="60">
        <f t="shared" si="38"/>
        <v>277.50105097454616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2.84</v>
      </c>
      <c r="BY25" s="13">
        <f>IF('Données projet'!$A$114&gt;35,BY24+BX25-CG24,IF(A25&lt;'Données projet'!$A$114,$BV$205^A25,IF(A25='Données projet'!$A$114,'Données projet'!$B$114,BY24+BX25-CG24)))</f>
        <v>42.570362355521766</v>
      </c>
      <c r="BZ25" s="14">
        <f>BY25*VLOOKUP('Données projet'!$B$12,Paramètres!$A$1:$I$89,3,0)*VLOOKUP('Données projet'!$B$12,Paramètres!$A$1:$I$89,5,0)</f>
        <v>38.517663859276098</v>
      </c>
      <c r="CA25" s="14">
        <f t="shared" si="39"/>
        <v>11.604894236587789</v>
      </c>
      <c r="CB25" s="22">
        <f t="shared" si="10"/>
        <v>87.2967886836296</v>
      </c>
      <c r="CC25" s="60">
        <f t="shared" si="11"/>
        <v>276.04288892801259</v>
      </c>
      <c r="CD25" s="60">
        <f ca="1">AVERAGE(OFFSET($CC$3,0,0,'Données projet'!$E$12+1,1))-AVERAGE(OFFSET($H$3,0,0,'Données projet'!$E$12+1,1))</f>
        <v>434.56763649859136</v>
      </c>
      <c r="CE25" s="60">
        <f t="shared" si="40"/>
        <v>271.90302066766264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2.84</v>
      </c>
      <c r="CT25" s="13">
        <f>IF('Données projet'!$A$140&gt;35,CT24+CS25-DB24,IF(A25&lt;'Données projet'!$A$140,$CQ$205^A25,IF(A25='Données projet'!$A$140,'Données projet'!$B$140,CT24+CS25-DB24)))</f>
        <v>42.570362355521766</v>
      </c>
      <c r="CU25" s="18">
        <f>CT25*VLOOKUP('Données projet'!$B$13,Paramètres!$A$1:$I$89,3,0)*VLOOKUP('Données projet'!$B$13,Paramètres!$A$1:$I$89,5,0)</f>
        <v>35.861273248291539</v>
      </c>
      <c r="CV25" s="14">
        <f t="shared" si="41"/>
        <v>10.894801899175345</v>
      </c>
      <c r="CW25" s="22">
        <f t="shared" si="13"/>
        <v>81.433497548504832</v>
      </c>
      <c r="CX25" s="60">
        <f t="shared" si="14"/>
        <v>270.17959779288782</v>
      </c>
      <c r="CY25" s="60">
        <f ca="1">AVERAGE(OFFSET($CX$3,0,0,'Données projet'!$E$13+1,1))-AVERAGE(OFFSET($H$3,0,0,'Données projet'!$E$13+1,1))</f>
        <v>411.64829629901465</v>
      </c>
      <c r="CZ25" s="60">
        <f t="shared" si="42"/>
        <v>258.66864562757917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2.84</v>
      </c>
      <c r="DO25" s="13">
        <f>IF('Données projet'!$A$166&gt;35,DO24+DN25-DW24,IF(A25&lt;'Données projet'!$A$166,$DL$205^A25,IF(A25='Données projet'!$A$166,'Données projet'!$B$166,DO24+DN25-DW24)))</f>
        <v>42.570362355521766</v>
      </c>
      <c r="DP25" s="18">
        <f>DO25*VLOOKUP('Données projet'!$B$14,Paramètres!$A$1:$I$89,3,0)*VLOOKUP('Données projet'!$B$14,Paramètres!$A$1:$I$89,5,0)</f>
        <v>43.166347428499073</v>
      </c>
      <c r="DQ25" s="14">
        <f t="shared" si="43"/>
        <v>12.83413057776214</v>
      </c>
      <c r="DR25" s="22">
        <f t="shared" si="16"/>
        <v>97.534165860904935</v>
      </c>
      <c r="DS25" s="60">
        <f t="shared" si="17"/>
        <v>286.28026610528792</v>
      </c>
      <c r="DT25" s="60">
        <f ca="1">AVERAGE(OFFSET($DS$3,0,0,'Données projet'!$E$14+1,1))-AVERAGE(OFFSET($H$3,0,0,'Données projet'!$E$14+1,1))</f>
        <v>474.59791006623266</v>
      </c>
      <c r="DU25" s="60">
        <f t="shared" si="44"/>
        <v>295.01432800690293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15.6</v>
      </c>
      <c r="EJ25" s="13">
        <f>IF('Données projet'!$A$192&gt;35,EJ24+EI25-ER24,IF(A25&lt;'Données projet'!$A$192,$EG$205^A25,IF(A25='Données projet'!$A$192,'Données projet'!$B$192,EJ24+EI25-ER24)))</f>
        <v>135.19999999999999</v>
      </c>
      <c r="EK25" s="18">
        <f>EJ25*VLOOKUP('Données projet'!$B$15,Paramètres!$A$1:$I$89,3,0)*VLOOKUP('Données projet'!$B$15,Paramètres!$A$1:$I$89,5,0)</f>
        <v>118.11072000000001</v>
      </c>
      <c r="EL25" s="14">
        <f t="shared" si="45"/>
        <v>31.233949612110369</v>
      </c>
      <c r="EM25" s="22">
        <f t="shared" si="19"/>
        <v>260.10863290775887</v>
      </c>
      <c r="EN25" s="60">
        <f t="shared" si="20"/>
        <v>448.85473315214188</v>
      </c>
      <c r="EO25" s="60">
        <f ca="1">AVERAGE(OFFSET($EN$3,0,0,'Données projet'!$E$15+1,1))-AVERAGE(OFFSET($H$3,0,0,'Données projet'!$E$15+1,1))</f>
        <v>334.73467807584336</v>
      </c>
      <c r="EP25" s="60">
        <f t="shared" si="46"/>
        <v>463.8772059551726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3.9132035021901559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3.9132035021901559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135.66666666666666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0">
        <f t="shared" si="0"/>
        <v>445.44386839128947</v>
      </c>
      <c r="S26" s="60">
        <f ca="1">AVERAGE(OFFSET($R$3,0,0,'Données projet'!$E$9+1,1))-AVERAGE(OFFSET($H$3,0,0,'Données projet'!$E$9+1,1))</f>
        <v>199.65420589615553</v>
      </c>
      <c r="T26" s="60">
        <f t="shared" si="34"/>
        <v>477.85821088970999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0">
        <f t="shared" si="5"/>
        <v>445.44386839128947</v>
      </c>
      <c r="AN26" s="60">
        <f ca="1">AVERAGE(OFFSET($AM$3,0,0,'Données projet'!$E$10+1,1))-AVERAGE(OFFSET($H$3,0,0,'Données projet'!$E$10+1,1))</f>
        <v>199.65420589615553</v>
      </c>
      <c r="AO26" s="60">
        <f t="shared" si="36"/>
        <v>477.85821088970999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</v>
      </c>
      <c r="BD26" s="13">
        <f>IF('Données projet'!$A$88&gt;35,BD25+BC26-BL25,IF(A26&lt;'Données projet'!$A$88,$BA$205^A26,IF(A26='Données projet'!$A$88,'Données projet'!$B$88,BD25+BC26-BL25)))</f>
        <v>56.976163428110333</v>
      </c>
      <c r="BE26" s="14">
        <f>BD26*VLOOKUP('Données projet'!$B$11,Paramètres!$A$1:$I$89,3,0)*VLOOKUP('Données projet'!$B$11,Paramètres!$A$1:$I$89,5,0)</f>
        <v>26.664844484355637</v>
      </c>
      <c r="BF26" s="14">
        <f t="shared" si="37"/>
        <v>8.3851688821551527</v>
      </c>
      <c r="BG26" s="22">
        <f t="shared" si="7"/>
        <v>61.045439946672957</v>
      </c>
      <c r="BH26" s="60">
        <f t="shared" si="8"/>
        <v>252.65849450073918</v>
      </c>
      <c r="BI26" s="60">
        <f ca="1">AVERAGE(OFFSET($BH$3,0,0,'Données projet'!$E$11+1,1))-AVERAGE(OFFSET($H$3,0,0,'Données projet'!$E$11+1,1))</f>
        <v>374.62597460242665</v>
      </c>
      <c r="BJ26" s="60">
        <f t="shared" si="38"/>
        <v>277.50105097454616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2.84</v>
      </c>
      <c r="BY26" s="13">
        <f>IF('Données projet'!$A$114&gt;35,BY25+BX26-CG25,IF(A26&lt;'Données projet'!$A$114,$BV$205^A26,IF(A26='Données projet'!$A$114,'Données projet'!$B$114,BY25+BX26-CG25)))</f>
        <v>50.484455997861858</v>
      </c>
      <c r="BZ26" s="14">
        <f>BY26*VLOOKUP('Données projet'!$B$12,Paramètres!$A$1:$I$89,3,0)*VLOOKUP('Données projet'!$B$12,Paramètres!$A$1:$I$89,5,0)</f>
        <v>45.678335786865411</v>
      </c>
      <c r="CA26" s="14">
        <f t="shared" si="39"/>
        <v>13.491867326427556</v>
      </c>
      <c r="CB26" s="22">
        <f t="shared" si="10"/>
        <v>103.0547704223186</v>
      </c>
      <c r="CC26" s="60">
        <f t="shared" si="11"/>
        <v>294.66782497638485</v>
      </c>
      <c r="CD26" s="60">
        <f ca="1">AVERAGE(OFFSET($CC$3,0,0,'Données projet'!$E$12+1,1))-AVERAGE(OFFSET($H$3,0,0,'Données projet'!$E$12+1,1))</f>
        <v>434.56763649859136</v>
      </c>
      <c r="CE26" s="60">
        <f t="shared" si="40"/>
        <v>271.90302066766264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2.84</v>
      </c>
      <c r="CT26" s="13">
        <f>IF('Données projet'!$A$140&gt;35,CT25+CS26-DB25,IF(A26&lt;'Données projet'!$A$140,$CQ$205^A26,IF(A26='Données projet'!$A$140,'Données projet'!$B$140,CT25+CS26-DB25)))</f>
        <v>50.484455997861858</v>
      </c>
      <c r="CU26" s="18">
        <f>CT26*VLOOKUP('Données projet'!$B$13,Paramètres!$A$1:$I$89,3,0)*VLOOKUP('Données projet'!$B$13,Paramètres!$A$1:$I$89,5,0)</f>
        <v>42.528105732598839</v>
      </c>
      <c r="CV26" s="14">
        <f t="shared" si="41"/>
        <v>12.666312917178715</v>
      </c>
      <c r="CW26" s="22">
        <f t="shared" si="13"/>
        <v>96.130279148362561</v>
      </c>
      <c r="CX26" s="60">
        <f t="shared" si="14"/>
        <v>287.7433337024288</v>
      </c>
      <c r="CY26" s="60">
        <f ca="1">AVERAGE(OFFSET($CX$3,0,0,'Données projet'!$E$13+1,1))-AVERAGE(OFFSET($H$3,0,0,'Données projet'!$E$13+1,1))</f>
        <v>411.64829629901465</v>
      </c>
      <c r="CZ26" s="60">
        <f t="shared" si="42"/>
        <v>258.66864562757917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2.84</v>
      </c>
      <c r="DO26" s="13">
        <f>IF('Données projet'!$A$166&gt;35,DO25+DN26-DW25,IF(A26&lt;'Données projet'!$A$166,$DL$205^A26,IF(A26='Données projet'!$A$166,'Données projet'!$B$166,DO25+DN26-DW25)))</f>
        <v>50.484455997861858</v>
      </c>
      <c r="DP26" s="18">
        <f>DO26*VLOOKUP('Données projet'!$B$14,Paramètres!$A$1:$I$89,3,0)*VLOOKUP('Données projet'!$B$14,Paramètres!$A$1:$I$89,5,0)</f>
        <v>51.19123838183193</v>
      </c>
      <c r="DQ26" s="14">
        <f t="shared" si="43"/>
        <v>14.920979327781229</v>
      </c>
      <c r="DR26" s="22">
        <f t="shared" si="16"/>
        <v>115.14544584424293</v>
      </c>
      <c r="DS26" s="60">
        <f t="shared" si="17"/>
        <v>306.75850039830914</v>
      </c>
      <c r="DT26" s="60">
        <f ca="1">AVERAGE(OFFSET($DS$3,0,0,'Données projet'!$E$14+1,1))-AVERAGE(OFFSET($H$3,0,0,'Données projet'!$E$14+1,1))</f>
        <v>474.59791006623266</v>
      </c>
      <c r="DU26" s="60">
        <f t="shared" si="44"/>
        <v>295.01432800690293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15.6</v>
      </c>
      <c r="EJ26" s="13">
        <f>IF('Données projet'!$A$192&gt;35,EJ25+EI26-ER25,IF(A26&lt;'Données projet'!$A$192,$EG$205^A26,IF(A26='Données projet'!$A$192,'Données projet'!$B$192,EJ25+EI26-ER25)))</f>
        <v>150.79999999999998</v>
      </c>
      <c r="EK26" s="18">
        <f>EJ26*VLOOKUP('Données projet'!$B$15,Paramètres!$A$1:$I$89,3,0)*VLOOKUP('Données projet'!$B$15,Paramètres!$A$1:$I$89,5,0)</f>
        <v>131.73887999999999</v>
      </c>
      <c r="EL26" s="14">
        <f t="shared" si="45"/>
        <v>34.397852193895829</v>
      </c>
      <c r="EM26" s="22">
        <f t="shared" si="19"/>
        <v>289.35480857103522</v>
      </c>
      <c r="EN26" s="60">
        <f t="shared" si="20"/>
        <v>480.96786312510142</v>
      </c>
      <c r="EO26" s="60">
        <f ca="1">AVERAGE(OFFSET($EN$3,0,0,'Données projet'!$E$15+1,1))-AVERAGE(OFFSET($H$3,0,0,'Données projet'!$E$15+1,1))</f>
        <v>334.73467807584336</v>
      </c>
      <c r="EP26" s="60">
        <f t="shared" si="46"/>
        <v>463.8772059551726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3.8061967466363376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3.8061967466363376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135.66666666666666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0">
        <f t="shared" si="0"/>
        <v>469.63551530837344</v>
      </c>
      <c r="S27" s="60">
        <f ca="1">AVERAGE(OFFSET($R$3,0,0,'Données projet'!$E$9+1,1))-AVERAGE(OFFSET($H$3,0,0,'Données projet'!$E$9+1,1))</f>
        <v>199.65420589615553</v>
      </c>
      <c r="T27" s="60">
        <f t="shared" si="34"/>
        <v>477.85821088970999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0">
        <f t="shared" si="5"/>
        <v>469.63551530837344</v>
      </c>
      <c r="AN27" s="60">
        <f ca="1">AVERAGE(OFFSET($AM$3,0,0,'Données projet'!$E$10+1,1))-AVERAGE(OFFSET($H$3,0,0,'Données projet'!$E$10+1,1))</f>
        <v>199.65420589615553</v>
      </c>
      <c r="AO27" s="60">
        <f t="shared" si="36"/>
        <v>477.85821088970999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</v>
      </c>
      <c r="BD27" s="13">
        <f>IF('Données projet'!$A$88&gt;35,BD26+BC27-BL26,IF(A27&lt;'Données projet'!$A$88,$BA$205^A27,IF(A27='Données projet'!$A$88,'Données projet'!$B$88,BD26+BC27-BL26)))</f>
        <v>67.924693763448758</v>
      </c>
      <c r="BE27" s="14">
        <f>BD27*VLOOKUP('Données projet'!$B$11,Paramètres!$A$1:$I$89,3,0)*VLOOKUP('Données projet'!$B$11,Paramètres!$A$1:$I$89,5,0)</f>
        <v>31.788756681294021</v>
      </c>
      <c r="BF27" s="14">
        <f t="shared" si="37"/>
        <v>9.7940195531688623</v>
      </c>
      <c r="BG27" s="22">
        <f t="shared" si="7"/>
        <v>72.423335275022851</v>
      </c>
      <c r="BH27" s="60">
        <f t="shared" si="8"/>
        <v>266.87481171412492</v>
      </c>
      <c r="BI27" s="60">
        <f ca="1">AVERAGE(OFFSET($BH$3,0,0,'Données projet'!$E$11+1,1))-AVERAGE(OFFSET($H$3,0,0,'Données projet'!$E$11+1,1))</f>
        <v>374.62597460242665</v>
      </c>
      <c r="BJ27" s="60">
        <f t="shared" si="38"/>
        <v>277.50105097454616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2.84</v>
      </c>
      <c r="BY27" s="13">
        <f>IF('Données projet'!$A$114&gt;35,BY26+BX27-CG26,IF(A27&lt;'Données projet'!$A$114,$BV$205^A27,IF(A27='Données projet'!$A$114,'Données projet'!$B$114,BY26+BX27-CG26)))</f>
        <v>59.869828593776646</v>
      </c>
      <c r="BZ27" s="14">
        <f>BY27*VLOOKUP('Données projet'!$B$12,Paramètres!$A$1:$I$89,3,0)*VLOOKUP('Données projet'!$B$12,Paramètres!$A$1:$I$89,5,0)</f>
        <v>54.17022091164911</v>
      </c>
      <c r="CA27" s="14">
        <f t="shared" si="39"/>
        <v>15.685665051562438</v>
      </c>
      <c r="CB27" s="22">
        <f t="shared" si="10"/>
        <v>121.66566805259345</v>
      </c>
      <c r="CC27" s="60">
        <f t="shared" si="11"/>
        <v>316.11714449169551</v>
      </c>
      <c r="CD27" s="60">
        <f ca="1">AVERAGE(OFFSET($CC$3,0,0,'Données projet'!$E$12+1,1))-AVERAGE(OFFSET($H$3,0,0,'Données projet'!$E$12+1,1))</f>
        <v>434.56763649859136</v>
      </c>
      <c r="CE27" s="60">
        <f t="shared" si="40"/>
        <v>271.90302066766264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2.84</v>
      </c>
      <c r="CT27" s="13">
        <f>IF('Données projet'!$A$140&gt;35,CT26+CS27-DB26,IF(A27&lt;'Données projet'!$A$140,$CQ$205^A27,IF(A27='Données projet'!$A$140,'Données projet'!$B$140,CT26+CS27-DB26)))</f>
        <v>59.869828593776646</v>
      </c>
      <c r="CU27" s="18">
        <f>CT27*VLOOKUP('Données projet'!$B$13,Paramètres!$A$1:$I$89,3,0)*VLOOKUP('Données projet'!$B$13,Paramètres!$A$1:$I$89,5,0)</f>
        <v>50.434343607397452</v>
      </c>
      <c r="CV27" s="14">
        <f t="shared" si="41"/>
        <v>14.725874265601121</v>
      </c>
      <c r="CW27" s="22">
        <f t="shared" si="13"/>
        <v>113.48737946213917</v>
      </c>
      <c r="CX27" s="60">
        <f t="shared" si="14"/>
        <v>307.93885590124125</v>
      </c>
      <c r="CY27" s="60">
        <f ca="1">AVERAGE(OFFSET($CX$3,0,0,'Données projet'!$E$13+1,1))-AVERAGE(OFFSET($H$3,0,0,'Données projet'!$E$13+1,1))</f>
        <v>411.64829629901465</v>
      </c>
      <c r="CZ27" s="60">
        <f t="shared" si="42"/>
        <v>258.66864562757917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2.84</v>
      </c>
      <c r="DO27" s="13">
        <f>IF('Données projet'!$A$166&gt;35,DO26+DN27-DW26,IF(A27&lt;'Données projet'!$A$166,$DL$205^A27,IF(A27='Données projet'!$A$166,'Données projet'!$B$166,DO26+DN27-DW26)))</f>
        <v>59.869828593776646</v>
      </c>
      <c r="DP27" s="18">
        <f>DO27*VLOOKUP('Données projet'!$B$14,Paramètres!$A$1:$I$89,3,0)*VLOOKUP('Données projet'!$B$14,Paramètres!$A$1:$I$89,5,0)</f>
        <v>60.708006194089528</v>
      </c>
      <c r="DQ27" s="14">
        <f t="shared" si="43"/>
        <v>17.347152793180882</v>
      </c>
      <c r="DR27" s="22">
        <f t="shared" si="16"/>
        <v>135.94606856949596</v>
      </c>
      <c r="DS27" s="60">
        <f t="shared" si="17"/>
        <v>330.39754500859806</v>
      </c>
      <c r="DT27" s="60">
        <f ca="1">AVERAGE(OFFSET($DS$3,0,0,'Données projet'!$E$14+1,1))-AVERAGE(OFFSET($H$3,0,0,'Données projet'!$E$14+1,1))</f>
        <v>474.59791006623266</v>
      </c>
      <c r="DU27" s="60">
        <f t="shared" si="44"/>
        <v>295.01432800690293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15.6</v>
      </c>
      <c r="EJ27" s="13">
        <f>IF('Données projet'!$A$192&gt;35,EJ26+EI27-ER26,IF(A27&lt;'Données projet'!$A$192,$EG$205^A27,IF(A27='Données projet'!$A$192,'Données projet'!$B$192,EJ26+EI27-ER26)))</f>
        <v>166.39999999999998</v>
      </c>
      <c r="EK27" s="18">
        <f>EJ27*VLOOKUP('Données projet'!$B$15,Paramètres!$A$1:$I$89,3,0)*VLOOKUP('Données projet'!$B$15,Paramètres!$A$1:$I$89,5,0)</f>
        <v>145.36704</v>
      </c>
      <c r="EL27" s="14">
        <f t="shared" si="45"/>
        <v>37.523814117080832</v>
      </c>
      <c r="EM27" s="22">
        <f t="shared" si="19"/>
        <v>318.53490425391578</v>
      </c>
      <c r="EN27" s="60">
        <f t="shared" si="20"/>
        <v>512.98638069301785</v>
      </c>
      <c r="EO27" s="60">
        <f ca="1">AVERAGE(OFFSET($EN$3,0,0,'Données projet'!$E$15+1,1))-AVERAGE(OFFSET($H$3,0,0,'Données projet'!$E$15+1,1))</f>
        <v>334.73467807584336</v>
      </c>
      <c r="EP27" s="60">
        <f t="shared" si="46"/>
        <v>463.8772059551726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3.702116096440379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3.702116096440379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135.66666666666666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0">
        <f t="shared" si="0"/>
        <v>493.76191198390882</v>
      </c>
      <c r="S28" s="60">
        <f ca="1">AVERAGE(OFFSET($R$3,0,0,'Données projet'!$E$9+1,1))-AVERAGE(OFFSET($H$3,0,0,'Données projet'!$E$9+1,1))</f>
        <v>199.65420589615553</v>
      </c>
      <c r="T28" s="60">
        <f t="shared" si="34"/>
        <v>477.85821088970999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0">
        <f t="shared" si="5"/>
        <v>493.76191198390882</v>
      </c>
      <c r="AN28" s="60">
        <f ca="1">AVERAGE(OFFSET($AM$3,0,0,'Données projet'!$E$10+1,1))-AVERAGE(OFFSET($H$3,0,0,'Données projet'!$E$10+1,1))</f>
        <v>199.65420589615553</v>
      </c>
      <c r="AO28" s="60">
        <f t="shared" si="36"/>
        <v>477.85821088970999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6.5</v>
      </c>
      <c r="BD28" s="13">
        <f>IF('Données projet'!$A$88&gt;35,BD27+BC28-BL27,IF(A28&lt;'Données projet'!$A$88,$BA$205^A28,IF(A28='Données projet'!$A$88,'Données projet'!$B$88,BD27+BC28-BL27)))</f>
        <v>80.977091914581294</v>
      </c>
      <c r="BE28" s="14">
        <f>BD28*VLOOKUP('Données projet'!$B$11,Paramètres!$A$1:$I$89,3,0)*VLOOKUP('Données projet'!$B$11,Paramètres!$A$1:$I$89,5,0)</f>
        <v>37.897279016024044</v>
      </c>
      <c r="BF28" s="14">
        <f t="shared" si="37"/>
        <v>11.43958104552808</v>
      </c>
      <c r="BG28" s="22">
        <f t="shared" si="7"/>
        <v>85.928364607203278</v>
      </c>
      <c r="BH28" s="60">
        <f t="shared" si="8"/>
        <v>283.19022548047258</v>
      </c>
      <c r="BI28" s="60">
        <f ca="1">AVERAGE(OFFSET($BH$3,0,0,'Données projet'!$E$11+1,1))-AVERAGE(OFFSET($H$3,0,0,'Données projet'!$E$11+1,1))</f>
        <v>374.62597460242665</v>
      </c>
      <c r="BJ28" s="60">
        <f t="shared" si="38"/>
        <v>277.50105097454616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71</v>
      </c>
      <c r="BW28" s="13">
        <f>VLOOKUP(A28,'Données projet'!$A$113:$I$133,9,0)</f>
        <v>2.84</v>
      </c>
      <c r="BX28" s="13">
        <f t="array" ref="BX28">INDEX(BW:BW,MIN(IF(ISNUMBER(BW28:BW224),ROW(BW28:BW224),"")))</f>
        <v>2.84</v>
      </c>
      <c r="BY28" s="13">
        <f>IF('Données projet'!$A$114&gt;35,BY27+BX28-CG27,IF(A28&lt;'Données projet'!$A$114,$BV$205^A28,IF(A28='Données projet'!$A$114,'Données projet'!$B$114,BY27+BX28-CG27)))</f>
        <v>71</v>
      </c>
      <c r="BZ28" s="14">
        <f>BY28*VLOOKUP('Données projet'!$B$12,Paramètres!$A$1:$I$89,3,0)*VLOOKUP('Données projet'!$B$12,Paramètres!$A$1:$I$89,5,0)</f>
        <v>64.240800000000007</v>
      </c>
      <c r="CA28" s="14">
        <f t="shared" si="39"/>
        <v>18.236177554745847</v>
      </c>
      <c r="CB28" s="22">
        <f t="shared" si="10"/>
        <v>143.6474025745157</v>
      </c>
      <c r="CC28" s="60">
        <f t="shared" si="11"/>
        <v>340.90926344778495</v>
      </c>
      <c r="CD28" s="60">
        <f ca="1">AVERAGE(OFFSET($CC$3,0,0,'Données projet'!$E$12+1,1))-AVERAGE(OFFSET($H$3,0,0,'Données projet'!$E$12+1,1))</f>
        <v>434.56763649859136</v>
      </c>
      <c r="CE28" s="60">
        <f t="shared" si="40"/>
        <v>271.90302066766264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71</v>
      </c>
      <c r="CR28" s="13">
        <f>VLOOKUP(A28,'Données projet'!$A$139:$I$159,9,0)</f>
        <v>2.84</v>
      </c>
      <c r="CS28" s="13">
        <f t="array" ref="CS28">INDEX(CR:CR,MIN(IF(ISNUMBER(CR28:CR224),ROW(CR28:CR224),"")))</f>
        <v>2.84</v>
      </c>
      <c r="CT28" s="13">
        <f>IF('Données projet'!$A$140&gt;35,CT27+CS28-DB27,IF(A28&lt;'Données projet'!$A$140,$CQ$205^A28,IF(A28='Données projet'!$A$140,'Données projet'!$B$140,CT27+CS28-DB27)))</f>
        <v>71</v>
      </c>
      <c r="CU28" s="18">
        <f>CT28*VLOOKUP('Données projet'!$B$13,Paramètres!$A$1:$I$89,3,0)*VLOOKUP('Données projet'!$B$13,Paramètres!$A$1:$I$89,5,0)</f>
        <v>59.810400000000008</v>
      </c>
      <c r="CV28" s="14">
        <f t="shared" si="41"/>
        <v>17.120323357256389</v>
      </c>
      <c r="CW28" s="22">
        <f t="shared" si="13"/>
        <v>133.9876765138882</v>
      </c>
      <c r="CX28" s="60">
        <f t="shared" si="14"/>
        <v>331.24953738715749</v>
      </c>
      <c r="CY28" s="60">
        <f ca="1">AVERAGE(OFFSET($CX$3,0,0,'Données projet'!$E$13+1,1))-AVERAGE(OFFSET($H$3,0,0,'Données projet'!$E$13+1,1))</f>
        <v>411.64829629901465</v>
      </c>
      <c r="CZ28" s="60">
        <f t="shared" si="42"/>
        <v>258.66864562757917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71</v>
      </c>
      <c r="DM28" s="13">
        <f>VLOOKUP(A28,'Données projet'!$A$165:$I$185,9,0)</f>
        <v>2.84</v>
      </c>
      <c r="DN28" s="13">
        <f t="array" ref="DN28">INDEX(DM:DM,MIN(IF(ISNUMBER(DM28:DM224),ROW(DM28:DM224),"")))</f>
        <v>2.84</v>
      </c>
      <c r="DO28" s="13">
        <f>IF('Données projet'!$A$166&gt;35,DO27+DN28-DW27,IF(A28&lt;'Données projet'!$A$166,$DL$205^A28,IF(A28='Données projet'!$A$166,'Données projet'!$B$166,DO27+DN28-DW27)))</f>
        <v>71</v>
      </c>
      <c r="DP28" s="18">
        <f>DO28*VLOOKUP('Données projet'!$B$14,Paramètres!$A$1:$I$89,3,0)*VLOOKUP('Données projet'!$B$14,Paramètres!$A$1:$I$89,5,0)</f>
        <v>71.994</v>
      </c>
      <c r="DQ28" s="14">
        <f t="shared" si="43"/>
        <v>20.167825678149413</v>
      </c>
      <c r="DR28" s="22">
        <f t="shared" si="16"/>
        <v>160.51517972277688</v>
      </c>
      <c r="DS28" s="60">
        <f t="shared" si="17"/>
        <v>357.77704059604616</v>
      </c>
      <c r="DT28" s="60">
        <f ca="1">AVERAGE(OFFSET($DS$3,0,0,'Données projet'!$E$14+1,1))-AVERAGE(OFFSET($H$3,0,0,'Données projet'!$E$14+1,1))</f>
        <v>474.59791006623266</v>
      </c>
      <c r="DU28" s="60">
        <f t="shared" si="44"/>
        <v>295.01432800690293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182</v>
      </c>
      <c r="EH28" s="13">
        <f>VLOOKUP(A28,'Données projet'!$A$191:$I$211,9,0)</f>
        <v>15.6</v>
      </c>
      <c r="EI28" s="13">
        <f t="array" ref="EI28">INDEX(EH:EH,MIN(IF(ISNUMBER(EH28:EH224),ROW(EH28:EH224),"")))</f>
        <v>15.6</v>
      </c>
      <c r="EJ28" s="13">
        <f>IF('Données projet'!$A$192&gt;35,EJ27+EI28-ER27,IF(A28&lt;'Données projet'!$A$192,$EG$205^A28,IF(A28='Données projet'!$A$192,'Données projet'!$B$192,EJ27+EI28-ER27)))</f>
        <v>181.99999999999997</v>
      </c>
      <c r="EK28" s="18">
        <f>EJ28*VLOOKUP('Données projet'!$B$15,Paramètres!$A$1:$I$89,3,0)*VLOOKUP('Données projet'!$B$15,Paramètres!$A$1:$I$89,5,0)</f>
        <v>158.99519999999998</v>
      </c>
      <c r="EL28" s="14">
        <f t="shared" si="45"/>
        <v>40.615796933386044</v>
      </c>
      <c r="EM28" s="22">
        <f t="shared" si="19"/>
        <v>347.65581965898065</v>
      </c>
      <c r="EN28" s="60">
        <f t="shared" si="20"/>
        <v>544.91768053224996</v>
      </c>
      <c r="EO28" s="60">
        <f ca="1">AVERAGE(OFFSET($EN$3,0,0,'Données projet'!$E$15+1,1))-AVERAGE(OFFSET($H$3,0,0,'Données projet'!$E$15+1,1))</f>
        <v>334.73467807584336</v>
      </c>
      <c r="EP28" s="60">
        <f t="shared" si="46"/>
        <v>463.8772059551726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52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0.17200000000000001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12.204441069359568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12.204441069359568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135.66666666666666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0">
        <f t="shared" si="0"/>
        <v>517.82659523160623</v>
      </c>
      <c r="S29" s="60">
        <f ca="1">AVERAGE(OFFSET($R$3,0,0,'Données projet'!$E$9+1,1))-AVERAGE(OFFSET($H$3,0,0,'Données projet'!$E$9+1,1))</f>
        <v>199.65420589615553</v>
      </c>
      <c r="T29" s="60">
        <f t="shared" si="34"/>
        <v>477.85821088970999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0">
        <f t="shared" si="5"/>
        <v>517.82659523160623</v>
      </c>
      <c r="AN29" s="60">
        <f ca="1">AVERAGE(OFFSET($AM$3,0,0,'Données projet'!$E$10+1,1))-AVERAGE(OFFSET($H$3,0,0,'Données projet'!$E$10+1,1))</f>
        <v>199.65420589615553</v>
      </c>
      <c r="AO29" s="60">
        <f t="shared" si="36"/>
        <v>477.85821088970999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</v>
      </c>
      <c r="BD29" s="13">
        <f>IF('Données projet'!$A$88&gt;35,BD28+BC29-BL28,IF(A29&lt;'Données projet'!$A$88,$BA$205^A29,IF(A29='Données projet'!$A$88,'Données projet'!$B$88,BD28+BC29-BL28)))</f>
        <v>96.537636780206071</v>
      </c>
      <c r="BE29" s="14">
        <f>BD29*VLOOKUP('Données projet'!$B$11,Paramètres!$A$1:$I$89,3,0)*VLOOKUP('Données projet'!$B$11,Paramètres!$A$1:$I$89,5,0)</f>
        <v>45.179614013136444</v>
      </c>
      <c r="BF29" s="14">
        <f t="shared" si="37"/>
        <v>13.361624794271938</v>
      </c>
      <c r="BG29" s="22">
        <f t="shared" si="7"/>
        <v>101.95932425623626</v>
      </c>
      <c r="BH29" s="60">
        <f t="shared" si="8"/>
        <v>302.00401849989424</v>
      </c>
      <c r="BI29" s="60">
        <f ca="1">AVERAGE(OFFSET($BH$3,0,0,'Données projet'!$E$11+1,1))-AVERAGE(OFFSET($H$3,0,0,'Données projet'!$E$11+1,1))</f>
        <v>374.62597460242665</v>
      </c>
      <c r="BJ29" s="60">
        <f t="shared" si="38"/>
        <v>277.50105097454616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70</v>
      </c>
      <c r="BZ29" s="14">
        <f>BY29*VLOOKUP('Données projet'!$B$12,Paramètres!$A$1:$I$89,3,0)*VLOOKUP('Données projet'!$B$12,Paramètres!$A$1:$I$89,5,0)</f>
        <v>63.335999999999991</v>
      </c>
      <c r="CA29" s="14">
        <f t="shared" si="39"/>
        <v>18.009040022946227</v>
      </c>
      <c r="CB29" s="22">
        <f t="shared" si="10"/>
        <v>141.67594470663133</v>
      </c>
      <c r="CC29" s="60">
        <f t="shared" si="11"/>
        <v>341.7206389502893</v>
      </c>
      <c r="CD29" s="60">
        <f ca="1">AVERAGE(OFFSET($CC$3,0,0,'Données projet'!$E$12+1,1))-AVERAGE(OFFSET($H$3,0,0,'Données projet'!$E$12+1,1))</f>
        <v>434.56763649859136</v>
      </c>
      <c r="CE29" s="60">
        <f t="shared" si="40"/>
        <v>271.90302066766264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70</v>
      </c>
      <c r="CU29" s="18">
        <f>CT29*VLOOKUP('Données projet'!$B$13,Paramètres!$A$1:$I$89,3,0)*VLOOKUP('Données projet'!$B$13,Paramètres!$A$1:$I$89,5,0)</f>
        <v>58.968000000000011</v>
      </c>
      <c r="CV29" s="14">
        <f t="shared" si="41"/>
        <v>16.907084152971134</v>
      </c>
      <c r="CW29" s="22">
        <f t="shared" si="13"/>
        <v>132.14910489975807</v>
      </c>
      <c r="CX29" s="60">
        <f t="shared" si="14"/>
        <v>332.19379914341607</v>
      </c>
      <c r="CY29" s="60">
        <f ca="1">AVERAGE(OFFSET($CX$3,0,0,'Données projet'!$E$13+1,1))-AVERAGE(OFFSET($H$3,0,0,'Données projet'!$E$13+1,1))</f>
        <v>411.64829629901465</v>
      </c>
      <c r="CZ29" s="60">
        <f t="shared" si="42"/>
        <v>258.66864562757917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70</v>
      </c>
      <c r="DP29" s="18">
        <f>DO29*VLOOKUP('Données projet'!$B$14,Paramètres!$A$1:$I$89,3,0)*VLOOKUP('Données projet'!$B$14,Paramètres!$A$1:$I$89,5,0)</f>
        <v>70.98</v>
      </c>
      <c r="DQ29" s="14">
        <f t="shared" si="43"/>
        <v>19.916628839746853</v>
      </c>
      <c r="DR29" s="22">
        <f t="shared" si="16"/>
        <v>158.31162856255909</v>
      </c>
      <c r="DS29" s="60">
        <f t="shared" si="17"/>
        <v>358.35632280621712</v>
      </c>
      <c r="DT29" s="60">
        <f ca="1">AVERAGE(OFFSET($DS$3,0,0,'Données projet'!$E$14+1,1))-AVERAGE(OFFSET($H$3,0,0,'Données projet'!$E$14+1,1))</f>
        <v>474.59791006623266</v>
      </c>
      <c r="DU29" s="60">
        <f t="shared" si="44"/>
        <v>295.01432800690293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14.8</v>
      </c>
      <c r="EJ29" s="13">
        <f>IF('Données projet'!$A$192&gt;35,EJ28+EI29-ER28,IF(A29&lt;'Données projet'!$A$192,$EG$205^A29,IF(A29='Données projet'!$A$192,'Données projet'!$B$192,EJ28+EI29-ER28)))</f>
        <v>144.79999999999998</v>
      </c>
      <c r="EK29" s="18">
        <f>EJ29*VLOOKUP('Données projet'!$B$15,Paramètres!$A$1:$I$89,3,0)*VLOOKUP('Données projet'!$B$15,Paramètres!$A$1:$I$89,5,0)</f>
        <v>126.49727999999999</v>
      </c>
      <c r="EL29" s="14">
        <f t="shared" si="45"/>
        <v>33.185701456959592</v>
      </c>
      <c r="EM29" s="22">
        <f t="shared" si="19"/>
        <v>278.11452603753787</v>
      </c>
      <c r="EN29" s="60">
        <f t="shared" si="20"/>
        <v>478.15922028119587</v>
      </c>
      <c r="EO29" s="60">
        <f ca="1">AVERAGE(OFFSET($EN$3,0,0,'Données projet'!$E$15+1,1))-AVERAGE(OFFSET($H$3,0,0,'Données projet'!$E$15+1,1))</f>
        <v>334.73467807584336</v>
      </c>
      <c r="EP29" s="60">
        <f t="shared" si="46"/>
        <v>463.8772059551726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11.870709986514269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11.870709986514269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135.66666666666666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0">
        <f t="shared" si="0"/>
        <v>541.83265149704016</v>
      </c>
      <c r="S30" s="60">
        <f ca="1">AVERAGE(OFFSET($R$3,0,0,'Données projet'!$E$9+1,1))-AVERAGE(OFFSET($H$3,0,0,'Données projet'!$E$9+1,1))</f>
        <v>199.65420589615553</v>
      </c>
      <c r="T30" s="60">
        <f t="shared" si="34"/>
        <v>477.85821088970999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0">
        <f t="shared" si="5"/>
        <v>541.83265149704016</v>
      </c>
      <c r="AN30" s="60">
        <f ca="1">AVERAGE(OFFSET($AM$3,0,0,'Données projet'!$E$10+1,1))-AVERAGE(OFFSET($H$3,0,0,'Données projet'!$E$10+1,1))</f>
        <v>199.65420589615553</v>
      </c>
      <c r="AO30" s="60">
        <f t="shared" si="36"/>
        <v>477.85821088970999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</v>
      </c>
      <c r="BD30" s="13">
        <f>IF('Données projet'!$A$88&gt;35,BD29+BC30-BL29,IF(A30&lt;'Données projet'!$A$88,$BA$205^A30,IF(A30='Données projet'!$A$88,'Données projet'!$B$88,BD29+BC30-BL29)))</f>
        <v>115.08829342671002</v>
      </c>
      <c r="BE30" s="14">
        <f>BD30*VLOOKUP('Données projet'!$B$11,Paramètres!$A$1:$I$89,3,0)*VLOOKUP('Données projet'!$B$11,Paramètres!$A$1:$I$89,5,0)</f>
        <v>53.861321323700288</v>
      </c>
      <c r="BF30" s="14">
        <f t="shared" si="37"/>
        <v>15.606604510459258</v>
      </c>
      <c r="BG30" s="22">
        <f t="shared" si="7"/>
        <v>120.98997082782786</v>
      </c>
      <c r="BH30" s="60">
        <f t="shared" si="8"/>
        <v>323.79042532745774</v>
      </c>
      <c r="BI30" s="60">
        <f ca="1">AVERAGE(OFFSET($BH$3,0,0,'Données projet'!$E$11+1,1))-AVERAGE(OFFSET($H$3,0,0,'Données projet'!$E$11+1,1))</f>
        <v>374.62597460242665</v>
      </c>
      <c r="BJ30" s="60">
        <f t="shared" si="38"/>
        <v>277.50105097454616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69.669600000000003</v>
      </c>
      <c r="CA30" s="14">
        <f t="shared" si="39"/>
        <v>19.591385027476957</v>
      </c>
      <c r="CB30" s="22">
        <f t="shared" si="10"/>
        <v>155.46288225618903</v>
      </c>
      <c r="CC30" s="60">
        <f t="shared" si="11"/>
        <v>358.2633367558189</v>
      </c>
      <c r="CD30" s="60">
        <f ca="1">AVERAGE(OFFSET($CC$3,0,0,'Données projet'!$E$12+1,1))-AVERAGE(OFFSET($H$3,0,0,'Données projet'!$E$12+1,1))</f>
        <v>434.56763649859136</v>
      </c>
      <c r="CE30" s="60">
        <f t="shared" si="40"/>
        <v>271.90302066766264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77</v>
      </c>
      <c r="CU30" s="18">
        <f>CT30*VLOOKUP('Données projet'!$B$13,Paramètres!$A$1:$I$89,3,0)*VLOOKUP('Données projet'!$B$13,Paramètres!$A$1:$I$89,5,0)</f>
        <v>64.864800000000017</v>
      </c>
      <c r="CV30" s="14">
        <f t="shared" si="41"/>
        <v>18.392606985756636</v>
      </c>
      <c r="CW30" s="22">
        <f t="shared" si="13"/>
        <v>145.00665050019282</v>
      </c>
      <c r="CX30" s="60">
        <f t="shared" si="14"/>
        <v>347.80710499982268</v>
      </c>
      <c r="CY30" s="60">
        <f ca="1">AVERAGE(OFFSET($CX$3,0,0,'Données projet'!$E$13+1,1))-AVERAGE(OFFSET($H$3,0,0,'Données projet'!$E$13+1,1))</f>
        <v>411.64829629901465</v>
      </c>
      <c r="CZ30" s="60">
        <f t="shared" si="42"/>
        <v>258.66864562757917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77</v>
      </c>
      <c r="DP30" s="18">
        <f>DO30*VLOOKUP('Données projet'!$B$14,Paramètres!$A$1:$I$89,3,0)*VLOOKUP('Données projet'!$B$14,Paramètres!$A$1:$I$89,5,0)</f>
        <v>78.078000000000003</v>
      </c>
      <c r="DQ30" s="14">
        <f t="shared" si="43"/>
        <v>21.666582091642084</v>
      </c>
      <c r="DR30" s="22">
        <f t="shared" si="16"/>
        <v>173.72181380960993</v>
      </c>
      <c r="DS30" s="60">
        <f t="shared" si="17"/>
        <v>376.52226830923979</v>
      </c>
      <c r="DT30" s="60">
        <f ca="1">AVERAGE(OFFSET($DS$3,0,0,'Données projet'!$E$14+1,1))-AVERAGE(OFFSET($H$3,0,0,'Données projet'!$E$14+1,1))</f>
        <v>474.59791006623266</v>
      </c>
      <c r="DU30" s="60">
        <f t="shared" si="44"/>
        <v>295.01432800690293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14.8</v>
      </c>
      <c r="EJ30" s="13">
        <f>IF('Données projet'!$A$192&gt;35,EJ29+EI30-ER29,IF(A30&lt;'Données projet'!$A$192,$EG$205^A30,IF(A30='Données projet'!$A$192,'Données projet'!$B$192,EJ29+EI30-ER29)))</f>
        <v>159.6</v>
      </c>
      <c r="EK30" s="18">
        <f>EJ30*VLOOKUP('Données projet'!$B$15,Paramètres!$A$1:$I$89,3,0)*VLOOKUP('Données projet'!$B$15,Paramètres!$A$1:$I$89,5,0)</f>
        <v>139.42656000000002</v>
      </c>
      <c r="EL30" s="14">
        <f t="shared" si="45"/>
        <v>36.165607079455818</v>
      </c>
      <c r="EM30" s="22">
        <f t="shared" si="19"/>
        <v>305.82302433005219</v>
      </c>
      <c r="EN30" s="60">
        <f t="shared" si="20"/>
        <v>508.62347882968209</v>
      </c>
      <c r="EO30" s="60">
        <f ca="1">AVERAGE(OFFSET($EN$3,0,0,'Données projet'!$E$15+1,1))-AVERAGE(OFFSET($H$3,0,0,'Données projet'!$E$15+1,1))</f>
        <v>334.73467807584336</v>
      </c>
      <c r="EP30" s="60">
        <f t="shared" si="46"/>
        <v>463.8772059551726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11.546104797679529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11.546104797679529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135.66666666666666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0">
        <f t="shared" si="0"/>
        <v>565.78280529707365</v>
      </c>
      <c r="S31" s="60">
        <f ca="1">AVERAGE(OFFSET($R$3,0,0,'Données projet'!$E$9+1,1))-AVERAGE(OFFSET($H$3,0,0,'Données projet'!$E$9+1,1))</f>
        <v>199.65420589615553</v>
      </c>
      <c r="T31" s="60">
        <f t="shared" si="34"/>
        <v>477.85821088970999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0">
        <f t="shared" si="5"/>
        <v>565.78280529707365</v>
      </c>
      <c r="AN31" s="60">
        <f ca="1">AVERAGE(OFFSET($AM$3,0,0,'Données projet'!$E$10+1,1))-AVERAGE(OFFSET($H$3,0,0,'Données projet'!$E$10+1,1))</f>
        <v>199.65420589615553</v>
      </c>
      <c r="AO31" s="60">
        <f t="shared" si="36"/>
        <v>477.85821088970999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</v>
      </c>
      <c r="BD31" s="13">
        <f>IF('Données projet'!$A$88&gt;35,BD30+BC31-BL30,IF(A31&lt;'Données projet'!$A$88,$BA$205^A31,IF(A31='Données projet'!$A$88,'Données projet'!$B$88,BD30+BC31-BL30)))</f>
        <v>137.20364124956808</v>
      </c>
      <c r="BE31" s="14">
        <f>BD31*VLOOKUP('Données projet'!$B$11,Paramètres!$A$1:$I$89,3,0)*VLOOKUP('Données projet'!$B$11,Paramètres!$A$1:$I$89,5,0)</f>
        <v>64.211304104797861</v>
      </c>
      <c r="BF31" s="14">
        <f t="shared" si="37"/>
        <v>18.228778916940001</v>
      </c>
      <c r="BG31" s="22">
        <f t="shared" si="7"/>
        <v>143.58314459619342</v>
      </c>
      <c r="BH31" s="60">
        <f t="shared" si="8"/>
        <v>349.11275589538701</v>
      </c>
      <c r="BI31" s="60">
        <f ca="1">AVERAGE(OFFSET($BH$3,0,0,'Données projet'!$E$11+1,1))-AVERAGE(OFFSET($H$3,0,0,'Données projet'!$E$11+1,1))</f>
        <v>374.62597460242665</v>
      </c>
      <c r="BJ31" s="60">
        <f t="shared" si="38"/>
        <v>277.50105097454616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84</v>
      </c>
      <c r="BZ31" s="14">
        <f>BY31*VLOOKUP('Données projet'!$B$12,Paramètres!$A$1:$I$89,3,0)*VLOOKUP('Données projet'!$B$12,Paramètres!$A$1:$I$89,5,0)</f>
        <v>76.003200000000007</v>
      </c>
      <c r="CA31" s="14">
        <f t="shared" si="39"/>
        <v>21.157049992000456</v>
      </c>
      <c r="CB31" s="22">
        <f t="shared" si="10"/>
        <v>169.22076873606747</v>
      </c>
      <c r="CC31" s="60">
        <f t="shared" si="11"/>
        <v>374.75038003526106</v>
      </c>
      <c r="CD31" s="60">
        <f ca="1">AVERAGE(OFFSET($CC$3,0,0,'Données projet'!$E$12+1,1))-AVERAGE(OFFSET($H$3,0,0,'Données projet'!$E$12+1,1))</f>
        <v>434.56763649859136</v>
      </c>
      <c r="CE31" s="60">
        <f t="shared" si="40"/>
        <v>271.90302066766264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84</v>
      </c>
      <c r="CU31" s="18">
        <f>CT31*VLOOKUP('Données projet'!$B$13,Paramètres!$A$1:$I$89,3,0)*VLOOKUP('Données projet'!$B$13,Paramètres!$A$1:$I$89,5,0)</f>
        <v>70.761600000000001</v>
      </c>
      <c r="CV31" s="14">
        <f t="shared" si="41"/>
        <v>19.862470414169767</v>
      </c>
      <c r="CW31" s="22">
        <f t="shared" si="13"/>
        <v>157.83692263801234</v>
      </c>
      <c r="CX31" s="60">
        <f t="shared" si="14"/>
        <v>363.36653393720593</v>
      </c>
      <c r="CY31" s="60">
        <f ca="1">AVERAGE(OFFSET($CX$3,0,0,'Données projet'!$E$13+1,1))-AVERAGE(OFFSET($H$3,0,0,'Données projet'!$E$13+1,1))</f>
        <v>411.64829629901465</v>
      </c>
      <c r="CZ31" s="60">
        <f t="shared" si="42"/>
        <v>258.66864562757917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84</v>
      </c>
      <c r="DP31" s="18">
        <f>DO31*VLOOKUP('Données projet'!$B$14,Paramètres!$A$1:$I$89,3,0)*VLOOKUP('Données projet'!$B$14,Paramètres!$A$1:$I$89,5,0)</f>
        <v>85.176000000000002</v>
      </c>
      <c r="DQ31" s="14">
        <f t="shared" si="43"/>
        <v>23.398088487656441</v>
      </c>
      <c r="DR31" s="22">
        <f t="shared" si="16"/>
        <v>189.09987078266829</v>
      </c>
      <c r="DS31" s="60">
        <f t="shared" si="17"/>
        <v>394.62948208186185</v>
      </c>
      <c r="DT31" s="60">
        <f ca="1">AVERAGE(OFFSET($DS$3,0,0,'Données projet'!$E$14+1,1))-AVERAGE(OFFSET($H$3,0,0,'Données projet'!$E$14+1,1))</f>
        <v>474.59791006623266</v>
      </c>
      <c r="DU31" s="60">
        <f t="shared" si="44"/>
        <v>295.01432800690293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14.8</v>
      </c>
      <c r="EJ31" s="13">
        <f>IF('Données projet'!$A$192&gt;35,EJ30+EI31-ER30,IF(A31&lt;'Données projet'!$A$192,$EG$205^A31,IF(A31='Données projet'!$A$192,'Données projet'!$B$192,EJ30+EI31-ER30)))</f>
        <v>174.4</v>
      </c>
      <c r="EK31" s="18">
        <f>EJ31*VLOOKUP('Données projet'!$B$15,Paramètres!$A$1:$I$89,3,0)*VLOOKUP('Données projet'!$B$15,Paramètres!$A$1:$I$89,5,0)</f>
        <v>152.35584000000003</v>
      </c>
      <c r="EL31" s="14">
        <f t="shared" si="45"/>
        <v>39.11347218476763</v>
      </c>
      <c r="EM31" s="22">
        <f t="shared" si="19"/>
        <v>333.47571872180367</v>
      </c>
      <c r="EN31" s="60">
        <f t="shared" si="20"/>
        <v>539.00533002099723</v>
      </c>
      <c r="EO31" s="60">
        <f ca="1">AVERAGE(OFFSET($EN$3,0,0,'Données projet'!$E$15+1,1))-AVERAGE(OFFSET($H$3,0,0,'Données projet'!$E$15+1,1))</f>
        <v>334.73467807584336</v>
      </c>
      <c r="EP31" s="60">
        <f t="shared" si="46"/>
        <v>463.8772059551726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11.230375954803721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11.230375954803721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135.66666666666666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0">
        <f t="shared" si="0"/>
        <v>589.67948574766547</v>
      </c>
      <c r="S32" s="60">
        <f ca="1">AVERAGE(OFFSET($R$3,0,0,'Données projet'!$E$9+1,1))-AVERAGE(OFFSET($H$3,0,0,'Données projet'!$E$9+1,1))</f>
        <v>199.65420589615553</v>
      </c>
      <c r="T32" s="60">
        <f t="shared" si="34"/>
        <v>477.85821088970999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0">
        <f t="shared" si="5"/>
        <v>589.67948574766547</v>
      </c>
      <c r="AN32" s="60">
        <f ca="1">AVERAGE(OFFSET($AM$3,0,0,'Données projet'!$E$10+1,1))-AVERAGE(OFFSET($H$3,0,0,'Données projet'!$E$10+1,1))</f>
        <v>199.65420589615553</v>
      </c>
      <c r="AO32" s="60">
        <f t="shared" si="36"/>
        <v>477.85821088970999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</v>
      </c>
      <c r="BD32" s="13">
        <f>IF('Données projet'!$A$88&gt;35,BD31+BC32-BL31,IF(A32&lt;'Données projet'!$A$88,$BA$205^A32,IF(A32='Données projet'!$A$88,'Données projet'!$B$88,BD31+BC32-BL31)))</f>
        <v>163.5686707278193</v>
      </c>
      <c r="BE32" s="14">
        <f>BD32*VLOOKUP('Données projet'!$B$11,Paramètres!$A$1:$I$89,3,0)*VLOOKUP('Données projet'!$B$11,Paramètres!$A$1:$I$89,5,0)</f>
        <v>76.550137900619433</v>
      </c>
      <c r="BF32" s="14">
        <f t="shared" si="37"/>
        <v>21.291523122789648</v>
      </c>
      <c r="BG32" s="22">
        <f t="shared" si="7"/>
        <v>170.40755961577079</v>
      </c>
      <c r="BH32" s="60">
        <f t="shared" si="8"/>
        <v>378.64018576861224</v>
      </c>
      <c r="BI32" s="60">
        <f ca="1">AVERAGE(OFFSET($BH$3,0,0,'Données projet'!$E$11+1,1))-AVERAGE(OFFSET($H$3,0,0,'Données projet'!$E$11+1,1))</f>
        <v>374.62597460242665</v>
      </c>
      <c r="BJ32" s="60">
        <f t="shared" si="38"/>
        <v>277.50105097454616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91</v>
      </c>
      <c r="BZ32" s="14">
        <f>BY32*VLOOKUP('Données projet'!$B$12,Paramètres!$A$1:$I$89,3,0)*VLOOKUP('Données projet'!$B$12,Paramètres!$A$1:$I$89,5,0)</f>
        <v>82.336799999999997</v>
      </c>
      <c r="CA32" s="14">
        <f t="shared" si="39"/>
        <v>22.707582950885364</v>
      </c>
      <c r="CB32" s="22">
        <f t="shared" si="10"/>
        <v>182.95230030612535</v>
      </c>
      <c r="CC32" s="60">
        <f t="shared" si="11"/>
        <v>391.1849264589668</v>
      </c>
      <c r="CD32" s="60">
        <f ca="1">AVERAGE(OFFSET($CC$3,0,0,'Données projet'!$E$12+1,1))-AVERAGE(OFFSET($H$3,0,0,'Données projet'!$E$12+1,1))</f>
        <v>434.56763649859136</v>
      </c>
      <c r="CE32" s="60">
        <f t="shared" si="40"/>
        <v>271.90302066766264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91</v>
      </c>
      <c r="CU32" s="18">
        <f>CT32*VLOOKUP('Données projet'!$B$13,Paramètres!$A$1:$I$89,3,0)*VLOOKUP('Données projet'!$B$13,Paramètres!$A$1:$I$89,5,0)</f>
        <v>76.6584</v>
      </c>
      <c r="CV32" s="14">
        <f t="shared" si="41"/>
        <v>21.318127749842347</v>
      </c>
      <c r="CW32" s="22">
        <f t="shared" si="13"/>
        <v>170.6424524976421</v>
      </c>
      <c r="CX32" s="60">
        <f t="shared" si="14"/>
        <v>378.87507865048354</v>
      </c>
      <c r="CY32" s="60">
        <f ca="1">AVERAGE(OFFSET($CX$3,0,0,'Données projet'!$E$13+1,1))-AVERAGE(OFFSET($H$3,0,0,'Données projet'!$E$13+1,1))</f>
        <v>411.64829629901465</v>
      </c>
      <c r="CZ32" s="60">
        <f t="shared" si="42"/>
        <v>258.66864562757917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91</v>
      </c>
      <c r="DP32" s="18">
        <f>DO32*VLOOKUP('Données projet'!$B$14,Paramètres!$A$1:$I$89,3,0)*VLOOKUP('Données projet'!$B$14,Paramètres!$A$1:$I$89,5,0)</f>
        <v>92.274000000000001</v>
      </c>
      <c r="DQ32" s="14">
        <f t="shared" si="43"/>
        <v>25.112860036087575</v>
      </c>
      <c r="DR32" s="22">
        <f t="shared" si="16"/>
        <v>204.4487812295192</v>
      </c>
      <c r="DS32" s="60">
        <f t="shared" si="17"/>
        <v>412.68140738236065</v>
      </c>
      <c r="DT32" s="60">
        <f ca="1">AVERAGE(OFFSET($DS$3,0,0,'Données projet'!$E$14+1,1))-AVERAGE(OFFSET($H$3,0,0,'Données projet'!$E$14+1,1))</f>
        <v>474.59791006623266</v>
      </c>
      <c r="DU32" s="60">
        <f t="shared" si="44"/>
        <v>295.01432800690293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14.8</v>
      </c>
      <c r="EJ32" s="13">
        <f>IF('Données projet'!$A$192&gt;35,EJ31+EI32-ER31,IF(A32&lt;'Données projet'!$A$192,$EG$205^A32,IF(A32='Données projet'!$A$192,'Données projet'!$B$192,EJ31+EI32-ER31)))</f>
        <v>189.20000000000002</v>
      </c>
      <c r="EK32" s="18">
        <f>EJ32*VLOOKUP('Données projet'!$B$15,Paramètres!$A$1:$I$89,3,0)*VLOOKUP('Données projet'!$B$15,Paramètres!$A$1:$I$89,5,0)</f>
        <v>165.28512000000003</v>
      </c>
      <c r="EL32" s="14">
        <f t="shared" si="45"/>
        <v>42.032324946671778</v>
      </c>
      <c r="EM32" s="22">
        <f t="shared" si="19"/>
        <v>361.07788328212001</v>
      </c>
      <c r="EN32" s="60">
        <f t="shared" si="20"/>
        <v>569.31050943496143</v>
      </c>
      <c r="EO32" s="60">
        <f ca="1">AVERAGE(OFFSET($EN$3,0,0,'Données projet'!$E$15+1,1))-AVERAGE(OFFSET($H$3,0,0,'Données projet'!$E$15+1,1))</f>
        <v>334.73467807584336</v>
      </c>
      <c r="EP32" s="60">
        <f t="shared" si="46"/>
        <v>463.8772059551726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10.923280733739809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10.923280733739809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135.66666666666666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0">
        <f t="shared" si="0"/>
        <v>613.52487755637662</v>
      </c>
      <c r="S33" s="60">
        <f ca="1">AVERAGE(OFFSET($R$3,0,0,'Données projet'!$E$9+1,1))-AVERAGE(OFFSET($H$3,0,0,'Données projet'!$E$9+1,1))</f>
        <v>199.65420589615553</v>
      </c>
      <c r="T33" s="60">
        <f t="shared" si="34"/>
        <v>477.85821088970999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0">
        <f t="shared" si="5"/>
        <v>613.52487755637662</v>
      </c>
      <c r="AN33" s="60">
        <f ca="1">AVERAGE(OFFSET($AM$3,0,0,'Données projet'!$E$10+1,1))-AVERAGE(OFFSET($H$3,0,0,'Données projet'!$E$10+1,1))</f>
        <v>199.65420589615553</v>
      </c>
      <c r="AO33" s="60">
        <f t="shared" si="36"/>
        <v>477.85821088970999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195</v>
      </c>
      <c r="BB33" s="13">
        <f>VLOOKUP(A33,'Données projet'!$A$87:$I$107,9,0)</f>
        <v>6.5</v>
      </c>
      <c r="BC33" s="13">
        <f t="array" ref="BC33">INDEX(BB:BB,MIN(IF(ISNUMBER(BB33:BB229),ROW(BB33:BB229),"")))</f>
        <v>6.5</v>
      </c>
      <c r="BD33" s="13">
        <f>IF('Données projet'!$A$88&gt;35,BD32+BC33-BL32,IF(A33&lt;'Données projet'!$A$88,$BA$205^A33,IF(A33='Données projet'!$A$88,'Données projet'!$B$88,BD32+BC33-BL32)))</f>
        <v>195</v>
      </c>
      <c r="BE33" s="14">
        <f>BD33*VLOOKUP('Données projet'!$B$11,Paramètres!$A$1:$I$89,3,0)*VLOOKUP('Données projet'!$B$11,Paramètres!$A$1:$I$89,5,0)</f>
        <v>91.26</v>
      </c>
      <c r="BF33" s="14">
        <f t="shared" si="37"/>
        <v>24.868860330902777</v>
      </c>
      <c r="BG33" s="22">
        <f t="shared" si="7"/>
        <v>202.25776507632233</v>
      </c>
      <c r="BH33" s="60">
        <f t="shared" si="8"/>
        <v>413.16771764121279</v>
      </c>
      <c r="BI33" s="60">
        <f ca="1">AVERAGE(OFFSET($BH$3,0,0,'Données projet'!$E$11+1,1))-AVERAGE(OFFSET($H$3,0,0,'Données projet'!$E$11+1,1))</f>
        <v>374.62597460242665</v>
      </c>
      <c r="BJ33" s="60">
        <f t="shared" si="38"/>
        <v>277.50105097454616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98</v>
      </c>
      <c r="BZ33" s="14">
        <f>BY33*VLOOKUP('Données projet'!$B$12,Paramètres!$A$1:$I$89,3,0)*VLOOKUP('Données projet'!$B$12,Paramètres!$A$1:$I$89,5,0)</f>
        <v>88.670400000000001</v>
      </c>
      <c r="CA33" s="14">
        <f t="shared" si="39"/>
        <v>24.244280250395512</v>
      </c>
      <c r="CB33" s="22">
        <f t="shared" si="10"/>
        <v>196.65973476943884</v>
      </c>
      <c r="CC33" s="60">
        <f t="shared" si="11"/>
        <v>407.56968733432927</v>
      </c>
      <c r="CD33" s="60">
        <f ca="1">AVERAGE(OFFSET($CC$3,0,0,'Données projet'!$E$12+1,1))-AVERAGE(OFFSET($H$3,0,0,'Données projet'!$E$12+1,1))</f>
        <v>434.56763649859136</v>
      </c>
      <c r="CE33" s="60">
        <f t="shared" si="40"/>
        <v>271.90302066766264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98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98</v>
      </c>
      <c r="CU33" s="18">
        <f>CT33*VLOOKUP('Données projet'!$B$13,Paramètres!$A$1:$I$89,3,0)*VLOOKUP('Données projet'!$B$13,Paramètres!$A$1:$I$89,5,0)</f>
        <v>82.555199999999999</v>
      </c>
      <c r="CV33" s="14">
        <f t="shared" si="41"/>
        <v>22.760796016854769</v>
      </c>
      <c r="CW33" s="22">
        <f t="shared" si="13"/>
        <v>183.42535972935536</v>
      </c>
      <c r="CX33" s="60">
        <f t="shared" si="14"/>
        <v>394.3353122942458</v>
      </c>
      <c r="CY33" s="60">
        <f ca="1">AVERAGE(OFFSET($CX$3,0,0,'Données projet'!$E$13+1,1))-AVERAGE(OFFSET($H$3,0,0,'Données projet'!$E$13+1,1))</f>
        <v>411.64829629901465</v>
      </c>
      <c r="CZ33" s="60">
        <f t="shared" si="42"/>
        <v>258.66864562757917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98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98</v>
      </c>
      <c r="DP33" s="18">
        <f>DO33*VLOOKUP('Données projet'!$B$14,Paramètres!$A$1:$I$89,3,0)*VLOOKUP('Données projet'!$B$14,Paramètres!$A$1:$I$89,5,0)</f>
        <v>99.372000000000014</v>
      </c>
      <c r="DQ33" s="14">
        <f t="shared" si="43"/>
        <v>26.812330397327713</v>
      </c>
      <c r="DR33" s="22">
        <f t="shared" si="16"/>
        <v>219.7710421086791</v>
      </c>
      <c r="DS33" s="60">
        <f t="shared" si="17"/>
        <v>430.68099467356956</v>
      </c>
      <c r="DT33" s="60">
        <f ca="1">AVERAGE(OFFSET($DS$3,0,0,'Données projet'!$E$14+1,1))-AVERAGE(OFFSET($H$3,0,0,'Données projet'!$E$14+1,1))</f>
        <v>474.59791006623266</v>
      </c>
      <c r="DU33" s="60">
        <f t="shared" si="44"/>
        <v>295.01432800690293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204</v>
      </c>
      <c r="EH33" s="13">
        <f>VLOOKUP(A33,'Données projet'!$A$191:$I$211,9,0)</f>
        <v>14.8</v>
      </c>
      <c r="EI33" s="13">
        <f t="array" ref="EI33">INDEX(EH:EH,MIN(IF(ISNUMBER(EH33:EH229),ROW(EH33:EH229),"")))</f>
        <v>14.8</v>
      </c>
      <c r="EJ33" s="13">
        <f>IF('Données projet'!$A$192&gt;35,EJ32+EI33-ER32,IF(A33&lt;'Données projet'!$A$192,$EG$205^A33,IF(A33='Données projet'!$A$192,'Données projet'!$B$192,EJ32+EI33-ER32)))</f>
        <v>204.00000000000003</v>
      </c>
      <c r="EK33" s="18">
        <f>EJ33*VLOOKUP('Données projet'!$B$15,Paramètres!$A$1:$I$89,3,0)*VLOOKUP('Données projet'!$B$15,Paramètres!$A$1:$I$89,5,0)</f>
        <v>178.21440000000004</v>
      </c>
      <c r="EL33" s="14">
        <f t="shared" si="45"/>
        <v>44.924692855664368</v>
      </c>
      <c r="EM33" s="22">
        <f t="shared" si="19"/>
        <v>388.63392005694885</v>
      </c>
      <c r="EN33" s="60">
        <f t="shared" si="20"/>
        <v>599.54387262183923</v>
      </c>
      <c r="EO33" s="60">
        <f ca="1">AVERAGE(OFFSET($EN$3,0,0,'Données projet'!$E$15+1,1))-AVERAGE(OFFSET($H$3,0,0,'Données projet'!$E$15+1,1))</f>
        <v>334.73467807584336</v>
      </c>
      <c r="EP33" s="60">
        <f t="shared" si="46"/>
        <v>463.8772059551726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51</v>
      </c>
      <c r="ES33" s="17">
        <f>IF(ISNA(VLOOKUP(A33,'Données projet'!$A$191:$I$211,5,0)),0%,VLOOKUP(A33,'Données projet'!$A$191:$I$211,5,0)*VLOOKUP('Données projet'!$B$15,Paramètres!$A$1:$I$89,7,0))</f>
        <v>0.17200000000000001</v>
      </c>
      <c r="ET33" s="17">
        <f>IF(ISNA(VLOOKUP(A33,'Données projet'!$A$191:$I$211,6,0)),0%,VLOOKUP(A33,'Données projet'!$A$191:$I$211,6,0)*VLOOKUP('Données projet'!$B$15,Paramètres!$A$1:$I$89,7,0))</f>
        <v>0.17200000000000001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8.4714618374681923</v>
      </c>
      <c r="EW33" s="23">
        <f>EXP(-LN(2)/25)*EW32+(1-EXP(-LN(2)/25))/(LN(2)/25)*Calculateur!ER33*Calculateur!ET33*VLOOKUP('Données projet'!$B$15,Paramètres!$A$1:$I$89,3,0)*0.475*44/12</f>
        <v>19.062689511979386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27.534151349447576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135.66666666666666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0">
        <f t="shared" si="0"/>
        <v>212.3398139501513</v>
      </c>
      <c r="S34" s="60">
        <f ca="1">AVERAGE(OFFSET($R$3,0,0,'Données projet'!$E$9+1,1))-AVERAGE(OFFSET($H$3,0,0,'Données projet'!$E$9+1,1))</f>
        <v>199.65420589615553</v>
      </c>
      <c r="T34" s="60">
        <f t="shared" si="34"/>
        <v>477.85821088970999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0">
        <f t="shared" si="5"/>
        <v>212.3398139501513</v>
      </c>
      <c r="AN34" s="60">
        <f ca="1">AVERAGE(OFFSET($AM$3,0,0,'Données projet'!$E$10+1,1))-AVERAGE(OFFSET($H$3,0,0,'Données projet'!$E$10+1,1))</f>
        <v>199.65420589615553</v>
      </c>
      <c r="AO34" s="60">
        <f t="shared" si="36"/>
        <v>477.85821088970999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17</v>
      </c>
      <c r="BD34" s="13">
        <f>IF('Données projet'!$A$88&gt;35,BD33+BC34-BL33,IF(A34&lt;'Données projet'!$A$88,$BA$205^A34,IF(A34='Données projet'!$A$88,'Données projet'!$B$88,BD33+BC34-BL33)))</f>
        <v>212</v>
      </c>
      <c r="BE34" s="14">
        <f>BD34*VLOOKUP('Données projet'!$B$11,Paramètres!$A$1:$I$89,3,0)*VLOOKUP('Données projet'!$B$11,Paramètres!$A$1:$I$89,5,0)</f>
        <v>99.215999999999994</v>
      </c>
      <c r="BF34" s="14">
        <f t="shared" si="37"/>
        <v>26.775134885576414</v>
      </c>
      <c r="BG34" s="22">
        <f t="shared" si="7"/>
        <v>219.43455992571219</v>
      </c>
      <c r="BH34" s="60">
        <f t="shared" si="8"/>
        <v>431.7743738758615</v>
      </c>
      <c r="BI34" s="60">
        <f ca="1">AVERAGE(OFFSET($BH$3,0,0,'Données projet'!$E$11+1,1))-AVERAGE(OFFSET($H$3,0,0,'Données projet'!$E$11+1,1))</f>
        <v>374.62597460242665</v>
      </c>
      <c r="BJ34" s="60">
        <f t="shared" si="38"/>
        <v>277.50105097454616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7.8</v>
      </c>
      <c r="BY34" s="13">
        <f>IF('Données projet'!$A$114&gt;35,BY33+BX34-CG33,IF(A34&lt;'Données projet'!$A$114,$BV$205^A34,IF(A34='Données projet'!$A$114,'Données projet'!$B$114,BY33+BX34-CG33)))</f>
        <v>84.8</v>
      </c>
      <c r="BZ34" s="14">
        <f>BY34*VLOOKUP('Données projet'!$B$12,Paramètres!$A$1:$I$89,3,0)*VLOOKUP('Données projet'!$B$12,Paramètres!$A$1:$I$89,5,0)</f>
        <v>76.727040000000002</v>
      </c>
      <c r="CA34" s="14">
        <f t="shared" si="39"/>
        <v>21.334993267156708</v>
      </c>
      <c r="CB34" s="22">
        <f t="shared" si="10"/>
        <v>170.79137460696458</v>
      </c>
      <c r="CC34" s="60">
        <f t="shared" si="11"/>
        <v>383.13118855711389</v>
      </c>
      <c r="CD34" s="60">
        <f ca="1">AVERAGE(OFFSET($CC$3,0,0,'Données projet'!$E$12+1,1))-AVERAGE(OFFSET($H$3,0,0,'Données projet'!$E$12+1,1))</f>
        <v>434.56763649859136</v>
      </c>
      <c r="CE34" s="60">
        <f t="shared" si="40"/>
        <v>271.90302066766264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7.8</v>
      </c>
      <c r="CT34" s="13">
        <f>IF('Données projet'!$A$140&gt;35,CT33+CS34-DB33,IF(A34&lt;'Données projet'!$A$140,$CQ$205^A34,IF(A34='Données projet'!$A$140,'Données projet'!$B$140,CT33+CS34-DB33)))</f>
        <v>84.8</v>
      </c>
      <c r="CU34" s="18">
        <f>CT34*VLOOKUP('Données projet'!$B$13,Paramètres!$A$1:$I$89,3,0)*VLOOKUP('Données projet'!$B$13,Paramètres!$A$1:$I$89,5,0)</f>
        <v>71.435520000000011</v>
      </c>
      <c r="CV34" s="14">
        <f t="shared" si="41"/>
        <v>20.029525511148233</v>
      </c>
      <c r="CW34" s="22">
        <f t="shared" si="13"/>
        <v>159.30162093191652</v>
      </c>
      <c r="CX34" s="60">
        <f t="shared" si="14"/>
        <v>371.64143488206582</v>
      </c>
      <c r="CY34" s="60">
        <f ca="1">AVERAGE(OFFSET($CX$3,0,0,'Données projet'!$E$13+1,1))-AVERAGE(OFFSET($H$3,0,0,'Données projet'!$E$13+1,1))</f>
        <v>411.64829629901465</v>
      </c>
      <c r="CZ34" s="60">
        <f t="shared" si="42"/>
        <v>258.66864562757917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84.8</v>
      </c>
      <c r="DP34" s="18">
        <f>DO34*VLOOKUP('Données projet'!$B$14,Paramètres!$A$1:$I$89,3,0)*VLOOKUP('Données projet'!$B$14,Paramètres!$A$1:$I$89,5,0)</f>
        <v>85.987200000000001</v>
      </c>
      <c r="DQ34" s="14">
        <f t="shared" si="43"/>
        <v>23.594880218992504</v>
      </c>
      <c r="DR34" s="22">
        <f t="shared" si="16"/>
        <v>190.85545638141195</v>
      </c>
      <c r="DS34" s="60">
        <f t="shared" si="17"/>
        <v>403.19527033156123</v>
      </c>
      <c r="DT34" s="60">
        <f ca="1">AVERAGE(OFFSET($DS$3,0,0,'Données projet'!$E$14+1,1))-AVERAGE(OFFSET($H$3,0,0,'Données projet'!$E$14+1,1))</f>
        <v>474.59791006623266</v>
      </c>
      <c r="DU34" s="60">
        <f t="shared" si="44"/>
        <v>295.01432800690293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13.6</v>
      </c>
      <c r="EJ34" s="13">
        <f>IF('Données projet'!$A$192&gt;35,EJ33+EI34-ER33,IF(A34&lt;'Données projet'!$A$192,$EG$205^A34,IF(A34='Données projet'!$A$192,'Données projet'!$B$192,EJ33+EI34-ER33)))</f>
        <v>166.60000000000002</v>
      </c>
      <c r="EK34" s="18">
        <f>EJ34*VLOOKUP('Données projet'!$B$15,Paramètres!$A$1:$I$89,3,0)*VLOOKUP('Données projet'!$B$15,Paramètres!$A$1:$I$89,5,0)</f>
        <v>145.54176000000004</v>
      </c>
      <c r="EL34" s="14">
        <f t="shared" si="45"/>
        <v>37.563662342876064</v>
      </c>
      <c r="EM34" s="22">
        <f t="shared" si="19"/>
        <v>318.90861058050916</v>
      </c>
      <c r="EN34" s="60">
        <f t="shared" si="20"/>
        <v>531.24842453065844</v>
      </c>
      <c r="EO34" s="60">
        <f ca="1">AVERAGE(OFFSET($EN$3,0,0,'Données projet'!$E$15+1,1))-AVERAGE(OFFSET($H$3,0,0,'Données projet'!$E$15+1,1))</f>
        <v>334.73467807584336</v>
      </c>
      <c r="EP34" s="60">
        <f t="shared" si="46"/>
        <v>463.8772059551726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8.3053416379169551</v>
      </c>
      <c r="EW34" s="23">
        <f>EXP(-LN(2)/25)*EW33+(1-EXP(-LN(2)/25))/(LN(2)/25)*Calculateur!ER34*Calculateur!ET34*VLOOKUP('Données projet'!$B$15,Paramètres!$A$1:$I$89,3,0)*0.475*44/12</f>
        <v>18.541419264811037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26.846760902727993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135.66666666666666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0">
        <f t="shared" si="0"/>
        <v>213.74487043706714</v>
      </c>
      <c r="S35" s="60">
        <f ca="1">AVERAGE(OFFSET($R$3,0,0,'Données projet'!$E$9+1,1))-AVERAGE(OFFSET($H$3,0,0,'Données projet'!$E$9+1,1))</f>
        <v>199.65420589615553</v>
      </c>
      <c r="T35" s="60">
        <f t="shared" si="34"/>
        <v>477.85821088970999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0">
        <f t="shared" si="5"/>
        <v>213.74487043706714</v>
      </c>
      <c r="AN35" s="60">
        <f ca="1">AVERAGE(OFFSET($AM$3,0,0,'Données projet'!$E$10+1,1))-AVERAGE(OFFSET($H$3,0,0,'Données projet'!$E$10+1,1))</f>
        <v>199.65420589615553</v>
      </c>
      <c r="AO35" s="60">
        <f t="shared" si="36"/>
        <v>477.85821088970999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17</v>
      </c>
      <c r="BD35" s="13">
        <f>IF('Données projet'!$A$88&gt;35,BD34+BC35-BL34,IF(A35&lt;'Données projet'!$A$88,$BA$205^A35,IF(A35='Données projet'!$A$88,'Données projet'!$B$88,BD34+BC35-BL34)))</f>
        <v>229</v>
      </c>
      <c r="BE35" s="14">
        <f>BD35*VLOOKUP('Données projet'!$B$11,Paramètres!$A$1:$I$89,3,0)*VLOOKUP('Données projet'!$B$11,Paramètres!$A$1:$I$89,5,0)</f>
        <v>107.172</v>
      </c>
      <c r="BF35" s="14">
        <f t="shared" si="37"/>
        <v>28.663679082578788</v>
      </c>
      <c r="BG35" s="22">
        <f t="shared" si="7"/>
        <v>236.58047440215805</v>
      </c>
      <c r="BH35" s="60">
        <f t="shared" si="8"/>
        <v>450.32534483922319</v>
      </c>
      <c r="BI35" s="60">
        <f ca="1">AVERAGE(OFFSET($BH$3,0,0,'Données projet'!$E$11+1,1))-AVERAGE(OFFSET($H$3,0,0,'Données projet'!$E$11+1,1))</f>
        <v>374.62597460242665</v>
      </c>
      <c r="BJ35" s="60">
        <f t="shared" si="38"/>
        <v>277.50105097454616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7.8</v>
      </c>
      <c r="BY35" s="13">
        <f>IF('Données projet'!$A$114&gt;35,BY34+BX35-CG34,IF(A35&lt;'Données projet'!$A$114,$BV$205^A35,IF(A35='Données projet'!$A$114,'Données projet'!$B$114,BY34+BX35-CG34)))</f>
        <v>92.6</v>
      </c>
      <c r="BZ35" s="14">
        <f>BY35*VLOOKUP('Données projet'!$B$12,Paramètres!$A$1:$I$89,3,0)*VLOOKUP('Données projet'!$B$12,Paramètres!$A$1:$I$89,5,0)</f>
        <v>83.784479999999988</v>
      </c>
      <c r="CA35" s="14">
        <f t="shared" si="39"/>
        <v>23.06000530770384</v>
      </c>
      <c r="CB35" s="22">
        <f t="shared" si="10"/>
        <v>186.08747857758416</v>
      </c>
      <c r="CC35" s="60">
        <f t="shared" si="11"/>
        <v>399.83234901464931</v>
      </c>
      <c r="CD35" s="60">
        <f ca="1">AVERAGE(OFFSET($CC$3,0,0,'Données projet'!$E$12+1,1))-AVERAGE(OFFSET($H$3,0,0,'Données projet'!$E$12+1,1))</f>
        <v>434.56763649859136</v>
      </c>
      <c r="CE35" s="60">
        <f t="shared" si="40"/>
        <v>271.90302066766264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7.8</v>
      </c>
      <c r="CT35" s="13">
        <f>IF('Données projet'!$A$140&gt;35,CT34+CS35-DB34,IF(A35&lt;'Données projet'!$A$140,$CQ$205^A35,IF(A35='Données projet'!$A$140,'Données projet'!$B$140,CT34+CS35-DB34)))</f>
        <v>92.6</v>
      </c>
      <c r="CU35" s="18">
        <f>CT35*VLOOKUP('Données projet'!$B$13,Paramètres!$A$1:$I$89,3,0)*VLOOKUP('Données projet'!$B$13,Paramètres!$A$1:$I$89,5,0)</f>
        <v>78.006240000000005</v>
      </c>
      <c r="CV35" s="14">
        <f t="shared" si="41"/>
        <v>21.648985720979425</v>
      </c>
      <c r="CW35" s="22">
        <f t="shared" si="13"/>
        <v>173.56618479737253</v>
      </c>
      <c r="CX35" s="60">
        <f t="shared" si="14"/>
        <v>387.31105523443767</v>
      </c>
      <c r="CY35" s="60">
        <f ca="1">AVERAGE(OFFSET($CX$3,0,0,'Données projet'!$E$13+1,1))-AVERAGE(OFFSET($H$3,0,0,'Données projet'!$E$13+1,1))</f>
        <v>411.64829629901465</v>
      </c>
      <c r="CZ35" s="60">
        <f t="shared" si="42"/>
        <v>258.66864562757917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92.6</v>
      </c>
      <c r="DP35" s="18">
        <f>DO35*VLOOKUP('Données projet'!$B$14,Paramètres!$A$1:$I$89,3,0)*VLOOKUP('Données projet'!$B$14,Paramètres!$A$1:$I$89,5,0)</f>
        <v>93.8964</v>
      </c>
      <c r="DQ35" s="14">
        <f t="shared" si="43"/>
        <v>25.502612364176063</v>
      </c>
      <c r="DR35" s="22">
        <f t="shared" si="16"/>
        <v>207.95327986760662</v>
      </c>
      <c r="DS35" s="60">
        <f t="shared" si="17"/>
        <v>421.6981503046718</v>
      </c>
      <c r="DT35" s="60">
        <f ca="1">AVERAGE(OFFSET($DS$3,0,0,'Données projet'!$E$14+1,1))-AVERAGE(OFFSET($H$3,0,0,'Données projet'!$E$14+1,1))</f>
        <v>474.59791006623266</v>
      </c>
      <c r="DU35" s="60">
        <f t="shared" si="44"/>
        <v>295.01432800690293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13.6</v>
      </c>
      <c r="EJ35" s="13">
        <f>IF('Données projet'!$A$192&gt;35,EJ34+EI35-ER34,IF(A35&lt;'Données projet'!$A$192,$EG$205^A35,IF(A35='Données projet'!$A$192,'Données projet'!$B$192,EJ34+EI35-ER34)))</f>
        <v>180.20000000000002</v>
      </c>
      <c r="EK35" s="18">
        <f>EJ35*VLOOKUP('Données projet'!$B$15,Paramètres!$A$1:$I$89,3,0)*VLOOKUP('Données projet'!$B$15,Paramètres!$A$1:$I$89,5,0)</f>
        <v>157.42272000000003</v>
      </c>
      <c r="EL35" s="14">
        <f t="shared" si="45"/>
        <v>40.260654441499831</v>
      </c>
      <c r="EM35" s="22">
        <f t="shared" si="19"/>
        <v>344.29854381894557</v>
      </c>
      <c r="EN35" s="60">
        <f t="shared" si="20"/>
        <v>558.04341425601069</v>
      </c>
      <c r="EO35" s="60">
        <f ca="1">AVERAGE(OFFSET($EN$3,0,0,'Données projet'!$E$15+1,1))-AVERAGE(OFFSET($H$3,0,0,'Données projet'!$E$15+1,1))</f>
        <v>334.73467807584336</v>
      </c>
      <c r="EP35" s="60">
        <f t="shared" si="46"/>
        <v>463.8772059551726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8.1424789541556013</v>
      </c>
      <c r="EW35" s="23">
        <f>EXP(-LN(2)/25)*EW34+(1-EXP(-LN(2)/25))/(LN(2)/25)*Calculateur!ER35*Calculateur!ET35*VLOOKUP('Données projet'!$B$15,Paramètres!$A$1:$I$89,3,0)*0.475*44/12</f>
        <v>18.034403179963917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26.176882134119516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135.66666666666666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0">
        <f t="shared" si="0"/>
        <v>215.12555233517065</v>
      </c>
      <c r="S36" s="60">
        <f ca="1">AVERAGE(OFFSET($R$3,0,0,'Données projet'!$E$9+1,1))-AVERAGE(OFFSET($H$3,0,0,'Données projet'!$E$9+1,1))</f>
        <v>199.65420589615553</v>
      </c>
      <c r="T36" s="60">
        <f t="shared" si="34"/>
        <v>477.85821088970999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0">
        <f t="shared" si="5"/>
        <v>215.12555233517065</v>
      </c>
      <c r="AN36" s="60">
        <f ca="1">AVERAGE(OFFSET($AM$3,0,0,'Données projet'!$E$10+1,1))-AVERAGE(OFFSET($H$3,0,0,'Données projet'!$E$10+1,1))</f>
        <v>199.65420589615553</v>
      </c>
      <c r="AO36" s="60">
        <f t="shared" si="36"/>
        <v>477.85821088970999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17</v>
      </c>
      <c r="BD36" s="13">
        <f>IF('Données projet'!$A$88&gt;35,BD35+BC36-BL35,IF(A36&lt;'Données projet'!$A$88,$BA$205^A36,IF(A36='Données projet'!$A$88,'Données projet'!$B$88,BD35+BC36-BL35)))</f>
        <v>246</v>
      </c>
      <c r="BE36" s="14">
        <f>BD36*VLOOKUP('Données projet'!$B$11,Paramètres!$A$1:$I$89,3,0)*VLOOKUP('Données projet'!$B$11,Paramètres!$A$1:$I$89,5,0)</f>
        <v>115.128</v>
      </c>
      <c r="BF36" s="14">
        <f t="shared" si="37"/>
        <v>30.53595882135</v>
      </c>
      <c r="BG36" s="22">
        <f t="shared" si="7"/>
        <v>253.69806161385125</v>
      </c>
      <c r="BH36" s="60">
        <f t="shared" si="8"/>
        <v>468.82361394901989</v>
      </c>
      <c r="BI36" s="60">
        <f ca="1">AVERAGE(OFFSET($BH$3,0,0,'Données projet'!$E$11+1,1))-AVERAGE(OFFSET($H$3,0,0,'Données projet'!$E$11+1,1))</f>
        <v>374.62597460242665</v>
      </c>
      <c r="BJ36" s="60">
        <f t="shared" si="38"/>
        <v>277.50105097454616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7.8</v>
      </c>
      <c r="BY36" s="13">
        <f>IF('Données projet'!$A$114&gt;35,BY35+BX36-CG35,IF(A36&lt;'Données projet'!$A$114,$BV$205^A36,IF(A36='Données projet'!$A$114,'Données projet'!$B$114,BY35+BX36-CG35)))</f>
        <v>100.39999999999999</v>
      </c>
      <c r="BZ36" s="14">
        <f>BY36*VLOOKUP('Données projet'!$B$12,Paramètres!$A$1:$I$89,3,0)*VLOOKUP('Données projet'!$B$12,Paramètres!$A$1:$I$89,5,0)</f>
        <v>90.841919999999988</v>
      </c>
      <c r="CA36" s="14">
        <f t="shared" si="39"/>
        <v>24.768165658148625</v>
      </c>
      <c r="CB36" s="22">
        <f t="shared" si="10"/>
        <v>201.35423252127552</v>
      </c>
      <c r="CC36" s="60">
        <f t="shared" si="11"/>
        <v>416.47978485644421</v>
      </c>
      <c r="CD36" s="60">
        <f ca="1">AVERAGE(OFFSET($CC$3,0,0,'Données projet'!$E$12+1,1))-AVERAGE(OFFSET($H$3,0,0,'Données projet'!$E$12+1,1))</f>
        <v>434.56763649859136</v>
      </c>
      <c r="CE36" s="60">
        <f t="shared" si="40"/>
        <v>271.90302066766264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7.8</v>
      </c>
      <c r="CT36" s="13">
        <f>IF('Données projet'!$A$140&gt;35,CT35+CS36-DB35,IF(A36&lt;'Données projet'!$A$140,$CQ$205^A36,IF(A36='Données projet'!$A$140,'Données projet'!$B$140,CT35+CS36-DB35)))</f>
        <v>100.39999999999999</v>
      </c>
      <c r="CU36" s="18">
        <f>CT36*VLOOKUP('Données projet'!$B$13,Paramètres!$A$1:$I$89,3,0)*VLOOKUP('Données projet'!$B$13,Paramètres!$A$1:$I$89,5,0)</f>
        <v>84.57696</v>
      </c>
      <c r="CV36" s="14">
        <f t="shared" si="41"/>
        <v>23.252625379447668</v>
      </c>
      <c r="CW36" s="22">
        <f t="shared" si="13"/>
        <v>187.80319453587131</v>
      </c>
      <c r="CX36" s="60">
        <f t="shared" si="14"/>
        <v>402.92874687103995</v>
      </c>
      <c r="CY36" s="60">
        <f ca="1">AVERAGE(OFFSET($CX$3,0,0,'Données projet'!$E$13+1,1))-AVERAGE(OFFSET($H$3,0,0,'Données projet'!$E$13+1,1))</f>
        <v>411.64829629901465</v>
      </c>
      <c r="CZ36" s="60">
        <f t="shared" si="42"/>
        <v>258.66864562757917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100.39999999999999</v>
      </c>
      <c r="DP36" s="18">
        <f>DO36*VLOOKUP('Données projet'!$B$14,Paramètres!$A$1:$I$89,3,0)*VLOOKUP('Données projet'!$B$14,Paramètres!$A$1:$I$89,5,0)</f>
        <v>101.80559999999998</v>
      </c>
      <c r="DQ36" s="14">
        <f t="shared" si="43"/>
        <v>27.391707821525987</v>
      </c>
      <c r="DR36" s="22">
        <f t="shared" si="16"/>
        <v>225.01864445582441</v>
      </c>
      <c r="DS36" s="60">
        <f t="shared" si="17"/>
        <v>440.14419679099308</v>
      </c>
      <c r="DT36" s="60">
        <f ca="1">AVERAGE(OFFSET($DS$3,0,0,'Données projet'!$E$14+1,1))-AVERAGE(OFFSET($H$3,0,0,'Données projet'!$E$14+1,1))</f>
        <v>474.59791006623266</v>
      </c>
      <c r="DU36" s="60">
        <f t="shared" si="44"/>
        <v>295.01432800690293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13.6</v>
      </c>
      <c r="EJ36" s="13">
        <f>IF('Données projet'!$A$192&gt;35,EJ35+EI36-ER35,IF(A36&lt;'Données projet'!$A$192,$EG$205^A36,IF(A36='Données projet'!$A$192,'Données projet'!$B$192,EJ35+EI36-ER35)))</f>
        <v>193.8</v>
      </c>
      <c r="EK36" s="18">
        <f>EJ36*VLOOKUP('Données projet'!$B$15,Paramètres!$A$1:$I$89,3,0)*VLOOKUP('Données projet'!$B$15,Paramètres!$A$1:$I$89,5,0)</f>
        <v>169.30368000000004</v>
      </c>
      <c r="EL36" s="14">
        <f t="shared" si="45"/>
        <v>42.934033834973256</v>
      </c>
      <c r="EM36" s="22">
        <f t="shared" si="19"/>
        <v>369.64735159591186</v>
      </c>
      <c r="EN36" s="60">
        <f t="shared" si="20"/>
        <v>584.77290393108046</v>
      </c>
      <c r="EO36" s="60">
        <f ca="1">AVERAGE(OFFSET($EN$3,0,0,'Données projet'!$E$15+1,1))-AVERAGE(OFFSET($H$3,0,0,'Données projet'!$E$15+1,1))</f>
        <v>334.73467807584336</v>
      </c>
      <c r="EP36" s="60">
        <f t="shared" si="46"/>
        <v>463.8772059551726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7.9828099082863782</v>
      </c>
      <c r="EW36" s="23">
        <f>EXP(-LN(2)/25)*EW35+(1-EXP(-LN(2)/25))/(LN(2)/25)*Calculateur!ER36*Calculateur!ET36*VLOOKUP('Données projet'!$B$15,Paramètres!$A$1:$I$89,3,0)*0.475*44/12</f>
        <v>17.54125147661976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25.524061384906137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135.66666666666666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0">
        <f t="shared" si="0"/>
        <v>216.48228248908438</v>
      </c>
      <c r="S37" s="60">
        <f ca="1">AVERAGE(OFFSET($R$3,0,0,'Données projet'!$E$9+1,1))-AVERAGE(OFFSET($H$3,0,0,'Données projet'!$E$9+1,1))</f>
        <v>199.65420589615553</v>
      </c>
      <c r="T37" s="60">
        <f t="shared" si="34"/>
        <v>477.85821088970999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0">
        <f t="shared" si="5"/>
        <v>216.48228248908438</v>
      </c>
      <c r="AN37" s="60">
        <f ca="1">AVERAGE(OFFSET($AM$3,0,0,'Données projet'!$E$10+1,1))-AVERAGE(OFFSET($H$3,0,0,'Données projet'!$E$10+1,1))</f>
        <v>199.65420589615553</v>
      </c>
      <c r="AO37" s="60">
        <f t="shared" si="36"/>
        <v>477.85821088970999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17</v>
      </c>
      <c r="BD37" s="13">
        <f>IF('Données projet'!$A$88&gt;35,BD36+BC37-BL36,IF(A37&lt;'Données projet'!$A$88,$BA$205^A37,IF(A37='Données projet'!$A$88,'Données projet'!$B$88,BD36+BC37-BL36)))</f>
        <v>263</v>
      </c>
      <c r="BE37" s="14">
        <f>BD37*VLOOKUP('Données projet'!$B$11,Paramètres!$A$1:$I$89,3,0)*VLOOKUP('Données projet'!$B$11,Paramètres!$A$1:$I$89,5,0)</f>
        <v>123.08399999999999</v>
      </c>
      <c r="BF37" s="14">
        <f t="shared" si="37"/>
        <v>32.393225926509828</v>
      </c>
      <c r="BG37" s="22">
        <f t="shared" si="7"/>
        <v>270.78950182200458</v>
      </c>
      <c r="BH37" s="60">
        <f t="shared" si="8"/>
        <v>487.271784311087</v>
      </c>
      <c r="BI37" s="60">
        <f ca="1">AVERAGE(OFFSET($BH$3,0,0,'Données projet'!$E$11+1,1))-AVERAGE(OFFSET($H$3,0,0,'Données projet'!$E$11+1,1))</f>
        <v>374.62597460242665</v>
      </c>
      <c r="BJ37" s="60">
        <f t="shared" si="38"/>
        <v>277.50105097454616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7.8</v>
      </c>
      <c r="BY37" s="13">
        <f>IF('Données projet'!$A$114&gt;35,BY36+BX37-CG36,IF(A37&lt;'Données projet'!$A$114,$BV$205^A37,IF(A37='Données projet'!$A$114,'Données projet'!$B$114,BY36+BX37-CG36)))</f>
        <v>108.19999999999999</v>
      </c>
      <c r="BZ37" s="14">
        <f>BY37*VLOOKUP('Données projet'!$B$12,Paramètres!$A$1:$I$89,3,0)*VLOOKUP('Données projet'!$B$12,Paramètres!$A$1:$I$89,5,0)</f>
        <v>97.899359999999987</v>
      </c>
      <c r="CA37" s="14">
        <f t="shared" si="39"/>
        <v>26.460932364201845</v>
      </c>
      <c r="CB37" s="22">
        <f t="shared" si="10"/>
        <v>216.59417586765153</v>
      </c>
      <c r="CC37" s="60">
        <f t="shared" si="11"/>
        <v>433.07645835673395</v>
      </c>
      <c r="CD37" s="60">
        <f ca="1">AVERAGE(OFFSET($CC$3,0,0,'Données projet'!$E$12+1,1))-AVERAGE(OFFSET($H$3,0,0,'Données projet'!$E$12+1,1))</f>
        <v>434.56763649859136</v>
      </c>
      <c r="CE37" s="60">
        <f t="shared" si="40"/>
        <v>271.90302066766264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7.8</v>
      </c>
      <c r="CT37" s="13">
        <f>IF('Données projet'!$A$140&gt;35,CT36+CS37-DB36,IF(A37&lt;'Données projet'!$A$140,$CQ$205^A37,IF(A37='Données projet'!$A$140,'Données projet'!$B$140,CT36+CS37-DB36)))</f>
        <v>108.19999999999999</v>
      </c>
      <c r="CU37" s="18">
        <f>CT37*VLOOKUP('Données projet'!$B$13,Paramètres!$A$1:$I$89,3,0)*VLOOKUP('Données projet'!$B$13,Paramètres!$A$1:$I$89,5,0)</f>
        <v>91.147679999999994</v>
      </c>
      <c r="CV37" s="14">
        <f t="shared" si="41"/>
        <v>24.841813315846473</v>
      </c>
      <c r="CW37" s="22">
        <f t="shared" si="13"/>
        <v>202.01503419176592</v>
      </c>
      <c r="CX37" s="60">
        <f t="shared" si="14"/>
        <v>418.49731668084831</v>
      </c>
      <c r="CY37" s="60">
        <f ca="1">AVERAGE(OFFSET($CX$3,0,0,'Données projet'!$E$13+1,1))-AVERAGE(OFFSET($H$3,0,0,'Données projet'!$E$13+1,1))</f>
        <v>411.64829629901465</v>
      </c>
      <c r="CZ37" s="60">
        <f t="shared" si="42"/>
        <v>258.66864562757917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108.19999999999999</v>
      </c>
      <c r="DP37" s="18">
        <f>DO37*VLOOKUP('Données projet'!$B$14,Paramètres!$A$1:$I$89,3,0)*VLOOKUP('Données projet'!$B$14,Paramètres!$A$1:$I$89,5,0)</f>
        <v>109.7148</v>
      </c>
      <c r="DQ37" s="14">
        <f t="shared" si="43"/>
        <v>29.263779078727129</v>
      </c>
      <c r="DR37" s="22">
        <f t="shared" si="16"/>
        <v>242.05435856211645</v>
      </c>
      <c r="DS37" s="60">
        <f t="shared" si="17"/>
        <v>458.53664105119884</v>
      </c>
      <c r="DT37" s="60">
        <f ca="1">AVERAGE(OFFSET($DS$3,0,0,'Données projet'!$E$14+1,1))-AVERAGE(OFFSET($H$3,0,0,'Données projet'!$E$14+1,1))</f>
        <v>474.59791006623266</v>
      </c>
      <c r="DU37" s="60">
        <f t="shared" si="44"/>
        <v>295.01432800690293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13.6</v>
      </c>
      <c r="EJ37" s="13">
        <f>IF('Données projet'!$A$192&gt;35,EJ36+EI37-ER36,IF(A37&lt;'Données projet'!$A$192,$EG$205^A37,IF(A37='Données projet'!$A$192,'Données projet'!$B$192,EJ36+EI37-ER36)))</f>
        <v>207.4</v>
      </c>
      <c r="EK37" s="18">
        <f>EJ37*VLOOKUP('Données projet'!$B$15,Paramètres!$A$1:$I$89,3,0)*VLOOKUP('Données projet'!$B$15,Paramètres!$A$1:$I$89,5,0)</f>
        <v>181.18464000000003</v>
      </c>
      <c r="EL37" s="14">
        <f t="shared" si="45"/>
        <v>45.585646034700325</v>
      </c>
      <c r="EM37" s="22">
        <f t="shared" si="19"/>
        <v>394.95824817710309</v>
      </c>
      <c r="EN37" s="60">
        <f t="shared" si="20"/>
        <v>611.44053066618551</v>
      </c>
      <c r="EO37" s="60">
        <f ca="1">AVERAGE(OFFSET($EN$3,0,0,'Données projet'!$E$15+1,1))-AVERAGE(OFFSET($H$3,0,0,'Données projet'!$E$15+1,1))</f>
        <v>334.73467807584336</v>
      </c>
      <c r="EP37" s="60">
        <f t="shared" si="46"/>
        <v>463.8772059551726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7.8262718750181488</v>
      </c>
      <c r="EW37" s="23">
        <f>EXP(-LN(2)/25)*EW36+(1-EXP(-LN(2)/25))/(LN(2)/25)*Calculateur!ER37*Calculateur!ET37*VLOOKUP('Données projet'!$B$15,Paramètres!$A$1:$I$89,3,0)*0.475*44/12</f>
        <v>17.06158503253727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24.887856907555417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135.66666666666666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0">
        <f t="shared" si="0"/>
        <v>217.81547640802191</v>
      </c>
      <c r="S38" s="60">
        <f ca="1">AVERAGE(OFFSET($R$3,0,0,'Données projet'!$E$9+1,1))-AVERAGE(OFFSET($H$3,0,0,'Données projet'!$E$9+1,1))</f>
        <v>199.65420589615553</v>
      </c>
      <c r="T38" s="60">
        <f t="shared" si="34"/>
        <v>477.85821088970999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0">
        <f t="shared" si="5"/>
        <v>217.81547640802191</v>
      </c>
      <c r="AN38" s="60">
        <f ca="1">AVERAGE(OFFSET($AM$3,0,0,'Données projet'!$E$10+1,1))-AVERAGE(OFFSET($H$3,0,0,'Données projet'!$E$10+1,1))</f>
        <v>199.65420589615553</v>
      </c>
      <c r="AO38" s="60">
        <f t="shared" si="36"/>
        <v>477.85821088970999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280</v>
      </c>
      <c r="BB38" s="13">
        <f>VLOOKUP(A38,'Données projet'!$A$87:$I$107,9,0)</f>
        <v>17</v>
      </c>
      <c r="BC38" s="13">
        <f t="array" ref="BC38">INDEX(BB:BB,MIN(IF(ISNUMBER(BB38:BB234),ROW(BB38:BB234),"")))</f>
        <v>17</v>
      </c>
      <c r="BD38" s="13">
        <f>IF('Données projet'!$A$88&gt;35,BD37+BC38-BL37,IF(A38&lt;'Données projet'!$A$88,$BA$205^A38,IF(A38='Données projet'!$A$88,'Données projet'!$B$88,BD37+BC38-BL37)))</f>
        <v>280</v>
      </c>
      <c r="BE38" s="14">
        <f>BD38*VLOOKUP('Données projet'!$B$11,Paramètres!$A$1:$I$89,3,0)*VLOOKUP('Données projet'!$B$11,Paramètres!$A$1:$I$89,5,0)</f>
        <v>131.04</v>
      </c>
      <c r="BF38" s="14">
        <f t="shared" si="37"/>
        <v>34.236561238949918</v>
      </c>
      <c r="BG38" s="22">
        <f t="shared" si="7"/>
        <v>287.85667749117107</v>
      </c>
      <c r="BH38" s="60">
        <f t="shared" si="8"/>
        <v>505.67215389919102</v>
      </c>
      <c r="BI38" s="60">
        <f ca="1">AVERAGE(OFFSET($BH$3,0,0,'Données projet'!$E$11+1,1))-AVERAGE(OFFSET($H$3,0,0,'Données projet'!$E$11+1,1))</f>
        <v>374.62597460242665</v>
      </c>
      <c r="BJ38" s="60">
        <f t="shared" si="38"/>
        <v>277.50105097454616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7.8</v>
      </c>
      <c r="BX38" s="13">
        <f t="array" ref="BX38">INDEX(BW:BW,MIN(IF(ISNUMBER(BW38:BW234),ROW(BW38:BW234),"")))</f>
        <v>7.8</v>
      </c>
      <c r="BY38" s="13">
        <f>IF('Données projet'!$A$114&gt;35,BY37+BX38-CG37,IF(A38&lt;'Données projet'!$A$114,$BV$205^A38,IF(A38='Données projet'!$A$114,'Données projet'!$B$114,BY37+BX38-CG37)))</f>
        <v>115.99999999999999</v>
      </c>
      <c r="BZ38" s="14">
        <f>BY38*VLOOKUP('Données projet'!$B$12,Paramètres!$A$1:$I$89,3,0)*VLOOKUP('Données projet'!$B$12,Paramètres!$A$1:$I$89,5,0)</f>
        <v>104.95679999999999</v>
      </c>
      <c r="CA38" s="14">
        <f t="shared" si="39"/>
        <v>28.139541339232373</v>
      </c>
      <c r="CB38" s="22">
        <f t="shared" si="10"/>
        <v>231.8094611658297</v>
      </c>
      <c r="CC38" s="60">
        <f t="shared" si="11"/>
        <v>449.62493757384959</v>
      </c>
      <c r="CD38" s="60">
        <f ca="1">AVERAGE(OFFSET($CC$3,0,0,'Données projet'!$E$12+1,1))-AVERAGE(OFFSET($H$3,0,0,'Données projet'!$E$12+1,1))</f>
        <v>434.56763649859136</v>
      </c>
      <c r="CE38" s="60">
        <f t="shared" si="40"/>
        <v>271.90302066766264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7.8</v>
      </c>
      <c r="CS38" s="13">
        <f t="array" ref="CS38">INDEX(CR:CR,MIN(IF(ISNUMBER(CR38:CR234),ROW(CR38:CR234),"")))</f>
        <v>7.8</v>
      </c>
      <c r="CT38" s="13">
        <f>IF('Données projet'!$A$140&gt;35,CT37+CS38-DB37,IF(A38&lt;'Données projet'!$A$140,$CQ$205^A38,IF(A38='Données projet'!$A$140,'Données projet'!$B$140,CT37+CS38-DB37)))</f>
        <v>115.99999999999999</v>
      </c>
      <c r="CU38" s="18">
        <f>CT38*VLOOKUP('Données projet'!$B$13,Paramètres!$A$1:$I$89,3,0)*VLOOKUP('Données projet'!$B$13,Paramètres!$A$1:$I$89,5,0)</f>
        <v>97.718399999999988</v>
      </c>
      <c r="CV38" s="14">
        <f t="shared" si="41"/>
        <v>26.417709819192194</v>
      </c>
      <c r="CW38" s="22">
        <f t="shared" si="13"/>
        <v>216.20372460175972</v>
      </c>
      <c r="CX38" s="60">
        <f t="shared" si="14"/>
        <v>434.01920100977964</v>
      </c>
      <c r="CY38" s="60">
        <f ca="1">AVERAGE(OFFSET($CX$3,0,0,'Données projet'!$E$13+1,1))-AVERAGE(OFFSET($H$3,0,0,'Données projet'!$E$13+1,1))</f>
        <v>411.64829629901465</v>
      </c>
      <c r="CZ38" s="60">
        <f t="shared" si="42"/>
        <v>258.66864562757917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115.99999999999999</v>
      </c>
      <c r="DP38" s="18">
        <f>DO38*VLOOKUP('Données projet'!$B$14,Paramètres!$A$1:$I$89,3,0)*VLOOKUP('Données projet'!$B$14,Paramètres!$A$1:$I$89,5,0)</f>
        <v>117.624</v>
      </c>
      <c r="DQ38" s="14">
        <f t="shared" si="43"/>
        <v>31.120192961985413</v>
      </c>
      <c r="DR38" s="22">
        <f t="shared" si="16"/>
        <v>259.06280274212457</v>
      </c>
      <c r="DS38" s="60">
        <f t="shared" si="17"/>
        <v>476.87827915014452</v>
      </c>
      <c r="DT38" s="60">
        <f ca="1">AVERAGE(OFFSET($DS$3,0,0,'Données projet'!$E$14+1,1))-AVERAGE(OFFSET($H$3,0,0,'Données projet'!$E$14+1,1))</f>
        <v>474.59791006623266</v>
      </c>
      <c r="DU38" s="60">
        <f t="shared" si="44"/>
        <v>295.01432800690293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221</v>
      </c>
      <c r="EH38" s="13">
        <f>VLOOKUP(A38,'Données projet'!$A$191:$I$211,9,0)</f>
        <v>13.6</v>
      </c>
      <c r="EI38" s="13">
        <f t="array" ref="EI38">INDEX(EH:EH,MIN(IF(ISNUMBER(EH38:EH234),ROW(EH38:EH234),"")))</f>
        <v>13.6</v>
      </c>
      <c r="EJ38" s="13">
        <f>IF('Données projet'!$A$192&gt;35,EJ37+EI38-ER37,IF(A38&lt;'Données projet'!$A$192,$EG$205^A38,IF(A38='Données projet'!$A$192,'Données projet'!$B$192,EJ37+EI38-ER37)))</f>
        <v>221</v>
      </c>
      <c r="EK38" s="18">
        <f>EJ38*VLOOKUP('Données projet'!$B$15,Paramètres!$A$1:$I$89,3,0)*VLOOKUP('Données projet'!$B$15,Paramètres!$A$1:$I$89,5,0)</f>
        <v>193.06560000000002</v>
      </c>
      <c r="EL38" s="14">
        <f t="shared" si="45"/>
        <v>48.217080828790458</v>
      </c>
      <c r="EM38" s="22">
        <f t="shared" si="19"/>
        <v>420.23400244347675</v>
      </c>
      <c r="EN38" s="60">
        <f t="shared" si="20"/>
        <v>638.0494788514967</v>
      </c>
      <c r="EO38" s="60">
        <f ca="1">AVERAGE(OFFSET($EN$3,0,0,'Données projet'!$E$15+1,1))-AVERAGE(OFFSET($H$3,0,0,'Données projet'!$E$15+1,1))</f>
        <v>334.73467807584336</v>
      </c>
      <c r="EP38" s="60">
        <f t="shared" si="46"/>
        <v>463.8772059551726</v>
      </c>
      <c r="EQ38" s="16">
        <f>IF(ISNA(VLOOKUP(A38,'Données projet'!$A$191:$I$211,3,0)),0,VLOOKUP(A38,'Données projet'!$A$191:$I$211,3,0))</f>
        <v>5</v>
      </c>
      <c r="ER38" s="16">
        <f>IF(ISNA(VLOOKUP(A38,'Données projet'!$A$191:$I$211,4,0)),0,VLOOKUP(A38,'Données projet'!$A$191:$I$211,4,0))</f>
        <v>49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7.6728034571035373</v>
      </c>
      <c r="EW38" s="23">
        <f>EXP(-LN(2)/25)*EW37+(1-EXP(-LN(2)/25))/(LN(2)/25)*Calculateur!ER38*Calculateur!ET38*VLOOKUP('Données projet'!$B$15,Paramètres!$A$1:$I$89,3,0)*0.475*44/12</f>
        <v>16.595035092592777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24.267838549696314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135.66666666666666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0">
        <f t="shared" si="0"/>
        <v>219.12554239304094</v>
      </c>
      <c r="S39" s="60">
        <f ca="1">AVERAGE(OFFSET($R$3,0,0,'Données projet'!$E$9+1,1))-AVERAGE(OFFSET($H$3,0,0,'Données projet'!$E$9+1,1))</f>
        <v>199.65420589615553</v>
      </c>
      <c r="T39" s="60">
        <f t="shared" si="34"/>
        <v>477.85821088970999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0">
        <f t="shared" si="5"/>
        <v>219.12554239304094</v>
      </c>
      <c r="AN39" s="60">
        <f ca="1">AVERAGE(OFFSET($AM$3,0,0,'Données projet'!$E$10+1,1))-AVERAGE(OFFSET($H$3,0,0,'Données projet'!$E$10+1,1))</f>
        <v>199.65420589615553</v>
      </c>
      <c r="AO39" s="60">
        <f t="shared" si="36"/>
        <v>477.85821088970999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19.571428571428573</v>
      </c>
      <c r="BD39" s="13">
        <f>IF('Données projet'!$A$88&gt;35,BD38+BC39-BL38,IF(A39&lt;'Données projet'!$A$88,$BA$205^A39,IF(A39='Données projet'!$A$88,'Données projet'!$B$88,BD38+BC39-BL38)))</f>
        <v>299.57142857142856</v>
      </c>
      <c r="BE39" s="14">
        <f>BD39*VLOOKUP('Données projet'!$B$11,Paramètres!$A$1:$I$89,3,0)*VLOOKUP('Données projet'!$B$11,Paramètres!$A$1:$I$89,5,0)</f>
        <v>140.19942857142857</v>
      </c>
      <c r="BF39" s="14">
        <f t="shared" si="37"/>
        <v>36.342687994625102</v>
      </c>
      <c r="BG39" s="22">
        <f t="shared" si="7"/>
        <v>307.47751968587681</v>
      </c>
      <c r="BH39" s="60">
        <f t="shared" si="8"/>
        <v>526.60306207891574</v>
      </c>
      <c r="BI39" s="60">
        <f ca="1">AVERAGE(OFFSET($BH$3,0,0,'Données projet'!$E$11+1,1))-AVERAGE(OFFSET($H$3,0,0,'Données projet'!$E$11+1,1))</f>
        <v>374.62597460242665</v>
      </c>
      <c r="BJ39" s="60">
        <f t="shared" si="38"/>
        <v>277.50105097454616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103.39999999999999</v>
      </c>
      <c r="BZ39" s="14">
        <f>BY39*VLOOKUP('Données projet'!$B$12,Paramètres!$A$1:$I$89,3,0)*VLOOKUP('Données projet'!$B$12,Paramètres!$A$1:$I$89,5,0)</f>
        <v>93.556319999999999</v>
      </c>
      <c r="CA39" s="14">
        <f t="shared" si="39"/>
        <v>25.420979659258073</v>
      </c>
      <c r="CB39" s="22">
        <f t="shared" si="10"/>
        <v>207.21879690654114</v>
      </c>
      <c r="CC39" s="60">
        <f t="shared" si="11"/>
        <v>426.3443392995801</v>
      </c>
      <c r="CD39" s="60">
        <f ca="1">AVERAGE(OFFSET($CC$3,0,0,'Données projet'!$E$12+1,1))-AVERAGE(OFFSET($H$3,0,0,'Données projet'!$E$12+1,1))</f>
        <v>434.56763649859136</v>
      </c>
      <c r="CE39" s="60">
        <f t="shared" si="40"/>
        <v>271.90302066766264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103.39999999999999</v>
      </c>
      <c r="CU39" s="18">
        <f>CT39*VLOOKUP('Données projet'!$B$13,Paramètres!$A$1:$I$89,3,0)*VLOOKUP('Données projet'!$B$13,Paramètres!$A$1:$I$89,5,0)</f>
        <v>87.104160000000007</v>
      </c>
      <c r="CV39" s="14">
        <f t="shared" si="41"/>
        <v>23.865494318543401</v>
      </c>
      <c r="CW39" s="22">
        <f t="shared" si="13"/>
        <v>193.27214793812973</v>
      </c>
      <c r="CX39" s="60">
        <f t="shared" si="14"/>
        <v>412.39769033116869</v>
      </c>
      <c r="CY39" s="60">
        <f ca="1">AVERAGE(OFFSET($CX$3,0,0,'Données projet'!$E$13+1,1))-AVERAGE(OFFSET($H$3,0,0,'Données projet'!$E$13+1,1))</f>
        <v>411.64829629901465</v>
      </c>
      <c r="CZ39" s="60">
        <f t="shared" si="42"/>
        <v>258.66864562757917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103.39999999999999</v>
      </c>
      <c r="DP39" s="18">
        <f>DO39*VLOOKUP('Données projet'!$B$14,Paramètres!$A$1:$I$89,3,0)*VLOOKUP('Données projet'!$B$14,Paramètres!$A$1:$I$89,5,0)</f>
        <v>104.8476</v>
      </c>
      <c r="DQ39" s="14">
        <f t="shared" si="43"/>
        <v>28.113670466115643</v>
      </c>
      <c r="DR39" s="22">
        <f t="shared" si="16"/>
        <v>231.57421272848475</v>
      </c>
      <c r="DS39" s="60">
        <f t="shared" si="17"/>
        <v>450.69975512152371</v>
      </c>
      <c r="DT39" s="60">
        <f ca="1">AVERAGE(OFFSET($DS$3,0,0,'Données projet'!$E$14+1,1))-AVERAGE(OFFSET($H$3,0,0,'Données projet'!$E$14+1,1))</f>
        <v>474.59791006623266</v>
      </c>
      <c r="DU39" s="60">
        <f t="shared" si="44"/>
        <v>295.01432800690293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12.2</v>
      </c>
      <c r="EJ39" s="13">
        <f>IF('Données projet'!$A$192&gt;35,EJ38+EI39-ER38,IF(A39&lt;'Données projet'!$A$192,$EG$205^A39,IF(A39='Données projet'!$A$192,'Données projet'!$B$192,EJ38+EI39-ER38)))</f>
        <v>184.2</v>
      </c>
      <c r="EK39" s="18">
        <f>EJ39*VLOOKUP('Données projet'!$B$15,Paramètres!$A$1:$I$89,3,0)*VLOOKUP('Données projet'!$B$15,Paramètres!$A$1:$I$89,5,0)</f>
        <v>160.91712000000001</v>
      </c>
      <c r="EL39" s="14">
        <f t="shared" si="45"/>
        <v>41.049305520788089</v>
      </c>
      <c r="EM39" s="22">
        <f t="shared" si="19"/>
        <v>351.75819111537254</v>
      </c>
      <c r="EN39" s="60">
        <f t="shared" si="20"/>
        <v>570.88373350841152</v>
      </c>
      <c r="EO39" s="60">
        <f ca="1">AVERAGE(OFFSET($EN$3,0,0,'Données projet'!$E$15+1,1))-AVERAGE(OFFSET($H$3,0,0,'Données projet'!$E$15+1,1))</f>
        <v>334.73467807584336</v>
      </c>
      <c r="EP39" s="60">
        <f t="shared" si="46"/>
        <v>463.8772059551726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7.522344461257739</v>
      </c>
      <c r="EW39" s="23">
        <f>EXP(-LN(2)/25)*EW38+(1-EXP(-LN(2)/25))/(LN(2)/25)*Calculateur!ER39*Calculateur!ET39*VLOOKUP('Données projet'!$B$15,Paramètres!$A$1:$I$89,3,0)*0.475*44/12</f>
        <v>16.141242985290862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23.6635874465486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135.66666666666666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0">
        <f t="shared" si="0"/>
        <v>220.41288166208875</v>
      </c>
      <c r="S40" s="60">
        <f ca="1">AVERAGE(OFFSET($R$3,0,0,'Données projet'!$E$9+1,1))-AVERAGE(OFFSET($H$3,0,0,'Données projet'!$E$9+1,1))</f>
        <v>199.65420589615553</v>
      </c>
      <c r="T40" s="60">
        <f t="shared" si="34"/>
        <v>477.85821088970999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0">
        <f t="shared" si="5"/>
        <v>220.41288166208875</v>
      </c>
      <c r="AN40" s="60">
        <f ca="1">AVERAGE(OFFSET($AM$3,0,0,'Données projet'!$E$10+1,1))-AVERAGE(OFFSET($H$3,0,0,'Données projet'!$E$10+1,1))</f>
        <v>199.65420589615553</v>
      </c>
      <c r="AO40" s="60">
        <f t="shared" si="36"/>
        <v>477.85821088970999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19.571428571428573</v>
      </c>
      <c r="BD40" s="13">
        <f>IF('Données projet'!$A$88&gt;35,BD39+BC40-BL39,IF(A40&lt;'Données projet'!$A$88,$BA$205^A40,IF(A40='Données projet'!$A$88,'Données projet'!$B$88,BD39+BC40-BL39)))</f>
        <v>319.14285714285711</v>
      </c>
      <c r="BE40" s="14">
        <f>BD40*VLOOKUP('Données projet'!$B$11,Paramètres!$A$1:$I$89,3,0)*VLOOKUP('Données projet'!$B$11,Paramètres!$A$1:$I$89,5,0)</f>
        <v>149.35885714285715</v>
      </c>
      <c r="BF40" s="14">
        <f t="shared" si="37"/>
        <v>38.432847302798578</v>
      </c>
      <c r="BG40" s="22">
        <f t="shared" si="7"/>
        <v>327.07055190951706</v>
      </c>
      <c r="BH40" s="60">
        <f t="shared" si="8"/>
        <v>547.48343357160388</v>
      </c>
      <c r="BI40" s="60">
        <f ca="1">AVERAGE(OFFSET($BH$3,0,0,'Données projet'!$E$11+1,1))-AVERAGE(OFFSET($H$3,0,0,'Données projet'!$E$11+1,1))</f>
        <v>374.62597460242665</v>
      </c>
      <c r="BJ40" s="60">
        <f t="shared" si="38"/>
        <v>277.50105097454616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</v>
      </c>
      <c r="BZ40" s="14">
        <f>BY40*VLOOKUP('Données projet'!$B$12,Paramètres!$A$1:$I$89,3,0)*VLOOKUP('Données projet'!$B$12,Paramètres!$A$1:$I$89,5,0)</f>
        <v>101.15664</v>
      </c>
      <c r="CA40" s="14">
        <f t="shared" si="39"/>
        <v>27.237366379381644</v>
      </c>
      <c r="CB40" s="22">
        <f t="shared" si="10"/>
        <v>223.61956111075634</v>
      </c>
      <c r="CC40" s="60">
        <f t="shared" si="11"/>
        <v>444.03244277284307</v>
      </c>
      <c r="CD40" s="60">
        <f ca="1">AVERAGE(OFFSET($CC$3,0,0,'Données projet'!$E$12+1,1))-AVERAGE(OFFSET($H$3,0,0,'Données projet'!$E$12+1,1))</f>
        <v>434.56763649859136</v>
      </c>
      <c r="CE40" s="60">
        <f t="shared" si="40"/>
        <v>271.90302066766264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</v>
      </c>
      <c r="CU40" s="18">
        <f>CT40*VLOOKUP('Données projet'!$B$13,Paramètres!$A$1:$I$89,3,0)*VLOOKUP('Données projet'!$B$13,Paramètres!$A$1:$I$89,5,0)</f>
        <v>94.180320000000009</v>
      </c>
      <c r="CV40" s="14">
        <f t="shared" si="41"/>
        <v>25.570738079029208</v>
      </c>
      <c r="CW40" s="22">
        <f t="shared" si="13"/>
        <v>208.5664261543092</v>
      </c>
      <c r="CX40" s="60">
        <f t="shared" si="14"/>
        <v>428.97930781639593</v>
      </c>
      <c r="CY40" s="60">
        <f ca="1">AVERAGE(OFFSET($CX$3,0,0,'Données projet'!$E$13+1,1))-AVERAGE(OFFSET($H$3,0,0,'Données projet'!$E$13+1,1))</f>
        <v>411.64829629901465</v>
      </c>
      <c r="CZ40" s="60">
        <f t="shared" si="42"/>
        <v>258.66864562757917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</v>
      </c>
      <c r="DP40" s="18">
        <f>DO40*VLOOKUP('Données projet'!$B$14,Paramètres!$A$1:$I$89,3,0)*VLOOKUP('Données projet'!$B$14,Paramètres!$A$1:$I$89,5,0)</f>
        <v>113.3652</v>
      </c>
      <c r="DQ40" s="14">
        <f t="shared" si="43"/>
        <v>30.122456058687586</v>
      </c>
      <c r="DR40" s="22">
        <f t="shared" si="16"/>
        <v>249.90766763554748</v>
      </c>
      <c r="DS40" s="60">
        <f t="shared" si="17"/>
        <v>470.32054929763422</v>
      </c>
      <c r="DT40" s="60">
        <f ca="1">AVERAGE(OFFSET($DS$3,0,0,'Données projet'!$E$14+1,1))-AVERAGE(OFFSET($H$3,0,0,'Données projet'!$E$14+1,1))</f>
        <v>474.59791006623266</v>
      </c>
      <c r="DU40" s="60">
        <f t="shared" si="44"/>
        <v>295.01432800690293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12.2</v>
      </c>
      <c r="EJ40" s="13">
        <f>IF('Données projet'!$A$192&gt;35,EJ39+EI40-ER39,IF(A40&lt;'Données projet'!$A$192,$EG$205^A40,IF(A40='Données projet'!$A$192,'Données projet'!$B$192,EJ39+EI40-ER39)))</f>
        <v>196.39999999999998</v>
      </c>
      <c r="EK40" s="18">
        <f>EJ40*VLOOKUP('Données projet'!$B$15,Paramètres!$A$1:$I$89,3,0)*VLOOKUP('Données projet'!$B$15,Paramètres!$A$1:$I$89,5,0)</f>
        <v>171.57504</v>
      </c>
      <c r="EL40" s="14">
        <f t="shared" si="45"/>
        <v>43.44259058996105</v>
      </c>
      <c r="EM40" s="22">
        <f t="shared" si="19"/>
        <v>374.48903994418214</v>
      </c>
      <c r="EN40" s="60">
        <f t="shared" si="20"/>
        <v>594.90192160626884</v>
      </c>
      <c r="EO40" s="60">
        <f ca="1">AVERAGE(OFFSET($EN$3,0,0,'Données projet'!$E$15+1,1))-AVERAGE(OFFSET($H$3,0,0,'Données projet'!$E$15+1,1))</f>
        <v>334.73467807584336</v>
      </c>
      <c r="EP40" s="60">
        <f t="shared" si="46"/>
        <v>463.8772059551726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7.374835874549551</v>
      </c>
      <c r="EW40" s="23">
        <f>EXP(-LN(2)/25)*EW39+(1-EXP(-LN(2)/25))/(LN(2)/25)*Calculateur!ER40*Calculateur!ET40*VLOOKUP('Données projet'!$B$15,Paramètres!$A$1:$I$89,3,0)*0.475*44/12</f>
        <v>15.699859847027007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23.074695721576557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135.66666666666666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0">
        <f t="shared" si="0"/>
        <v>221.67788847287792</v>
      </c>
      <c r="S41" s="60">
        <f ca="1">AVERAGE(OFFSET($R$3,0,0,'Données projet'!$E$9+1,1))-AVERAGE(OFFSET($H$3,0,0,'Données projet'!$E$9+1,1))</f>
        <v>199.65420589615553</v>
      </c>
      <c r="T41" s="60">
        <f t="shared" si="34"/>
        <v>477.85821088970999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0">
        <f t="shared" si="5"/>
        <v>221.67788847287792</v>
      </c>
      <c r="AN41" s="60">
        <f ca="1">AVERAGE(OFFSET($AM$3,0,0,'Données projet'!$E$10+1,1))-AVERAGE(OFFSET($H$3,0,0,'Données projet'!$E$10+1,1))</f>
        <v>199.65420589615553</v>
      </c>
      <c r="AO41" s="60">
        <f t="shared" si="36"/>
        <v>477.85821088970999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19.571428571428573</v>
      </c>
      <c r="BD41" s="13">
        <f>IF('Données projet'!$A$88&gt;35,BD40+BC41-BL40,IF(A41&lt;'Données projet'!$A$88,$BA$205^A41,IF(A41='Données projet'!$A$88,'Données projet'!$B$88,BD40+BC41-BL40)))</f>
        <v>338.71428571428567</v>
      </c>
      <c r="BE41" s="14">
        <f>BD41*VLOOKUP('Données projet'!$B$11,Paramètres!$A$1:$I$89,3,0)*VLOOKUP('Données projet'!$B$11,Paramètres!$A$1:$I$89,5,0)</f>
        <v>158.5182857142857</v>
      </c>
      <c r="BF41" s="14">
        <f t="shared" si="37"/>
        <v>40.508129862224799</v>
      </c>
      <c r="BG41" s="22">
        <f t="shared" si="7"/>
        <v>346.63767379575575</v>
      </c>
      <c r="BH41" s="60">
        <f t="shared" si="8"/>
        <v>568.31556226863165</v>
      </c>
      <c r="BI41" s="60">
        <f ca="1">AVERAGE(OFFSET($BH$3,0,0,'Données projet'!$E$11+1,1))-AVERAGE(OFFSET($H$3,0,0,'Données projet'!$E$11+1,1))</f>
        <v>374.62597460242665</v>
      </c>
      <c r="BJ41" s="60">
        <f t="shared" si="38"/>
        <v>277.50105097454616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</v>
      </c>
      <c r="BZ41" s="14">
        <f>BY41*VLOOKUP('Données projet'!$B$12,Paramètres!$A$1:$I$89,3,0)*VLOOKUP('Données projet'!$B$12,Paramètres!$A$1:$I$89,5,0)</f>
        <v>108.75695999999999</v>
      </c>
      <c r="CA41" s="14">
        <f t="shared" si="39"/>
        <v>29.037921223305585</v>
      </c>
      <c r="CB41" s="22">
        <f t="shared" si="10"/>
        <v>239.99275146392384</v>
      </c>
      <c r="CC41" s="60">
        <f t="shared" si="11"/>
        <v>461.67063993679977</v>
      </c>
      <c r="CD41" s="60">
        <f ca="1">AVERAGE(OFFSET($CC$3,0,0,'Données projet'!$E$12+1,1))-AVERAGE(OFFSET($H$3,0,0,'Données projet'!$E$12+1,1))</f>
        <v>434.56763649859136</v>
      </c>
      <c r="CE41" s="60">
        <f t="shared" si="40"/>
        <v>271.90302066766264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</v>
      </c>
      <c r="CU41" s="18">
        <f>CT41*VLOOKUP('Données projet'!$B$13,Paramètres!$A$1:$I$89,3,0)*VLOOKUP('Données projet'!$B$13,Paramètres!$A$1:$I$89,5,0)</f>
        <v>101.25648000000001</v>
      </c>
      <c r="CV41" s="14">
        <f t="shared" si="41"/>
        <v>27.261118700621143</v>
      </c>
      <c r="CW41" s="22">
        <f t="shared" si="13"/>
        <v>223.83481773691517</v>
      </c>
      <c r="CX41" s="60">
        <f t="shared" si="14"/>
        <v>445.51270620979108</v>
      </c>
      <c r="CY41" s="60">
        <f ca="1">AVERAGE(OFFSET($CX$3,0,0,'Données projet'!$E$13+1,1))-AVERAGE(OFFSET($H$3,0,0,'Données projet'!$E$13+1,1))</f>
        <v>411.64829629901465</v>
      </c>
      <c r="CZ41" s="60">
        <f t="shared" si="42"/>
        <v>258.66864562757917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</v>
      </c>
      <c r="DP41" s="18">
        <f>DO41*VLOOKUP('Données projet'!$B$14,Paramètres!$A$1:$I$89,3,0)*VLOOKUP('Données projet'!$B$14,Paramètres!$A$1:$I$89,5,0)</f>
        <v>121.88280000000002</v>
      </c>
      <c r="DQ41" s="14">
        <f t="shared" si="43"/>
        <v>32.113732800054677</v>
      </c>
      <c r="DR41" s="22">
        <f t="shared" si="16"/>
        <v>268.21062796009522</v>
      </c>
      <c r="DS41" s="60">
        <f t="shared" si="17"/>
        <v>489.88851643297119</v>
      </c>
      <c r="DT41" s="60">
        <f ca="1">AVERAGE(OFFSET($DS$3,0,0,'Données projet'!$E$14+1,1))-AVERAGE(OFFSET($H$3,0,0,'Données projet'!$E$14+1,1))</f>
        <v>474.59791006623266</v>
      </c>
      <c r="DU41" s="60">
        <f t="shared" si="44"/>
        <v>295.01432800690293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12.2</v>
      </c>
      <c r="EJ41" s="13">
        <f>IF('Données projet'!$A$192&gt;35,EJ40+EI41-ER40,IF(A41&lt;'Données projet'!$A$192,$EG$205^A41,IF(A41='Données projet'!$A$192,'Données projet'!$B$192,EJ40+EI41-ER40)))</f>
        <v>208.59999999999997</v>
      </c>
      <c r="EK41" s="18">
        <f>EJ41*VLOOKUP('Données projet'!$B$15,Paramètres!$A$1:$I$89,3,0)*VLOOKUP('Données projet'!$B$15,Paramètres!$A$1:$I$89,5,0)</f>
        <v>182.23295999999999</v>
      </c>
      <c r="EL41" s="14">
        <f t="shared" si="45"/>
        <v>45.818621592366291</v>
      </c>
      <c r="EM41" s="22">
        <f t="shared" si="19"/>
        <v>397.18983794003793</v>
      </c>
      <c r="EN41" s="60">
        <f t="shared" si="20"/>
        <v>618.86772641291384</v>
      </c>
      <c r="EO41" s="60">
        <f ca="1">AVERAGE(OFFSET($EN$3,0,0,'Données projet'!$E$15+1,1))-AVERAGE(OFFSET($H$3,0,0,'Données projet'!$E$15+1,1))</f>
        <v>334.73467807584336</v>
      </c>
      <c r="EP41" s="60">
        <f t="shared" si="46"/>
        <v>463.8772059551726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7.2302198412553569</v>
      </c>
      <c r="EW41" s="23">
        <f>EXP(-LN(2)/25)*EW40+(1-EXP(-LN(2)/25))/(LN(2)/25)*Calculateur!ER41*Calculateur!ET41*VLOOKUP('Données projet'!$B$15,Paramètres!$A$1:$I$89,3,0)*0.475*44/12</f>
        <v>15.270546353890307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22.500766195145665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135.66666666666666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0">
        <f t="shared" si="0"/>
        <v>222.92095024363149</v>
      </c>
      <c r="S42" s="60">
        <f ca="1">AVERAGE(OFFSET($R$3,0,0,'Données projet'!$E$9+1,1))-AVERAGE(OFFSET($H$3,0,0,'Données projet'!$E$9+1,1))</f>
        <v>199.65420589615553</v>
      </c>
      <c r="T42" s="60">
        <f t="shared" si="34"/>
        <v>477.85821088970999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0">
        <f t="shared" si="5"/>
        <v>222.92095024363149</v>
      </c>
      <c r="AN42" s="60">
        <f ca="1">AVERAGE(OFFSET($AM$3,0,0,'Données projet'!$E$10+1,1))-AVERAGE(OFFSET($H$3,0,0,'Données projet'!$E$10+1,1))</f>
        <v>199.65420589615553</v>
      </c>
      <c r="AO42" s="60">
        <f t="shared" si="36"/>
        <v>477.85821088970999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19.571428571428573</v>
      </c>
      <c r="BD42" s="13">
        <f>IF('Données projet'!$A$88&gt;35,BD41+BC42-BL41,IF(A42&lt;'Données projet'!$A$88,$BA$205^A42,IF(A42='Données projet'!$A$88,'Données projet'!$B$88,BD41+BC42-BL41)))</f>
        <v>358.28571428571422</v>
      </c>
      <c r="BE42" s="14">
        <f>BD42*VLOOKUP('Données projet'!$B$11,Paramètres!$A$1:$I$89,3,0)*VLOOKUP('Données projet'!$B$11,Paramètres!$A$1:$I$89,5,0)</f>
        <v>167.67771428571425</v>
      </c>
      <c r="BF42" s="14">
        <f t="shared" si="37"/>
        <v>42.569493207492975</v>
      </c>
      <c r="BG42" s="22">
        <f t="shared" si="7"/>
        <v>366.18055305066923</v>
      </c>
      <c r="BH42" s="60">
        <f t="shared" si="8"/>
        <v>589.10150329429871</v>
      </c>
      <c r="BI42" s="60">
        <f ca="1">AVERAGE(OFFSET($BH$3,0,0,'Données projet'!$E$11+1,1))-AVERAGE(OFFSET($H$3,0,0,'Données projet'!$E$11+1,1))</f>
        <v>374.62597460242665</v>
      </c>
      <c r="BJ42" s="60">
        <f t="shared" si="38"/>
        <v>277.50105097454616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</v>
      </c>
      <c r="BZ42" s="14">
        <f>BY42*VLOOKUP('Données projet'!$B$12,Paramètres!$A$1:$I$89,3,0)*VLOOKUP('Données projet'!$B$12,Paramètres!$A$1:$I$89,5,0)</f>
        <v>116.35727999999999</v>
      </c>
      <c r="CA42" s="14">
        <f t="shared" si="39"/>
        <v>30.823876427820704</v>
      </c>
      <c r="CB42" s="22">
        <f t="shared" si="10"/>
        <v>256.34051411178768</v>
      </c>
      <c r="CC42" s="60">
        <f t="shared" si="11"/>
        <v>479.26146435541716</v>
      </c>
      <c r="CD42" s="60">
        <f ca="1">AVERAGE(OFFSET($CC$3,0,0,'Données projet'!$E$12+1,1))-AVERAGE(OFFSET($H$3,0,0,'Données projet'!$E$12+1,1))</f>
        <v>434.56763649859136</v>
      </c>
      <c r="CE42" s="60">
        <f t="shared" si="40"/>
        <v>271.90302066766264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</v>
      </c>
      <c r="CU42" s="18">
        <f>CT42*VLOOKUP('Données projet'!$B$13,Paramètres!$A$1:$I$89,3,0)*VLOOKUP('Données projet'!$B$13,Paramètres!$A$1:$I$89,5,0)</f>
        <v>108.33264000000001</v>
      </c>
      <c r="CV42" s="14">
        <f t="shared" si="41"/>
        <v>28.937793020723717</v>
      </c>
      <c r="CW42" s="22">
        <f t="shared" si="13"/>
        <v>239.07933751109377</v>
      </c>
      <c r="CX42" s="60">
        <f t="shared" si="14"/>
        <v>462.00028775472327</v>
      </c>
      <c r="CY42" s="60">
        <f ca="1">AVERAGE(OFFSET($CX$3,0,0,'Données projet'!$E$13+1,1))-AVERAGE(OFFSET($H$3,0,0,'Données projet'!$E$13+1,1))</f>
        <v>411.64829629901465</v>
      </c>
      <c r="CZ42" s="60">
        <f t="shared" si="42"/>
        <v>258.66864562757917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</v>
      </c>
      <c r="DP42" s="18">
        <f>DO42*VLOOKUP('Données projet'!$B$14,Paramètres!$A$1:$I$89,3,0)*VLOOKUP('Données projet'!$B$14,Paramètres!$A$1:$I$89,5,0)</f>
        <v>130.40040000000002</v>
      </c>
      <c r="DQ42" s="14">
        <f t="shared" si="43"/>
        <v>34.088863450406919</v>
      </c>
      <c r="DR42" s="22">
        <f t="shared" si="16"/>
        <v>286.48546717612544</v>
      </c>
      <c r="DS42" s="60">
        <f t="shared" si="17"/>
        <v>509.40641741975492</v>
      </c>
      <c r="DT42" s="60">
        <f ca="1">AVERAGE(OFFSET($DS$3,0,0,'Données projet'!$E$14+1,1))-AVERAGE(OFFSET($H$3,0,0,'Données projet'!$E$14+1,1))</f>
        <v>474.59791006623266</v>
      </c>
      <c r="DU42" s="60">
        <f t="shared" si="44"/>
        <v>295.01432800690293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12.2</v>
      </c>
      <c r="EJ42" s="13">
        <f>IF('Données projet'!$A$192&gt;35,EJ41+EI42-ER41,IF(A42&lt;'Données projet'!$A$192,$EG$205^A42,IF(A42='Données projet'!$A$192,'Données projet'!$B$192,EJ41+EI42-ER41)))</f>
        <v>220.79999999999995</v>
      </c>
      <c r="EK42" s="18">
        <f>EJ42*VLOOKUP('Données projet'!$B$15,Paramètres!$A$1:$I$89,3,0)*VLOOKUP('Données projet'!$B$15,Paramètres!$A$1:$I$89,5,0)</f>
        <v>192.89087999999998</v>
      </c>
      <c r="EL42" s="14">
        <f t="shared" si="45"/>
        <v>48.178522586846704</v>
      </c>
      <c r="EM42" s="22">
        <f t="shared" si="19"/>
        <v>419.86254283875792</v>
      </c>
      <c r="EN42" s="60">
        <f t="shared" si="20"/>
        <v>642.78349308238739</v>
      </c>
      <c r="EO42" s="60">
        <f ca="1">AVERAGE(OFFSET($EN$3,0,0,'Données projet'!$E$15+1,1))-AVERAGE(OFFSET($H$3,0,0,'Données projet'!$E$15+1,1))</f>
        <v>334.73467807584336</v>
      </c>
      <c r="EP42" s="60">
        <f t="shared" si="46"/>
        <v>463.8772059551726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7.0884396401669916</v>
      </c>
      <c r="EW42" s="23">
        <f>EXP(-LN(2)/25)*EW41+(1-EXP(-LN(2)/25))/(LN(2)/25)*Calculateur!ER42*Calculateur!ET42*VLOOKUP('Données projet'!$B$15,Paramètres!$A$1:$I$89,3,0)*0.475*44/12</f>
        <v>14.852972460800045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21.941412100967035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135.66666666666666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0">
        <f t="shared" si="0"/>
        <v>224.1424476717323</v>
      </c>
      <c r="S43" s="60">
        <f ca="1">AVERAGE(OFFSET($R$3,0,0,'Données projet'!$E$9+1,1))-AVERAGE(OFFSET($H$3,0,0,'Données projet'!$E$9+1,1))</f>
        <v>199.65420589615553</v>
      </c>
      <c r="T43" s="60">
        <f t="shared" si="34"/>
        <v>477.85821088970999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0">
        <f t="shared" si="5"/>
        <v>224.1424476717323</v>
      </c>
      <c r="AN43" s="60">
        <f ca="1">AVERAGE(OFFSET($AM$3,0,0,'Données projet'!$E$10+1,1))-AVERAGE(OFFSET($H$3,0,0,'Données projet'!$E$10+1,1))</f>
        <v>199.65420589615553</v>
      </c>
      <c r="AO43" s="60">
        <f t="shared" si="36"/>
        <v>477.85821088970999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19.571428571428573</v>
      </c>
      <c r="BD43" s="13">
        <f>IF('Données projet'!$A$88&gt;35,BD42+BC43-BL42,IF(A43&lt;'Données projet'!$A$88,$BA$205^A43,IF(A43='Données projet'!$A$88,'Données projet'!$B$88,BD42+BC43-BL42)))</f>
        <v>377.85714285714278</v>
      </c>
      <c r="BE43" s="14">
        <f>BD43*VLOOKUP('Données projet'!$B$11,Paramètres!$A$1:$I$89,3,0)*VLOOKUP('Données projet'!$B$11,Paramètres!$A$1:$I$89,5,0)</f>
        <v>176.83714285714279</v>
      </c>
      <c r="BF43" s="14">
        <f t="shared" si="37"/>
        <v>44.617784353930041</v>
      </c>
      <c r="BG43" s="22">
        <f t="shared" si="7"/>
        <v>385.70066489261848</v>
      </c>
      <c r="BH43" s="60">
        <f t="shared" si="8"/>
        <v>609.84311256434876</v>
      </c>
      <c r="BI43" s="60">
        <f ca="1">AVERAGE(OFFSET($BH$3,0,0,'Données projet'!$E$11+1,1))-AVERAGE(OFFSET($H$3,0,0,'Données projet'!$E$11+1,1))</f>
        <v>374.62597460242665</v>
      </c>
      <c r="BJ43" s="60">
        <f t="shared" si="38"/>
        <v>277.50105097454616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</v>
      </c>
      <c r="BZ43" s="14">
        <f>BY43*VLOOKUP('Données projet'!$B$12,Paramètres!$A$1:$I$89,3,0)*VLOOKUP('Données projet'!$B$12,Paramètres!$A$1:$I$89,5,0)</f>
        <v>123.9576</v>
      </c>
      <c r="CA43" s="14">
        <f t="shared" si="39"/>
        <v>32.59629414926458</v>
      </c>
      <c r="CB43" s="22">
        <f t="shared" si="10"/>
        <v>272.6646989766358</v>
      </c>
      <c r="CC43" s="60">
        <f t="shared" si="11"/>
        <v>496.80714664836614</v>
      </c>
      <c r="CD43" s="60">
        <f ca="1">AVERAGE(OFFSET($CC$3,0,0,'Données projet'!$E$12+1,1))-AVERAGE(OFFSET($H$3,0,0,'Données projet'!$E$12+1,1))</f>
        <v>434.56763649859136</v>
      </c>
      <c r="CE43" s="60">
        <f t="shared" si="40"/>
        <v>271.90302066766264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</v>
      </c>
      <c r="CU43" s="18">
        <f>CT43*VLOOKUP('Données projet'!$B$13,Paramètres!$A$1:$I$89,3,0)*VLOOKUP('Données projet'!$B$13,Paramètres!$A$1:$I$89,5,0)</f>
        <v>115.40880000000001</v>
      </c>
      <c r="CV43" s="14">
        <f t="shared" si="41"/>
        <v>30.60175820334798</v>
      </c>
      <c r="CW43" s="22">
        <f t="shared" si="13"/>
        <v>254.30172220416441</v>
      </c>
      <c r="CX43" s="60">
        <f t="shared" si="14"/>
        <v>478.44416987589472</v>
      </c>
      <c r="CY43" s="60">
        <f ca="1">AVERAGE(OFFSET($CX$3,0,0,'Données projet'!$E$13+1,1))-AVERAGE(OFFSET($H$3,0,0,'Données projet'!$E$13+1,1))</f>
        <v>411.64829629901465</v>
      </c>
      <c r="CZ43" s="60">
        <f t="shared" si="42"/>
        <v>258.66864562757917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138.91800000000001</v>
      </c>
      <c r="DQ43" s="14">
        <f t="shared" si="43"/>
        <v>36.049022673886341</v>
      </c>
      <c r="DR43" s="22">
        <f t="shared" si="16"/>
        <v>304.73423115701871</v>
      </c>
      <c r="DS43" s="60">
        <f t="shared" si="17"/>
        <v>528.87667882874905</v>
      </c>
      <c r="DT43" s="60">
        <f ca="1">AVERAGE(OFFSET($DS$3,0,0,'Données projet'!$E$14+1,1))-AVERAGE(OFFSET($H$3,0,0,'Données projet'!$E$14+1,1))</f>
        <v>474.59791006623266</v>
      </c>
      <c r="DU43" s="60">
        <f t="shared" si="44"/>
        <v>295.01432800690293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233</v>
      </c>
      <c r="EH43" s="13">
        <f>VLOOKUP(A43,'Données projet'!$A$191:$I$211,9,0)</f>
        <v>12.2</v>
      </c>
      <c r="EI43" s="13">
        <f t="array" ref="EI43">INDEX(EH:EH,MIN(IF(ISNUMBER(EH43:EH239),ROW(EH43:EH239),"")))</f>
        <v>12.2</v>
      </c>
      <c r="EJ43" s="13">
        <f>IF('Données projet'!$A$192&gt;35,EJ42+EI43-ER42,IF(A43&lt;'Données projet'!$A$192,$EG$205^A43,IF(A43='Données projet'!$A$192,'Données projet'!$B$192,EJ42+EI43-ER42)))</f>
        <v>232.99999999999994</v>
      </c>
      <c r="EK43" s="18">
        <f>EJ43*VLOOKUP('Données projet'!$B$15,Paramètres!$A$1:$I$89,3,0)*VLOOKUP('Données projet'!$B$15,Paramètres!$A$1:$I$89,5,0)</f>
        <v>203.5488</v>
      </c>
      <c r="EL43" s="14">
        <f t="shared" si="45"/>
        <v>50.523286400023487</v>
      </c>
      <c r="EM43" s="22">
        <f t="shared" si="19"/>
        <v>442.50888381337427</v>
      </c>
      <c r="EN43" s="60">
        <f t="shared" si="20"/>
        <v>666.65133148510461</v>
      </c>
      <c r="EO43" s="60">
        <f ca="1">AVERAGE(OFFSET($EN$3,0,0,'Données projet'!$E$15+1,1))-AVERAGE(OFFSET($H$3,0,0,'Données projet'!$E$15+1,1))</f>
        <v>334.73467807584336</v>
      </c>
      <c r="EP43" s="60">
        <f t="shared" si="46"/>
        <v>463.8772059551726</v>
      </c>
      <c r="EQ43" s="16">
        <f>IF(ISNA(VLOOKUP(A43,'Données projet'!$A$191:$I$211,3,0)),0,VLOOKUP(A43,'Données projet'!$A$191:$I$211,3,0))</f>
        <v>6</v>
      </c>
      <c r="ER43" s="16">
        <f>IF(ISNA(VLOOKUP(A43,'Données projet'!$A$191:$I$211,4,0)),0,VLOOKUP(A43,'Données projet'!$A$191:$I$211,4,0))</f>
        <v>45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6.9494396623445853</v>
      </c>
      <c r="EW43" s="23">
        <f>EXP(-LN(2)/25)*EW42+(1-EXP(-LN(2)/25))/(LN(2)/25)*Calculateur!ER43*Calculateur!ET43*VLOOKUP('Données projet'!$B$15,Paramètres!$A$1:$I$89,3,0)*0.475*44/12</f>
        <v>14.446817147775592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21.396256810120178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135.66666666666666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0">
        <f t="shared" si="0"/>
        <v>225.34275485031463</v>
      </c>
      <c r="S44" s="60">
        <f ca="1">AVERAGE(OFFSET($R$3,0,0,'Données projet'!$E$9+1,1))-AVERAGE(OFFSET($H$3,0,0,'Données projet'!$E$9+1,1))</f>
        <v>199.65420589615553</v>
      </c>
      <c r="T44" s="60">
        <f t="shared" si="34"/>
        <v>477.85821088970999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0">
        <f t="shared" si="5"/>
        <v>225.34275485031463</v>
      </c>
      <c r="AN44" s="60">
        <f ca="1">AVERAGE(OFFSET($AM$3,0,0,'Données projet'!$E$10+1,1))-AVERAGE(OFFSET($H$3,0,0,'Données projet'!$E$10+1,1))</f>
        <v>199.65420589615553</v>
      </c>
      <c r="AO44" s="60">
        <f t="shared" si="36"/>
        <v>477.85821088970999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19.571428571428573</v>
      </c>
      <c r="BD44" s="13">
        <f>IF('Données projet'!$A$88&gt;35,BD43+BC44-BL43,IF(A44&lt;'Données projet'!$A$88,$BA$205^A44,IF(A44='Données projet'!$A$88,'Données projet'!$B$88,BD43+BC44-BL43)))</f>
        <v>397.42857142857133</v>
      </c>
      <c r="BE44" s="14">
        <f>BD44*VLOOKUP('Données projet'!$B$11,Paramètres!$A$1:$I$89,3,0)*VLOOKUP('Données projet'!$B$11,Paramètres!$A$1:$I$89,5,0)</f>
        <v>185.9965714285714</v>
      </c>
      <c r="BF44" s="14">
        <f t="shared" si="37"/>
        <v>46.653757617185917</v>
      </c>
      <c r="BG44" s="22">
        <f t="shared" si="7"/>
        <v>405.19932308802726</v>
      </c>
      <c r="BH44" s="60">
        <f t="shared" si="8"/>
        <v>630.54207793833984</v>
      </c>
      <c r="BI44" s="60">
        <f ca="1">AVERAGE(OFFSET($BH$3,0,0,'Données projet'!$E$11+1,1))-AVERAGE(OFFSET($H$3,0,0,'Données projet'!$E$11+1,1))</f>
        <v>374.62597460242665</v>
      </c>
      <c r="BJ44" s="60">
        <f t="shared" si="38"/>
        <v>277.50105097454616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</v>
      </c>
      <c r="BZ44" s="14">
        <f>BY44*VLOOKUP('Données projet'!$B$12,Paramètres!$A$1:$I$89,3,0)*VLOOKUP('Données projet'!$B$12,Paramètres!$A$1:$I$89,5,0)</f>
        <v>112.55712000000001</v>
      </c>
      <c r="CA44" s="14">
        <f t="shared" si="39"/>
        <v>29.932653834140599</v>
      </c>
      <c r="CB44" s="22">
        <f t="shared" si="10"/>
        <v>248.16968942779488</v>
      </c>
      <c r="CC44" s="60">
        <f t="shared" si="11"/>
        <v>473.51244427810752</v>
      </c>
      <c r="CD44" s="60">
        <f ca="1">AVERAGE(OFFSET($CC$3,0,0,'Données projet'!$E$12+1,1))-AVERAGE(OFFSET($H$3,0,0,'Données projet'!$E$12+1,1))</f>
        <v>434.56763649859136</v>
      </c>
      <c r="CE44" s="60">
        <f t="shared" si="40"/>
        <v>271.90302066766264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</v>
      </c>
      <c r="CU44" s="18">
        <f>CT44*VLOOKUP('Données projet'!$B$13,Paramètres!$A$1:$I$89,3,0)*VLOOKUP('Données projet'!$B$13,Paramètres!$A$1:$I$89,5,0)</f>
        <v>104.79456</v>
      </c>
      <c r="CV44" s="14">
        <f t="shared" si="41"/>
        <v>28.101103481959861</v>
      </c>
      <c r="CW44" s="22">
        <f t="shared" si="13"/>
        <v>231.45994723108012</v>
      </c>
      <c r="CX44" s="60">
        <f t="shared" si="14"/>
        <v>456.80270208139279</v>
      </c>
      <c r="CY44" s="60">
        <f ca="1">AVERAGE(OFFSET($CX$3,0,0,'Données projet'!$E$13+1,1))-AVERAGE(OFFSET($H$3,0,0,'Données projet'!$E$13+1,1))</f>
        <v>411.64829629901465</v>
      </c>
      <c r="CZ44" s="60">
        <f t="shared" si="42"/>
        <v>258.66864562757917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</v>
      </c>
      <c r="DP44" s="18">
        <f>DO44*VLOOKUP('Données projet'!$B$14,Paramètres!$A$1:$I$89,3,0)*VLOOKUP('Données projet'!$B$14,Paramètres!$A$1:$I$89,5,0)</f>
        <v>126.1416</v>
      </c>
      <c r="DQ44" s="14">
        <f t="shared" si="43"/>
        <v>33.10323903126482</v>
      </c>
      <c r="DR44" s="22">
        <f t="shared" si="16"/>
        <v>277.35142797945286</v>
      </c>
      <c r="DS44" s="60">
        <f t="shared" si="17"/>
        <v>502.69418282976551</v>
      </c>
      <c r="DT44" s="60">
        <f ca="1">AVERAGE(OFFSET($DS$3,0,0,'Données projet'!$E$14+1,1))-AVERAGE(OFFSET($H$3,0,0,'Données projet'!$E$14+1,1))</f>
        <v>474.59791006623266</v>
      </c>
      <c r="DU44" s="60">
        <f t="shared" si="44"/>
        <v>295.01432800690293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11.2</v>
      </c>
      <c r="EJ44" s="13">
        <f>IF('Données projet'!$A$192&gt;35,EJ43+EI44-ER43,IF(A44&lt;'Données projet'!$A$192,$EG$205^A44,IF(A44='Données projet'!$A$192,'Données projet'!$B$192,EJ43+EI44-ER43)))</f>
        <v>199.19999999999993</v>
      </c>
      <c r="EK44" s="18">
        <f>EJ44*VLOOKUP('Données projet'!$B$15,Paramètres!$A$1:$I$89,3,0)*VLOOKUP('Données projet'!$B$15,Paramètres!$A$1:$I$89,5,0)</f>
        <v>174.02111999999997</v>
      </c>
      <c r="EL44" s="14">
        <f t="shared" si="45"/>
        <v>43.989391678613877</v>
      </c>
      <c r="EM44" s="22">
        <f t="shared" si="19"/>
        <v>379.70164117358576</v>
      </c>
      <c r="EN44" s="60">
        <f t="shared" si="20"/>
        <v>605.04439602389834</v>
      </c>
      <c r="EO44" s="60">
        <f ca="1">AVERAGE(OFFSET($EN$3,0,0,'Données projet'!$E$15+1,1))-AVERAGE(OFFSET($H$3,0,0,'Données projet'!$E$15+1,1))</f>
        <v>334.73467807584336</v>
      </c>
      <c r="EP44" s="60">
        <f t="shared" si="46"/>
        <v>463.8772059551726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6.8131653893056612</v>
      </c>
      <c r="EW44" s="23">
        <f>EXP(-LN(2)/25)*EW43+(1-EXP(-LN(2)/25))/(LN(2)/25)*Calculateur!ER44*Calculateur!ET44*VLOOKUP('Données projet'!$B$15,Paramètres!$A$1:$I$89,3,0)*0.475*44/12</f>
        <v>14.051768173144573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20.864933562450233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135.66666666666666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0">
        <f t="shared" si="0"/>
        <v>226.52223938283342</v>
      </c>
      <c r="S45" s="60">
        <f ca="1">AVERAGE(OFFSET($R$3,0,0,'Données projet'!$E$9+1,1))-AVERAGE(OFFSET($H$3,0,0,'Données projet'!$E$9+1,1))</f>
        <v>199.65420589615553</v>
      </c>
      <c r="T45" s="60">
        <f t="shared" si="34"/>
        <v>477.85821088970999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0">
        <f t="shared" si="5"/>
        <v>226.52223938283342</v>
      </c>
      <c r="AN45" s="60">
        <f ca="1">AVERAGE(OFFSET($AM$3,0,0,'Données projet'!$E$10+1,1))-AVERAGE(OFFSET($H$3,0,0,'Données projet'!$E$10+1,1))</f>
        <v>199.65420589615553</v>
      </c>
      <c r="AO45" s="60">
        <f t="shared" si="36"/>
        <v>477.85821088970999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417</v>
      </c>
      <c r="BB45" s="13">
        <f>VLOOKUP(A45,'Données projet'!$A$87:$I$107,9,0)</f>
        <v>19.571428571428573</v>
      </c>
      <c r="BC45" s="13">
        <f t="array" ref="BC45">INDEX(BB:BB,MIN(IF(ISNUMBER(BB45:BB241),ROW(BB45:BB241),"")))</f>
        <v>19.571428571428573</v>
      </c>
      <c r="BD45" s="13">
        <f>IF('Données projet'!$A$88&gt;35,BD44+BC45-BL44,IF(A45&lt;'Données projet'!$A$88,$BA$205^A45,IF(A45='Données projet'!$A$88,'Données projet'!$B$88,BD44+BC45-BL44)))</f>
        <v>416.99999999999989</v>
      </c>
      <c r="BE45" s="14">
        <f>BD45*VLOOKUP('Données projet'!$B$11,Paramètres!$A$1:$I$89,3,0)*VLOOKUP('Données projet'!$B$11,Paramètres!$A$1:$I$89,5,0)</f>
        <v>195.15599999999995</v>
      </c>
      <c r="BF45" s="14">
        <f t="shared" si="37"/>
        <v>48.678088823054175</v>
      </c>
      <c r="BG45" s="22">
        <f t="shared" si="7"/>
        <v>424.67770470015256</v>
      </c>
      <c r="BH45" s="60">
        <f t="shared" si="8"/>
        <v>651.19994408298396</v>
      </c>
      <c r="BI45" s="60">
        <f ca="1">AVERAGE(OFFSET($BH$3,0,0,'Données projet'!$E$11+1,1))-AVERAGE(OFFSET($H$3,0,0,'Données projet'!$E$11+1,1))</f>
        <v>374.62597460242665</v>
      </c>
      <c r="BJ45" s="60">
        <f t="shared" si="38"/>
        <v>277.50105097454616</v>
      </c>
      <c r="BK45" s="16">
        <f>IF(ISNA(VLOOKUP(A45,'Données projet'!$A$87:$I$107,3,0)),0,VLOOKUP(A45,'Données projet'!$A$87:$I$107,3,0))</f>
        <v>3</v>
      </c>
      <c r="BL45" s="16">
        <f>IF(ISNA(VLOOKUP(A45,'Données projet'!$A$87:$I$107,4,0)),0,VLOOKUP(A45,'Données projet'!$A$87:$I$107,4,0))</f>
        <v>182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132.80000000000001</v>
      </c>
      <c r="BZ45" s="14">
        <f>BY45*VLOOKUP('Données projet'!$B$12,Paramètres!$A$1:$I$89,3,0)*VLOOKUP('Données projet'!$B$12,Paramètres!$A$1:$I$89,5,0)</f>
        <v>120.15744000000001</v>
      </c>
      <c r="CA45" s="14">
        <f t="shared" si="39"/>
        <v>31.711716786129845</v>
      </c>
      <c r="CB45" s="22">
        <f t="shared" si="10"/>
        <v>264.50544806917611</v>
      </c>
      <c r="CC45" s="60">
        <f t="shared" si="11"/>
        <v>491.02768745200751</v>
      </c>
      <c r="CD45" s="60">
        <f ca="1">AVERAGE(OFFSET($CC$3,0,0,'Données projet'!$E$12+1,1))-AVERAGE(OFFSET($H$3,0,0,'Données projet'!$E$12+1,1))</f>
        <v>434.56763649859136</v>
      </c>
      <c r="CE45" s="60">
        <f t="shared" si="40"/>
        <v>271.90302066766264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132.80000000000001</v>
      </c>
      <c r="CU45" s="18">
        <f>CT45*VLOOKUP('Données projet'!$B$13,Paramètres!$A$1:$I$89,3,0)*VLOOKUP('Données projet'!$B$13,Paramètres!$A$1:$I$89,5,0)</f>
        <v>111.87072000000003</v>
      </c>
      <c r="CV45" s="14">
        <f t="shared" si="41"/>
        <v>29.771307279851975</v>
      </c>
      <c r="CW45" s="22">
        <f t="shared" si="13"/>
        <v>246.69319751240889</v>
      </c>
      <c r="CX45" s="60">
        <f t="shared" si="14"/>
        <v>473.21543689524032</v>
      </c>
      <c r="CY45" s="60">
        <f ca="1">AVERAGE(OFFSET($CX$3,0,0,'Données projet'!$E$13+1,1))-AVERAGE(OFFSET($H$3,0,0,'Données projet'!$E$13+1,1))</f>
        <v>411.64829629901465</v>
      </c>
      <c r="CZ45" s="60">
        <f t="shared" si="42"/>
        <v>258.66864562757917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132.80000000000001</v>
      </c>
      <c r="DP45" s="18">
        <f>DO45*VLOOKUP('Données projet'!$B$14,Paramètres!$A$1:$I$89,3,0)*VLOOKUP('Données projet'!$B$14,Paramètres!$A$1:$I$89,5,0)</f>
        <v>134.65920000000003</v>
      </c>
      <c r="DQ45" s="14">
        <f t="shared" si="43"/>
        <v>35.07074737441733</v>
      </c>
      <c r="DR45" s="22">
        <f t="shared" si="16"/>
        <v>295.61299167711019</v>
      </c>
      <c r="DS45" s="60">
        <f t="shared" si="17"/>
        <v>522.13523105994159</v>
      </c>
      <c r="DT45" s="60">
        <f ca="1">AVERAGE(OFFSET($DS$3,0,0,'Données projet'!$E$14+1,1))-AVERAGE(OFFSET($H$3,0,0,'Données projet'!$E$14+1,1))</f>
        <v>474.59791006623266</v>
      </c>
      <c r="DU45" s="60">
        <f t="shared" si="44"/>
        <v>295.01432800690293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11.2</v>
      </c>
      <c r="EJ45" s="13">
        <f>IF('Données projet'!$A$192&gt;35,EJ44+EI45-ER44,IF(A45&lt;'Données projet'!$A$192,$EG$205^A45,IF(A45='Données projet'!$A$192,'Données projet'!$B$192,EJ44+EI45-ER44)))</f>
        <v>210.39999999999992</v>
      </c>
      <c r="EK45" s="18">
        <f>EJ45*VLOOKUP('Données projet'!$B$15,Paramètres!$A$1:$I$89,3,0)*VLOOKUP('Données projet'!$B$15,Paramètres!$A$1:$I$89,5,0)</f>
        <v>183.80543999999995</v>
      </c>
      <c r="EL45" s="14">
        <f t="shared" si="45"/>
        <v>46.167792832806036</v>
      </c>
      <c r="EM45" s="22">
        <f t="shared" si="19"/>
        <v>400.53671385047045</v>
      </c>
      <c r="EN45" s="60">
        <f t="shared" si="20"/>
        <v>627.05895323330185</v>
      </c>
      <c r="EO45" s="60">
        <f ca="1">AVERAGE(OFFSET($EN$3,0,0,'Données projet'!$E$15+1,1))-AVERAGE(OFFSET($H$3,0,0,'Données projet'!$E$15+1,1))</f>
        <v>334.73467807584336</v>
      </c>
      <c r="EP45" s="60">
        <f t="shared" si="46"/>
        <v>463.8772059551726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6.6795633716419314</v>
      </c>
      <c r="EW45" s="23">
        <f>EXP(-LN(2)/25)*EW44+(1-EXP(-LN(2)/25))/(LN(2)/25)*Calculateur!ER45*Calculateur!ET45*VLOOKUP('Données projet'!$B$15,Paramètres!$A$1:$I$89,3,0)*0.475*44/12</f>
        <v>13.667521833499563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20.347085205141497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135.66666666666666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0">
        <f t="shared" si="0"/>
        <v>227.68126249564537</v>
      </c>
      <c r="S46" s="60">
        <f ca="1">AVERAGE(OFFSET($R$3,0,0,'Données projet'!$E$9+1,1))-AVERAGE(OFFSET($H$3,0,0,'Données projet'!$E$9+1,1))</f>
        <v>199.65420589615553</v>
      </c>
      <c r="T46" s="60">
        <f t="shared" si="34"/>
        <v>477.85821088970999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0">
        <f t="shared" si="5"/>
        <v>227.68126249564537</v>
      </c>
      <c r="AN46" s="60">
        <f ca="1">AVERAGE(OFFSET($AM$3,0,0,'Données projet'!$E$10+1,1))-AVERAGE(OFFSET($H$3,0,0,'Données projet'!$E$10+1,1))</f>
        <v>199.65420589615553</v>
      </c>
      <c r="AO46" s="60">
        <f t="shared" si="36"/>
        <v>477.85821088970999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>
        <f>VLOOKUP(A46,'Données projet'!$A$87:$I$107,2,0)</f>
        <v>256</v>
      </c>
      <c r="BB46" s="13">
        <f>VLOOKUP(A46,'Données projet'!$A$87:$I$107,9,0)</f>
        <v>21</v>
      </c>
      <c r="BC46" s="13">
        <f t="array" ref="BC46">INDEX(BB:BB,MIN(IF(ISNUMBER(BB46:BB242),ROW(BB46:BB242),"")))</f>
        <v>21</v>
      </c>
      <c r="BD46" s="13">
        <f>IF('Données projet'!$A$88&gt;35,BD45+BC46-BL45,IF(A46&lt;'Données projet'!$A$88,$BA$205^A46,IF(A46='Données projet'!$A$88,'Données projet'!$B$88,BD45+BC46-BL45)))</f>
        <v>255.99999999999989</v>
      </c>
      <c r="BE46" s="14">
        <f>BD46*VLOOKUP('Données projet'!$B$11,Paramètres!$A$1:$I$89,3,0)*VLOOKUP('Données projet'!$B$11,Paramètres!$A$1:$I$89,5,0)</f>
        <v>119.80799999999995</v>
      </c>
      <c r="BF46" s="14">
        <f t="shared" si="37"/>
        <v>31.630214274643535</v>
      </c>
      <c r="BG46" s="22">
        <f t="shared" si="7"/>
        <v>263.75488986167073</v>
      </c>
      <c r="BH46" s="60">
        <f t="shared" si="8"/>
        <v>491.43615235731409</v>
      </c>
      <c r="BI46" s="60">
        <f ca="1">AVERAGE(OFFSET($BH$3,0,0,'Données projet'!$E$11+1,1))-AVERAGE(OFFSET($H$3,0,0,'Données projet'!$E$11+1,1))</f>
        <v>374.62597460242665</v>
      </c>
      <c r="BJ46" s="60">
        <f t="shared" si="38"/>
        <v>277.50105097454616</v>
      </c>
      <c r="BK46" s="16">
        <f>IF(ISNA(VLOOKUP(A46,'Données projet'!$A$87:$I$107,3,0)),0,VLOOKUP(A46,'Données projet'!$A$87:$I$107,3,0))</f>
        <v>4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141.20000000000002</v>
      </c>
      <c r="BZ46" s="14">
        <f>BY46*VLOOKUP('Données projet'!$B$12,Paramètres!$A$1:$I$89,3,0)*VLOOKUP('Données projet'!$B$12,Paramètres!$A$1:$I$89,5,0)</f>
        <v>127.75776</v>
      </c>
      <c r="CA46" s="14">
        <f t="shared" si="39"/>
        <v>33.477720030956604</v>
      </c>
      <c r="CB46" s="22">
        <f t="shared" si="10"/>
        <v>280.81846105391611</v>
      </c>
      <c r="CC46" s="60">
        <f t="shared" si="11"/>
        <v>508.49972354955946</v>
      </c>
      <c r="CD46" s="60">
        <f ca="1">AVERAGE(OFFSET($CC$3,0,0,'Données projet'!$E$12+1,1))-AVERAGE(OFFSET($H$3,0,0,'Données projet'!$E$12+1,1))</f>
        <v>434.56763649859136</v>
      </c>
      <c r="CE46" s="60">
        <f t="shared" si="40"/>
        <v>271.90302066766264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141.20000000000002</v>
      </c>
      <c r="CU46" s="18">
        <f>CT46*VLOOKUP('Données projet'!$B$13,Paramètres!$A$1:$I$89,3,0)*VLOOKUP('Données projet'!$B$13,Paramètres!$A$1:$I$89,5,0)</f>
        <v>118.94688000000004</v>
      </c>
      <c r="CV46" s="14">
        <f t="shared" si="41"/>
        <v>31.429250481525276</v>
      </c>
      <c r="CW46" s="22">
        <f t="shared" si="13"/>
        <v>261.90509392198993</v>
      </c>
      <c r="CX46" s="60">
        <f t="shared" si="14"/>
        <v>489.58635641763328</v>
      </c>
      <c r="CY46" s="60">
        <f ca="1">AVERAGE(OFFSET($CX$3,0,0,'Données projet'!$E$13+1,1))-AVERAGE(OFFSET($H$3,0,0,'Données projet'!$E$13+1,1))</f>
        <v>411.64829629901465</v>
      </c>
      <c r="CZ46" s="60">
        <f t="shared" si="42"/>
        <v>258.66864562757917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141.20000000000002</v>
      </c>
      <c r="DP46" s="18">
        <f>DO46*VLOOKUP('Données projet'!$B$14,Paramètres!$A$1:$I$89,3,0)*VLOOKUP('Données projet'!$B$14,Paramètres!$A$1:$I$89,5,0)</f>
        <v>143.17680000000004</v>
      </c>
      <c r="DQ46" s="14">
        <f t="shared" si="43"/>
        <v>37.023812674521515</v>
      </c>
      <c r="DR46" s="22">
        <f t="shared" si="16"/>
        <v>313.84940040812506</v>
      </c>
      <c r="DS46" s="60">
        <f t="shared" si="17"/>
        <v>541.53066290376842</v>
      </c>
      <c r="DT46" s="60">
        <f ca="1">AVERAGE(OFFSET($DS$3,0,0,'Données projet'!$E$14+1,1))-AVERAGE(OFFSET($H$3,0,0,'Données projet'!$E$14+1,1))</f>
        <v>474.59791006623266</v>
      </c>
      <c r="DU46" s="60">
        <f t="shared" si="44"/>
        <v>295.01432800690293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11.2</v>
      </c>
      <c r="EJ46" s="13">
        <f>IF('Données projet'!$A$192&gt;35,EJ45+EI46-ER45,IF(A46&lt;'Données projet'!$A$192,$EG$205^A46,IF(A46='Données projet'!$A$192,'Données projet'!$B$192,EJ45+EI46-ER45)))</f>
        <v>221.59999999999991</v>
      </c>
      <c r="EK46" s="18">
        <f>EJ46*VLOOKUP('Données projet'!$B$15,Paramètres!$A$1:$I$89,3,0)*VLOOKUP('Données projet'!$B$15,Paramètres!$A$1:$I$89,5,0)</f>
        <v>193.58975999999996</v>
      </c>
      <c r="EL46" s="14">
        <f t="shared" si="45"/>
        <v>48.332731202087039</v>
      </c>
      <c r="EM46" s="22">
        <f t="shared" si="19"/>
        <v>421.34833884363485</v>
      </c>
      <c r="EN46" s="60">
        <f t="shared" si="20"/>
        <v>649.0296013392782</v>
      </c>
      <c r="EO46" s="60">
        <f ca="1">AVERAGE(OFFSET($EN$3,0,0,'Données projet'!$E$15+1,1))-AVERAGE(OFFSET($H$3,0,0,'Données projet'!$E$15+1,1))</f>
        <v>334.73467807584336</v>
      </c>
      <c r="EP46" s="60">
        <f t="shared" si="46"/>
        <v>463.8772059551726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6.5485812080554027</v>
      </c>
      <c r="EW46" s="23">
        <f>EXP(-LN(2)/25)*EW45+(1-EXP(-LN(2)/25))/(LN(2)/25)*Calculateur!ER46*Calculateur!ET46*VLOOKUP('Données projet'!$B$15,Paramètres!$A$1:$I$89,3,0)*0.475*44/12</f>
        <v>13.293782730218782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19.842363938274183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135.66666666666666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0">
        <f t="shared" si="0"/>
        <v>228.82017914863755</v>
      </c>
      <c r="S47" s="60">
        <f ca="1">AVERAGE(OFFSET($R$3,0,0,'Données projet'!$E$9+1,1))-AVERAGE(OFFSET($H$3,0,0,'Données projet'!$E$9+1,1))</f>
        <v>199.65420589615553</v>
      </c>
      <c r="T47" s="60">
        <f t="shared" si="34"/>
        <v>477.85821088970999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0">
        <f t="shared" si="5"/>
        <v>228.82017914863755</v>
      </c>
      <c r="AN47" s="60">
        <f ca="1">AVERAGE(OFFSET($AM$3,0,0,'Données projet'!$E$10+1,1))-AVERAGE(OFFSET($H$3,0,0,'Données projet'!$E$10+1,1))</f>
        <v>199.65420589615553</v>
      </c>
      <c r="AO47" s="60">
        <f t="shared" si="36"/>
        <v>477.85821088970999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17.5</v>
      </c>
      <c r="BD47" s="13">
        <f>IF('Données projet'!$A$88&gt;35,BD46+BC47-BL46,IF(A47&lt;'Données projet'!$A$88,$BA$205^A47,IF(A47='Données projet'!$A$88,'Données projet'!$B$88,BD46+BC47-BL46)))</f>
        <v>273.49999999999989</v>
      </c>
      <c r="BE47" s="14">
        <f>BD47*VLOOKUP('Données projet'!$B$11,Paramètres!$A$1:$I$89,3,0)*VLOOKUP('Données projet'!$B$11,Paramètres!$A$1:$I$89,5,0)</f>
        <v>127.99799999999995</v>
      </c>
      <c r="BF47" s="14">
        <f t="shared" si="37"/>
        <v>33.533338894635314</v>
      </c>
      <c r="BG47" s="22">
        <f t="shared" si="7"/>
        <v>281.33374857482306</v>
      </c>
      <c r="BH47" s="60">
        <f t="shared" si="8"/>
        <v>510.15392772345865</v>
      </c>
      <c r="BI47" s="60">
        <f ca="1">AVERAGE(OFFSET($BH$3,0,0,'Données projet'!$E$11+1,1))-AVERAGE(OFFSET($H$3,0,0,'Données projet'!$E$11+1,1))</f>
        <v>374.62597460242665</v>
      </c>
      <c r="BJ47" s="60">
        <f t="shared" si="38"/>
        <v>277.50105097454616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149.60000000000002</v>
      </c>
      <c r="BZ47" s="14">
        <f>BY47*VLOOKUP('Données projet'!$B$12,Paramètres!$A$1:$I$89,3,0)*VLOOKUP('Données projet'!$B$12,Paramètres!$A$1:$I$89,5,0)</f>
        <v>135.35808</v>
      </c>
      <c r="CA47" s="14">
        <f t="shared" si="39"/>
        <v>35.231528980112834</v>
      </c>
      <c r="CB47" s="22">
        <f t="shared" si="10"/>
        <v>297.11023564036316</v>
      </c>
      <c r="CC47" s="60">
        <f t="shared" si="11"/>
        <v>525.93041478899875</v>
      </c>
      <c r="CD47" s="60">
        <f ca="1">AVERAGE(OFFSET($CC$3,0,0,'Données projet'!$E$12+1,1))-AVERAGE(OFFSET($H$3,0,0,'Données projet'!$E$12+1,1))</f>
        <v>434.56763649859136</v>
      </c>
      <c r="CE47" s="60">
        <f t="shared" si="40"/>
        <v>271.90302066766264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149.60000000000002</v>
      </c>
      <c r="CU47" s="18">
        <f>CT47*VLOOKUP('Données projet'!$B$13,Paramètres!$A$1:$I$89,3,0)*VLOOKUP('Données projet'!$B$13,Paramètres!$A$1:$I$89,5,0)</f>
        <v>126.02304000000004</v>
      </c>
      <c r="CV47" s="14">
        <f t="shared" si="41"/>
        <v>33.075745544773369</v>
      </c>
      <c r="CW47" s="22">
        <f t="shared" si="13"/>
        <v>277.0970514904804</v>
      </c>
      <c r="CX47" s="60">
        <f t="shared" si="14"/>
        <v>505.91723063911593</v>
      </c>
      <c r="CY47" s="60">
        <f ca="1">AVERAGE(OFFSET($CX$3,0,0,'Données projet'!$E$13+1,1))-AVERAGE(OFFSET($H$3,0,0,'Données projet'!$E$13+1,1))</f>
        <v>411.64829629901465</v>
      </c>
      <c r="CZ47" s="60">
        <f t="shared" si="42"/>
        <v>258.66864562757917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149.60000000000002</v>
      </c>
      <c r="DP47" s="18">
        <f>DO47*VLOOKUP('Données projet'!$B$14,Paramètres!$A$1:$I$89,3,0)*VLOOKUP('Données projet'!$B$14,Paramètres!$A$1:$I$89,5,0)</f>
        <v>151.69440000000003</v>
      </c>
      <c r="DQ47" s="14">
        <f t="shared" si="43"/>
        <v>38.963392010880654</v>
      </c>
      <c r="DR47" s="22">
        <f t="shared" si="16"/>
        <v>332.06232108561716</v>
      </c>
      <c r="DS47" s="60">
        <f t="shared" si="17"/>
        <v>560.88250023425269</v>
      </c>
      <c r="DT47" s="60">
        <f ca="1">AVERAGE(OFFSET($DS$3,0,0,'Données projet'!$E$14+1,1))-AVERAGE(OFFSET($H$3,0,0,'Données projet'!$E$14+1,1))</f>
        <v>474.59791006623266</v>
      </c>
      <c r="DU47" s="60">
        <f t="shared" si="44"/>
        <v>295.01432800690293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11.2</v>
      </c>
      <c r="EJ47" s="13">
        <f>IF('Données projet'!$A$192&gt;35,EJ46+EI47-ER46,IF(A47&lt;'Données projet'!$A$192,$EG$205^A47,IF(A47='Données projet'!$A$192,'Données projet'!$B$192,EJ46+EI47-ER46)))</f>
        <v>232.7999999999999</v>
      </c>
      <c r="EK47" s="18">
        <f>EJ47*VLOOKUP('Données projet'!$B$15,Paramètres!$A$1:$I$89,3,0)*VLOOKUP('Données projet'!$B$15,Paramètres!$A$1:$I$89,5,0)</f>
        <v>203.37407999999996</v>
      </c>
      <c r="EL47" s="14">
        <f t="shared" si="45"/>
        <v>50.484964849140574</v>
      </c>
      <c r="EM47" s="22">
        <f t="shared" si="19"/>
        <v>442.1378364455864</v>
      </c>
      <c r="EN47" s="60">
        <f t="shared" si="20"/>
        <v>670.95801559422193</v>
      </c>
      <c r="EO47" s="60">
        <f ca="1">AVERAGE(OFFSET($EN$3,0,0,'Données projet'!$E$15+1,1))-AVERAGE(OFFSET($H$3,0,0,'Données projet'!$E$15+1,1))</f>
        <v>334.73467807584336</v>
      </c>
      <c r="EP47" s="60">
        <f t="shared" si="46"/>
        <v>463.8772059551726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6.4201675248055743</v>
      </c>
      <c r="EW47" s="23">
        <f>EXP(-LN(2)/25)*EW46+(1-EXP(-LN(2)/25))/(LN(2)/25)*Calculateur!ER47*Calculateur!ET47*VLOOKUP('Données projet'!$B$15,Paramètres!$A$1:$I$89,3,0)*0.475*44/12</f>
        <v>12.930263542371298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19.350431067176871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135.66666666666666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0">
        <f t="shared" si="0"/>
        <v>229.93933814393651</v>
      </c>
      <c r="S48" s="60">
        <f ca="1">AVERAGE(OFFSET($R$3,0,0,'Données projet'!$E$9+1,1))-AVERAGE(OFFSET($H$3,0,0,'Données projet'!$E$9+1,1))</f>
        <v>199.65420589615553</v>
      </c>
      <c r="T48" s="60">
        <f t="shared" si="34"/>
        <v>477.85821088970999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0">
        <f t="shared" si="5"/>
        <v>229.93933814393651</v>
      </c>
      <c r="AN48" s="60">
        <f ca="1">AVERAGE(OFFSET($AM$3,0,0,'Données projet'!$E$10+1,1))-AVERAGE(OFFSET($H$3,0,0,'Données projet'!$E$10+1,1))</f>
        <v>199.65420589615553</v>
      </c>
      <c r="AO48" s="60">
        <f t="shared" si="36"/>
        <v>477.85821088970999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17.5</v>
      </c>
      <c r="BD48" s="13">
        <f>IF('Données projet'!$A$88&gt;35,BD47+BC48-BL47,IF(A48&lt;'Données projet'!$A$88,$BA$205^A48,IF(A48='Données projet'!$A$88,'Données projet'!$B$88,BD47+BC48-BL47)))</f>
        <v>290.99999999999989</v>
      </c>
      <c r="BE48" s="14">
        <f>BD48*VLOOKUP('Données projet'!$B$11,Paramètres!$A$1:$I$89,3,0)*VLOOKUP('Données projet'!$B$11,Paramètres!$A$1:$I$89,5,0)</f>
        <v>136.18799999999993</v>
      </c>
      <c r="BF48" s="14">
        <f t="shared" si="37"/>
        <v>35.422331714503152</v>
      </c>
      <c r="BG48" s="22">
        <f t="shared" si="7"/>
        <v>298.88799440275955</v>
      </c>
      <c r="BH48" s="60">
        <f t="shared" si="8"/>
        <v>528.82733254669404</v>
      </c>
      <c r="BI48" s="60">
        <f ca="1">AVERAGE(OFFSET($BH$3,0,0,'Données projet'!$E$11+1,1))-AVERAGE(OFFSET($H$3,0,0,'Données projet'!$E$11+1,1))</f>
        <v>374.62597460242665</v>
      </c>
      <c r="BJ48" s="60">
        <f t="shared" si="38"/>
        <v>277.50105097454616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158.00000000000003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0">
        <f t="shared" si="11"/>
        <v>543.32143840643096</v>
      </c>
      <c r="CD48" s="60">
        <f ca="1">AVERAGE(OFFSET($CC$3,0,0,'Données projet'!$E$12+1,1))-AVERAGE(OFFSET($H$3,0,0,'Données projet'!$E$12+1,1))</f>
        <v>434.56763649859136</v>
      </c>
      <c r="CE48" s="60">
        <f t="shared" si="40"/>
        <v>271.90302066766264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158.00000000000003</v>
      </c>
      <c r="CU48" s="18">
        <f>CT48*VLOOKUP('Données projet'!$B$13,Paramètres!$A$1:$I$89,3,0)*VLOOKUP('Données projet'!$B$13,Paramètres!$A$1:$I$89,5,0)</f>
        <v>133.09920000000002</v>
      </c>
      <c r="CV48" s="14">
        <f t="shared" si="41"/>
        <v>34.71150853565117</v>
      </c>
      <c r="CW48" s="22">
        <f t="shared" si="13"/>
        <v>292.27031736625912</v>
      </c>
      <c r="CX48" s="60">
        <f t="shared" si="14"/>
        <v>522.20965551019367</v>
      </c>
      <c r="CY48" s="60">
        <f ca="1">AVERAGE(OFFSET($CX$3,0,0,'Données projet'!$E$13+1,1))-AVERAGE(OFFSET($H$3,0,0,'Données projet'!$E$13+1,1))</f>
        <v>411.64829629901465</v>
      </c>
      <c r="CZ48" s="60">
        <f t="shared" si="42"/>
        <v>258.66864562757917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158.00000000000003</v>
      </c>
      <c r="DP48" s="18">
        <f>DO48*VLOOKUP('Données projet'!$B$14,Paramètres!$A$1:$I$89,3,0)*VLOOKUP('Données projet'!$B$14,Paramètres!$A$1:$I$89,5,0)</f>
        <v>160.21200000000005</v>
      </c>
      <c r="DQ48" s="14">
        <f t="shared" si="43"/>
        <v>40.890328912852695</v>
      </c>
      <c r="DR48" s="22">
        <f t="shared" si="16"/>
        <v>350.25322285655176</v>
      </c>
      <c r="DS48" s="60">
        <f t="shared" si="17"/>
        <v>580.19256100048631</v>
      </c>
      <c r="DT48" s="60">
        <f ca="1">AVERAGE(OFFSET($DS$3,0,0,'Données projet'!$E$14+1,1))-AVERAGE(OFFSET($H$3,0,0,'Données projet'!$E$14+1,1))</f>
        <v>474.59791006623266</v>
      </c>
      <c r="DU48" s="60">
        <f t="shared" si="44"/>
        <v>295.01432800690293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244</v>
      </c>
      <c r="EH48" s="13">
        <f>VLOOKUP(A48,'Données projet'!$A$191:$I$211,9,0)</f>
        <v>11.2</v>
      </c>
      <c r="EI48" s="13">
        <f t="array" ref="EI48">INDEX(EH:EH,MIN(IF(ISNUMBER(EH48:EH244),ROW(EH48:EH244),"")))</f>
        <v>11.2</v>
      </c>
      <c r="EJ48" s="13">
        <f>IF('Données projet'!$A$192&gt;35,EJ47+EI48-ER47,IF(A48&lt;'Données projet'!$A$192,$EG$205^A48,IF(A48='Données projet'!$A$192,'Données projet'!$B$192,EJ47+EI48-ER47)))</f>
        <v>243.99999999999989</v>
      </c>
      <c r="EK48" s="18">
        <f>EJ48*VLOOKUP('Données projet'!$B$15,Paramètres!$A$1:$I$89,3,0)*VLOOKUP('Données projet'!$B$15,Paramètres!$A$1:$I$89,5,0)</f>
        <v>213.15839999999994</v>
      </c>
      <c r="EL48" s="14">
        <f t="shared" si="45"/>
        <v>52.62517477463237</v>
      </c>
      <c r="EM48" s="22">
        <f t="shared" si="19"/>
        <v>462.90639273248456</v>
      </c>
      <c r="EN48" s="60">
        <f t="shared" si="20"/>
        <v>692.84573087641911</v>
      </c>
      <c r="EO48" s="60">
        <f ca="1">AVERAGE(OFFSET($EN$3,0,0,'Données projet'!$E$15+1,1))-AVERAGE(OFFSET($H$3,0,0,'Données projet'!$E$15+1,1))</f>
        <v>334.73467807584336</v>
      </c>
      <c r="EP48" s="60">
        <f t="shared" si="46"/>
        <v>463.8772059551726</v>
      </c>
      <c r="EQ48" s="16">
        <f>IF(ISNA(VLOOKUP(A48,'Données projet'!$A$191:$I$211,3,0)),0,VLOOKUP(A48,'Données projet'!$A$191:$I$211,3,0))</f>
        <v>7</v>
      </c>
      <c r="ER48" s="16">
        <f>IF(ISNA(VLOOKUP(A48,'Données projet'!$A$191:$I$211,4,0)),0,VLOOKUP(A48,'Données projet'!$A$191:$I$211,4,0))</f>
        <v>41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6.2942719555596627</v>
      </c>
      <c r="EW48" s="23">
        <f>EXP(-LN(2)/25)*EW47+(1-EXP(-LN(2)/25))/(LN(2)/25)*Calculateur!ER48*Calculateur!ET48*VLOOKUP('Données projet'!$B$15,Paramètres!$A$1:$I$89,3,0)*0.475*44/12</f>
        <v>12.576684805832148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18.87095676139181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135.66666666666666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0">
        <f t="shared" si="0"/>
        <v>231.03908223273169</v>
      </c>
      <c r="S49" s="60">
        <f ca="1">AVERAGE(OFFSET($R$3,0,0,'Données projet'!$E$9+1,1))-AVERAGE(OFFSET($H$3,0,0,'Données projet'!$E$9+1,1))</f>
        <v>199.65420589615553</v>
      </c>
      <c r="T49" s="60">
        <f t="shared" si="34"/>
        <v>477.85821088970999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0">
        <f t="shared" si="5"/>
        <v>231.03908223273169</v>
      </c>
      <c r="AN49" s="60">
        <f ca="1">AVERAGE(OFFSET($AM$3,0,0,'Données projet'!$E$10+1,1))-AVERAGE(OFFSET($H$3,0,0,'Données projet'!$E$10+1,1))</f>
        <v>199.65420589615553</v>
      </c>
      <c r="AO49" s="60">
        <f t="shared" si="36"/>
        <v>477.85821088970999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17.5</v>
      </c>
      <c r="BD49" s="13">
        <f>IF('Données projet'!$A$88&gt;35,BD48+BC49-BL48,IF(A49&lt;'Données projet'!$A$88,$BA$205^A49,IF(A49='Données projet'!$A$88,'Données projet'!$B$88,BD48+BC49-BL48)))</f>
        <v>308.49999999999989</v>
      </c>
      <c r="BE49" s="14">
        <f>BD49*VLOOKUP('Données projet'!$B$11,Paramètres!$A$1:$I$89,3,0)*VLOOKUP('Données projet'!$B$11,Paramètres!$A$1:$I$89,5,0)</f>
        <v>144.37799999999996</v>
      </c>
      <c r="BF49" s="14">
        <f t="shared" si="37"/>
        <v>37.298139369272413</v>
      </c>
      <c r="BG49" s="22">
        <f t="shared" si="7"/>
        <v>316.41927606814937</v>
      </c>
      <c r="BH49" s="60">
        <f t="shared" si="8"/>
        <v>547.45835830087913</v>
      </c>
      <c r="BI49" s="60">
        <f ca="1">AVERAGE(OFFSET($BH$3,0,0,'Données projet'!$E$11+1,1))-AVERAGE(OFFSET($H$3,0,0,'Données projet'!$E$11+1,1))</f>
        <v>374.62597460242665</v>
      </c>
      <c r="BJ49" s="60">
        <f t="shared" si="38"/>
        <v>277.50105097454616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145.40000000000003</v>
      </c>
      <c r="BZ49" s="14">
        <f>BY49*VLOOKUP('Données projet'!$B$12,Paramètres!$A$1:$I$89,3,0)*VLOOKUP('Données projet'!$B$12,Paramètres!$A$1:$I$89,5,0)</f>
        <v>131.55792000000002</v>
      </c>
      <c r="CA49" s="14">
        <f t="shared" si="39"/>
        <v>34.3560989338864</v>
      </c>
      <c r="CB49" s="22">
        <f t="shared" si="10"/>
        <v>288.96691630985219</v>
      </c>
      <c r="CC49" s="60">
        <f t="shared" si="11"/>
        <v>520.00599854258189</v>
      </c>
      <c r="CD49" s="60">
        <f ca="1">AVERAGE(OFFSET($CC$3,0,0,'Données projet'!$E$12+1,1))-AVERAGE(OFFSET($H$3,0,0,'Données projet'!$E$12+1,1))</f>
        <v>434.56763649859136</v>
      </c>
      <c r="CE49" s="60">
        <f t="shared" si="40"/>
        <v>271.90302066766264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145.40000000000003</v>
      </c>
      <c r="CU49" s="18">
        <f>CT49*VLOOKUP('Données projet'!$B$13,Paramètres!$A$1:$I$89,3,0)*VLOOKUP('Données projet'!$B$13,Paramètres!$A$1:$I$89,5,0)</f>
        <v>122.48496000000003</v>
      </c>
      <c r="CV49" s="14">
        <f t="shared" si="41"/>
        <v>32.25388222264565</v>
      </c>
      <c r="CW49" s="22">
        <f t="shared" si="13"/>
        <v>269.50348353777451</v>
      </c>
      <c r="CX49" s="60">
        <f t="shared" si="14"/>
        <v>500.54256577050421</v>
      </c>
      <c r="CY49" s="60">
        <f ca="1">AVERAGE(OFFSET($CX$3,0,0,'Données projet'!$E$13+1,1))-AVERAGE(OFFSET($H$3,0,0,'Données projet'!$E$13+1,1))</f>
        <v>411.64829629901465</v>
      </c>
      <c r="CZ49" s="60">
        <f t="shared" si="42"/>
        <v>258.66864562757917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145.40000000000003</v>
      </c>
      <c r="DP49" s="18">
        <f>DO49*VLOOKUP('Données projet'!$B$14,Paramètres!$A$1:$I$89,3,0)*VLOOKUP('Données projet'!$B$14,Paramètres!$A$1:$I$89,5,0)</f>
        <v>147.43560000000002</v>
      </c>
      <c r="DQ49" s="14">
        <f t="shared" si="43"/>
        <v>37.99523294834102</v>
      </c>
      <c r="DR49" s="22">
        <f t="shared" si="16"/>
        <v>322.95870071836066</v>
      </c>
      <c r="DS49" s="60">
        <f t="shared" si="17"/>
        <v>553.99778295109036</v>
      </c>
      <c r="DT49" s="60">
        <f ca="1">AVERAGE(OFFSET($DS$3,0,0,'Données projet'!$E$14+1,1))-AVERAGE(OFFSET($H$3,0,0,'Données projet'!$E$14+1,1))</f>
        <v>474.59791006623266</v>
      </c>
      <c r="DU49" s="60">
        <f t="shared" si="44"/>
        <v>295.01432800690293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9.8000000000000007</v>
      </c>
      <c r="EJ49" s="13">
        <f>IF('Données projet'!$A$192&gt;35,EJ48+EI49-ER48,IF(A49&lt;'Données projet'!$A$192,$EG$205^A49,IF(A49='Données projet'!$A$192,'Données projet'!$B$192,EJ48+EI49-ER48)))</f>
        <v>212.7999999999999</v>
      </c>
      <c r="EK49" s="18">
        <f>EJ49*VLOOKUP('Données projet'!$B$15,Paramètres!$A$1:$I$89,3,0)*VLOOKUP('Données projet'!$B$15,Paramètres!$A$1:$I$89,5,0)</f>
        <v>185.90207999999993</v>
      </c>
      <c r="EL49" s="14">
        <f t="shared" si="45"/>
        <v>46.632814435744606</v>
      </c>
      <c r="EM49" s="22">
        <f t="shared" si="19"/>
        <v>404.9982744755884</v>
      </c>
      <c r="EN49" s="60">
        <f t="shared" si="20"/>
        <v>636.03735670831816</v>
      </c>
      <c r="EO49" s="60">
        <f ca="1">AVERAGE(OFFSET($EN$3,0,0,'Données projet'!$E$15+1,1))-AVERAGE(OFFSET($H$3,0,0,'Données projet'!$E$15+1,1))</f>
        <v>334.73467807584336</v>
      </c>
      <c r="EP49" s="60">
        <f t="shared" si="46"/>
        <v>463.8772059551726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6.1708451216379485</v>
      </c>
      <c r="EW49" s="23">
        <f>EXP(-LN(2)/25)*EW48+(1-EXP(-LN(2)/25))/(LN(2)/25)*Calculateur!ER49*Calculateur!ET49*VLOOKUP('Données projet'!$B$15,Paramètres!$A$1:$I$89,3,0)*0.475*44/12</f>
        <v>12.232774698437558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18.403619820075505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135.66666666666666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0">
        <f t="shared" si="0"/>
        <v>232.11974822024573</v>
      </c>
      <c r="S50" s="60">
        <f ca="1">AVERAGE(OFFSET($R$3,0,0,'Données projet'!$E$9+1,1))-AVERAGE(OFFSET($H$3,0,0,'Données projet'!$E$9+1,1))</f>
        <v>199.65420589615553</v>
      </c>
      <c r="T50" s="60">
        <f t="shared" si="34"/>
        <v>477.85821088970999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0">
        <f t="shared" si="5"/>
        <v>232.11974822024573</v>
      </c>
      <c r="AN50" s="60">
        <f ca="1">AVERAGE(OFFSET($AM$3,0,0,'Données projet'!$E$10+1,1))-AVERAGE(OFFSET($H$3,0,0,'Données projet'!$E$10+1,1))</f>
        <v>199.65420589615553</v>
      </c>
      <c r="AO50" s="60">
        <f t="shared" si="36"/>
        <v>477.85821088970999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17.5</v>
      </c>
      <c r="BD50" s="13">
        <f>IF('Données projet'!$A$88&gt;35,BD49+BC50-BL49,IF(A50&lt;'Données projet'!$A$88,$BA$205^A50,IF(A50='Données projet'!$A$88,'Données projet'!$B$88,BD49+BC50-BL49)))</f>
        <v>325.99999999999989</v>
      </c>
      <c r="BE50" s="14">
        <f>BD50*VLOOKUP('Données projet'!$B$11,Paramètres!$A$1:$I$89,3,0)*VLOOKUP('Données projet'!$B$11,Paramètres!$A$1:$I$89,5,0)</f>
        <v>152.56799999999996</v>
      </c>
      <c r="BF50" s="14">
        <f t="shared" si="37"/>
        <v>39.161595030150863</v>
      </c>
      <c r="BG50" s="22">
        <f t="shared" si="7"/>
        <v>333.92904467751265</v>
      </c>
      <c r="BH50" s="60">
        <f t="shared" si="8"/>
        <v>566.04879289775636</v>
      </c>
      <c r="BI50" s="60">
        <f ca="1">AVERAGE(OFFSET($BH$3,0,0,'Données projet'!$E$11+1,1))-AVERAGE(OFFSET($H$3,0,0,'Données projet'!$E$11+1,1))</f>
        <v>374.62597460242665</v>
      </c>
      <c r="BJ50" s="60">
        <f t="shared" si="38"/>
        <v>277.50105097454616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153.80000000000004</v>
      </c>
      <c r="BZ50" s="14">
        <f>BY50*VLOOKUP('Données projet'!$B$12,Paramètres!$A$1:$I$89,3,0)*VLOOKUP('Données projet'!$B$12,Paramètres!$A$1:$I$89,5,0)</f>
        <v>139.15824000000003</v>
      </c>
      <c r="CA50" s="14">
        <f t="shared" si="39"/>
        <v>36.104102468715482</v>
      </c>
      <c r="CB50" s="22">
        <f t="shared" si="10"/>
        <v>305.24857979967953</v>
      </c>
      <c r="CC50" s="60">
        <f t="shared" si="11"/>
        <v>537.3683280199233</v>
      </c>
      <c r="CD50" s="60">
        <f ca="1">AVERAGE(OFFSET($CC$3,0,0,'Données projet'!$E$12+1,1))-AVERAGE(OFFSET($H$3,0,0,'Données projet'!$E$12+1,1))</f>
        <v>434.56763649859136</v>
      </c>
      <c r="CE50" s="60">
        <f t="shared" si="40"/>
        <v>271.90302066766264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153.80000000000004</v>
      </c>
      <c r="CU50" s="18">
        <f>CT50*VLOOKUP('Données projet'!$B$13,Paramètres!$A$1:$I$89,3,0)*VLOOKUP('Données projet'!$B$13,Paramètres!$A$1:$I$89,5,0)</f>
        <v>129.56112000000005</v>
      </c>
      <c r="CV50" s="14">
        <f t="shared" si="41"/>
        <v>33.894927099295955</v>
      </c>
      <c r="CW50" s="22">
        <f t="shared" si="13"/>
        <v>284.68594869794055</v>
      </c>
      <c r="CX50" s="60">
        <f t="shared" si="14"/>
        <v>516.80569691818425</v>
      </c>
      <c r="CY50" s="60">
        <f ca="1">AVERAGE(OFFSET($CX$3,0,0,'Données projet'!$E$13+1,1))-AVERAGE(OFFSET($H$3,0,0,'Données projet'!$E$13+1,1))</f>
        <v>411.64829629901465</v>
      </c>
      <c r="CZ50" s="60">
        <f t="shared" si="42"/>
        <v>258.66864562757917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153.80000000000004</v>
      </c>
      <c r="DP50" s="18">
        <f>DO50*VLOOKUP('Données projet'!$B$14,Paramètres!$A$1:$I$89,3,0)*VLOOKUP('Données projet'!$B$14,Paramètres!$A$1:$I$89,5,0)</f>
        <v>155.95320000000004</v>
      </c>
      <c r="DQ50" s="14">
        <f t="shared" si="43"/>
        <v>39.928391937903875</v>
      </c>
      <c r="DR50" s="22">
        <f t="shared" si="16"/>
        <v>341.16043929184929</v>
      </c>
      <c r="DS50" s="60">
        <f t="shared" si="17"/>
        <v>573.28018751209299</v>
      </c>
      <c r="DT50" s="60">
        <f ca="1">AVERAGE(OFFSET($DS$3,0,0,'Données projet'!$E$14+1,1))-AVERAGE(OFFSET($H$3,0,0,'Données projet'!$E$14+1,1))</f>
        <v>474.59791006623266</v>
      </c>
      <c r="DU50" s="60">
        <f t="shared" si="44"/>
        <v>295.01432800690293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9.8000000000000007</v>
      </c>
      <c r="EJ50" s="13">
        <f>IF('Données projet'!$A$192&gt;35,EJ49+EI50-ER49,IF(A50&lt;'Données projet'!$A$192,$EG$205^A50,IF(A50='Données projet'!$A$192,'Données projet'!$B$192,EJ49+EI50-ER49)))</f>
        <v>222.59999999999991</v>
      </c>
      <c r="EK50" s="18">
        <f>EJ50*VLOOKUP('Données projet'!$B$15,Paramètres!$A$1:$I$89,3,0)*VLOOKUP('Données projet'!$B$15,Paramètres!$A$1:$I$89,5,0)</f>
        <v>194.46335999999994</v>
      </c>
      <c r="EL50" s="14">
        <f t="shared" si="45"/>
        <v>48.525400894162644</v>
      </c>
      <c r="EM50" s="22">
        <f t="shared" si="19"/>
        <v>423.20542522399978</v>
      </c>
      <c r="EN50" s="60">
        <f t="shared" si="20"/>
        <v>655.32517344424355</v>
      </c>
      <c r="EO50" s="60">
        <f ca="1">AVERAGE(OFFSET($EN$3,0,0,'Données projet'!$E$15+1,1))-AVERAGE(OFFSET($H$3,0,0,'Données projet'!$E$15+1,1))</f>
        <v>334.73467807584336</v>
      </c>
      <c r="EP50" s="60">
        <f t="shared" si="46"/>
        <v>463.8772059551726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6.0498386126465036</v>
      </c>
      <c r="EW50" s="23">
        <f>EXP(-LN(2)/25)*EW49+(1-EXP(-LN(2)/25))/(LN(2)/25)*Calculateur!ER50*Calculateur!ET50*VLOOKUP('Données projet'!$B$15,Paramètres!$A$1:$I$89,3,0)*0.475*44/12</f>
        <v>11.89826883101512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17.948107443661623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135.66666666666666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0">
        <f t="shared" si="0"/>
        <v>233.18166706888354</v>
      </c>
      <c r="S51" s="60">
        <f ca="1">AVERAGE(OFFSET($R$3,0,0,'Données projet'!$E$9+1,1))-AVERAGE(OFFSET($H$3,0,0,'Données projet'!$E$9+1,1))</f>
        <v>199.65420589615553</v>
      </c>
      <c r="T51" s="60">
        <f t="shared" si="34"/>
        <v>477.85821088970999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0">
        <f t="shared" si="5"/>
        <v>233.18166706888354</v>
      </c>
      <c r="AN51" s="60">
        <f ca="1">AVERAGE(OFFSET($AM$3,0,0,'Données projet'!$E$10+1,1))-AVERAGE(OFFSET($H$3,0,0,'Données projet'!$E$10+1,1))</f>
        <v>199.65420589615553</v>
      </c>
      <c r="AO51" s="60">
        <f t="shared" si="36"/>
        <v>477.85821088970999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17.5</v>
      </c>
      <c r="BD51" s="13">
        <f>IF('Données projet'!$A$88&gt;35,BD50+BC51-BL50,IF(A51&lt;'Données projet'!$A$88,$BA$205^A51,IF(A51='Données projet'!$A$88,'Données projet'!$B$88,BD50+BC51-BL50)))</f>
        <v>343.49999999999989</v>
      </c>
      <c r="BE51" s="14">
        <f>BD51*VLOOKUP('Données projet'!$B$11,Paramètres!$A$1:$I$89,3,0)*VLOOKUP('Données projet'!$B$11,Paramètres!$A$1:$I$89,5,0)</f>
        <v>160.75799999999995</v>
      </c>
      <c r="BF51" s="14">
        <f t="shared" si="37"/>
        <v>41.013437365421375</v>
      </c>
      <c r="BG51" s="22">
        <f t="shared" si="7"/>
        <v>351.41858674477544</v>
      </c>
      <c r="BH51" s="60">
        <f t="shared" si="8"/>
        <v>584.60025381365699</v>
      </c>
      <c r="BI51" s="60">
        <f ca="1">AVERAGE(OFFSET($BH$3,0,0,'Données projet'!$E$11+1,1))-AVERAGE(OFFSET($H$3,0,0,'Données projet'!$E$11+1,1))</f>
        <v>374.62597460242665</v>
      </c>
      <c r="BJ51" s="60">
        <f t="shared" si="38"/>
        <v>277.50105097454616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162.20000000000005</v>
      </c>
      <c r="BZ51" s="14">
        <f>BY51*VLOOKUP('Données projet'!$B$12,Paramètres!$A$1:$I$89,3,0)*VLOOKUP('Données projet'!$B$12,Paramètres!$A$1:$I$89,5,0)</f>
        <v>146.75856000000005</v>
      </c>
      <c r="CA51" s="14">
        <f t="shared" si="39"/>
        <v>37.841022770456242</v>
      </c>
      <c r="CB51" s="22">
        <f t="shared" si="10"/>
        <v>321.51093999187805</v>
      </c>
      <c r="CC51" s="60">
        <f t="shared" si="11"/>
        <v>554.69260706075966</v>
      </c>
      <c r="CD51" s="60">
        <f ca="1">AVERAGE(OFFSET($CC$3,0,0,'Données projet'!$E$12+1,1))-AVERAGE(OFFSET($H$3,0,0,'Données projet'!$E$12+1,1))</f>
        <v>434.56763649859136</v>
      </c>
      <c r="CE51" s="60">
        <f t="shared" si="40"/>
        <v>271.90302066766264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162.20000000000005</v>
      </c>
      <c r="CU51" s="18">
        <f>CT51*VLOOKUP('Données projet'!$B$13,Paramètres!$A$1:$I$89,3,0)*VLOOKUP('Données projet'!$B$13,Paramètres!$A$1:$I$89,5,0)</f>
        <v>136.63728000000006</v>
      </c>
      <c r="CV51" s="14">
        <f t="shared" si="41"/>
        <v>35.525566915250494</v>
      </c>
      <c r="CW51" s="22">
        <f t="shared" si="13"/>
        <v>299.85029171072807</v>
      </c>
      <c r="CX51" s="60">
        <f t="shared" si="14"/>
        <v>533.03195877960957</v>
      </c>
      <c r="CY51" s="60">
        <f ca="1">AVERAGE(OFFSET($CX$3,0,0,'Données projet'!$E$13+1,1))-AVERAGE(OFFSET($H$3,0,0,'Données projet'!$E$13+1,1))</f>
        <v>411.64829629901465</v>
      </c>
      <c r="CZ51" s="60">
        <f t="shared" si="42"/>
        <v>258.66864562757917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162.20000000000005</v>
      </c>
      <c r="DP51" s="18">
        <f>DO51*VLOOKUP('Données projet'!$B$14,Paramètres!$A$1:$I$89,3,0)*VLOOKUP('Données projet'!$B$14,Paramètres!$A$1:$I$89,5,0)</f>
        <v>164.47080000000005</v>
      </c>
      <c r="DQ51" s="14">
        <f t="shared" si="43"/>
        <v>41.849293714451377</v>
      </c>
      <c r="DR51" s="22">
        <f t="shared" si="16"/>
        <v>359.34082988600289</v>
      </c>
      <c r="DS51" s="60">
        <f t="shared" si="17"/>
        <v>592.52249695488445</v>
      </c>
      <c r="DT51" s="60">
        <f ca="1">AVERAGE(OFFSET($DS$3,0,0,'Données projet'!$E$14+1,1))-AVERAGE(OFFSET($H$3,0,0,'Données projet'!$E$14+1,1))</f>
        <v>474.59791006623266</v>
      </c>
      <c r="DU51" s="60">
        <f t="shared" si="44"/>
        <v>295.01432800690293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9.8000000000000007</v>
      </c>
      <c r="EJ51" s="13">
        <f>IF('Données projet'!$A$192&gt;35,EJ50+EI51-ER50,IF(A51&lt;'Données projet'!$A$192,$EG$205^A51,IF(A51='Données projet'!$A$192,'Données projet'!$B$192,EJ50+EI51-ER50)))</f>
        <v>232.39999999999992</v>
      </c>
      <c r="EK51" s="18">
        <f>EJ51*VLOOKUP('Données projet'!$B$15,Paramètres!$A$1:$I$89,3,0)*VLOOKUP('Données projet'!$B$15,Paramètres!$A$1:$I$89,5,0)</f>
        <v>203.02463999999998</v>
      </c>
      <c r="EL51" s="14">
        <f t="shared" si="45"/>
        <v>50.408310246654189</v>
      </c>
      <c r="EM51" s="22">
        <f t="shared" si="19"/>
        <v>441.39572167958931</v>
      </c>
      <c r="EN51" s="60">
        <f t="shared" si="20"/>
        <v>674.57738874847087</v>
      </c>
      <c r="EO51" s="60">
        <f ca="1">AVERAGE(OFFSET($EN$3,0,0,'Données projet'!$E$15+1,1))-AVERAGE(OFFSET($H$3,0,0,'Données projet'!$E$15+1,1))</f>
        <v>334.73467807584336</v>
      </c>
      <c r="EP51" s="60">
        <f t="shared" si="46"/>
        <v>463.8772059551726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5.9312049674896983</v>
      </c>
      <c r="EW51" s="23">
        <f>EXP(-LN(2)/25)*EW50+(1-EXP(-LN(2)/25))/(LN(2)/25)*Calculateur!ER51*Calculateur!ET51*VLOOKUP('Données projet'!$B$15,Paramètres!$A$1:$I$89,3,0)*0.475*44/12</f>
        <v>11.572910044128248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17.504115011617948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135.66666666666666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0">
        <f t="shared" si="0"/>
        <v>234.22516399959244</v>
      </c>
      <c r="S52" s="60">
        <f ca="1">AVERAGE(OFFSET($R$3,0,0,'Données projet'!$E$9+1,1))-AVERAGE(OFFSET($H$3,0,0,'Données projet'!$E$9+1,1))</f>
        <v>199.65420589615553</v>
      </c>
      <c r="T52" s="60">
        <f t="shared" si="34"/>
        <v>477.85821088970999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0">
        <f t="shared" si="5"/>
        <v>234.22516399959244</v>
      </c>
      <c r="AN52" s="60">
        <f ca="1">AVERAGE(OFFSET($AM$3,0,0,'Données projet'!$E$10+1,1))-AVERAGE(OFFSET($H$3,0,0,'Données projet'!$E$10+1,1))</f>
        <v>199.65420589615553</v>
      </c>
      <c r="AO52" s="60">
        <f t="shared" si="36"/>
        <v>477.85821088970999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361</v>
      </c>
      <c r="BB52" s="13">
        <f>VLOOKUP(A52,'Données projet'!$A$87:$I$107,9,0)</f>
        <v>17.5</v>
      </c>
      <c r="BC52" s="13">
        <f t="array" ref="BC52">INDEX(BB:BB,MIN(IF(ISNUMBER(BB52:BB248),ROW(BB52:BB248),"")))</f>
        <v>17.5</v>
      </c>
      <c r="BD52" s="13">
        <f>IF('Données projet'!$A$88&gt;35,BD51+BC52-BL51,IF(A52&lt;'Données projet'!$A$88,$BA$205^A52,IF(A52='Données projet'!$A$88,'Données projet'!$B$88,BD51+BC52-BL51)))</f>
        <v>360.99999999999989</v>
      </c>
      <c r="BE52" s="14">
        <f>BD52*VLOOKUP('Données projet'!$B$11,Paramètres!$A$1:$I$89,3,0)*VLOOKUP('Données projet'!$B$11,Paramètres!$A$1:$I$89,5,0)</f>
        <v>168.94799999999995</v>
      </c>
      <c r="BF52" s="14">
        <f t="shared" si="37"/>
        <v>42.854325527446242</v>
      </c>
      <c r="BG52" s="22">
        <f t="shared" si="7"/>
        <v>368.88905029363542</v>
      </c>
      <c r="BH52" s="60">
        <f t="shared" si="8"/>
        <v>603.11421429322581</v>
      </c>
      <c r="BI52" s="60">
        <f ca="1">AVERAGE(OFFSET($BH$3,0,0,'Données projet'!$E$11+1,1))-AVERAGE(OFFSET($H$3,0,0,'Données projet'!$E$11+1,1))</f>
        <v>374.62597460242665</v>
      </c>
      <c r="BJ52" s="60">
        <f t="shared" si="38"/>
        <v>277.50105097454616</v>
      </c>
      <c r="BK52" s="16">
        <f>IF(ISNA(VLOOKUP(A52,'Données projet'!$A$87:$I$107,3,0)),0,VLOOKUP(A52,'Données projet'!$A$87:$I$107,3,0))</f>
        <v>5</v>
      </c>
      <c r="BL52" s="16">
        <f>IF(ISNA(VLOOKUP(A52,'Données projet'!$A$87:$I$107,4,0)),0,VLOOKUP(A52,'Données projet'!$A$87:$I$107,4,0))</f>
        <v>100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170.60000000000005</v>
      </c>
      <c r="BZ52" s="14">
        <f>BY52*VLOOKUP('Données projet'!$B$12,Paramètres!$A$1:$I$89,3,0)*VLOOKUP('Données projet'!$B$12,Paramètres!$A$1:$I$89,5,0)</f>
        <v>154.35888000000003</v>
      </c>
      <c r="CA52" s="14">
        <f t="shared" si="39"/>
        <v>39.567499286120309</v>
      </c>
      <c r="CB52" s="22">
        <f t="shared" si="10"/>
        <v>337.75511058999291</v>
      </c>
      <c r="CC52" s="60">
        <f t="shared" si="11"/>
        <v>571.98027458958336</v>
      </c>
      <c r="CD52" s="60">
        <f ca="1">AVERAGE(OFFSET($CC$3,0,0,'Données projet'!$E$12+1,1))-AVERAGE(OFFSET($H$3,0,0,'Données projet'!$E$12+1,1))</f>
        <v>434.56763649859136</v>
      </c>
      <c r="CE52" s="60">
        <f t="shared" si="40"/>
        <v>271.90302066766264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170.60000000000005</v>
      </c>
      <c r="CU52" s="18">
        <f>CT52*VLOOKUP('Données projet'!$B$13,Paramètres!$A$1:$I$89,3,0)*VLOOKUP('Données projet'!$B$13,Paramètres!$A$1:$I$89,5,0)</f>
        <v>143.71344000000008</v>
      </c>
      <c r="CV52" s="14">
        <f t="shared" si="41"/>
        <v>37.146401990372148</v>
      </c>
      <c r="CW52" s="22">
        <f t="shared" si="13"/>
        <v>314.99755813323162</v>
      </c>
      <c r="CX52" s="60">
        <f t="shared" si="14"/>
        <v>549.22272213282213</v>
      </c>
      <c r="CY52" s="60">
        <f ca="1">AVERAGE(OFFSET($CX$3,0,0,'Données projet'!$E$13+1,1))-AVERAGE(OFFSET($H$3,0,0,'Données projet'!$E$13+1,1))</f>
        <v>411.64829629901465</v>
      </c>
      <c r="CZ52" s="60">
        <f t="shared" si="42"/>
        <v>258.66864562757917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170.60000000000005</v>
      </c>
      <c r="DP52" s="18">
        <f>DO52*VLOOKUP('Données projet'!$B$14,Paramètres!$A$1:$I$89,3,0)*VLOOKUP('Données projet'!$B$14,Paramètres!$A$1:$I$89,5,0)</f>
        <v>172.98840000000007</v>
      </c>
      <c r="DQ52" s="14">
        <f t="shared" si="43"/>
        <v>43.758645457754092</v>
      </c>
      <c r="DR52" s="22">
        <f t="shared" si="16"/>
        <v>377.50110417225511</v>
      </c>
      <c r="DS52" s="60">
        <f t="shared" si="17"/>
        <v>611.7262681718455</v>
      </c>
      <c r="DT52" s="60">
        <f ca="1">AVERAGE(OFFSET($DS$3,0,0,'Données projet'!$E$14+1,1))-AVERAGE(OFFSET($H$3,0,0,'Données projet'!$E$14+1,1))</f>
        <v>474.59791006623266</v>
      </c>
      <c r="DU52" s="60">
        <f t="shared" si="44"/>
        <v>295.01432800690293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9.8000000000000007</v>
      </c>
      <c r="EJ52" s="13">
        <f>IF('Données projet'!$A$192&gt;35,EJ51+EI52-ER51,IF(A52&lt;'Données projet'!$A$192,$EG$205^A52,IF(A52='Données projet'!$A$192,'Données projet'!$B$192,EJ51+EI52-ER51)))</f>
        <v>242.19999999999993</v>
      </c>
      <c r="EK52" s="18">
        <f>EJ52*VLOOKUP('Données projet'!$B$15,Paramètres!$A$1:$I$89,3,0)*VLOOKUP('Données projet'!$B$15,Paramètres!$A$1:$I$89,5,0)</f>
        <v>211.58591999999996</v>
      </c>
      <c r="EL52" s="14">
        <f t="shared" si="45"/>
        <v>52.281997222074629</v>
      </c>
      <c r="EM52" s="22">
        <f t="shared" si="19"/>
        <v>459.56995582844655</v>
      </c>
      <c r="EN52" s="60">
        <f t="shared" si="20"/>
        <v>693.79511982803706</v>
      </c>
      <c r="EO52" s="60">
        <f ca="1">AVERAGE(OFFSET($EN$3,0,0,'Données projet'!$E$15+1,1))-AVERAGE(OFFSET($H$3,0,0,'Données projet'!$E$15+1,1))</f>
        <v>334.73467807584336</v>
      </c>
      <c r="EP52" s="60">
        <f t="shared" si="46"/>
        <v>463.8772059551726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5.8148976557550398</v>
      </c>
      <c r="EW52" s="23">
        <f>EXP(-LN(2)/25)*EW51+(1-EXP(-LN(2)/25))/(LN(2)/25)*Calculateur!ER52*Calculateur!ET52*VLOOKUP('Données projet'!$B$15,Paramètres!$A$1:$I$89,3,0)*0.475*44/12</f>
        <v>11.256448210378672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17.071345866133711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135.66666666666666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0">
        <f t="shared" si="0"/>
        <v>235.25055859146318</v>
      </c>
      <c r="S53" s="60">
        <f ca="1">AVERAGE(OFFSET($R$3,0,0,'Données projet'!$E$9+1,1))-AVERAGE(OFFSET($H$3,0,0,'Données projet'!$E$9+1,1))</f>
        <v>199.65420589615553</v>
      </c>
      <c r="T53" s="60">
        <f t="shared" si="34"/>
        <v>477.85821088970999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0">
        <f t="shared" si="5"/>
        <v>235.25055859146318</v>
      </c>
      <c r="AN53" s="60">
        <f ca="1">AVERAGE(OFFSET($AM$3,0,0,'Données projet'!$E$10+1,1))-AVERAGE(OFFSET($H$3,0,0,'Données projet'!$E$10+1,1))</f>
        <v>199.65420589615553</v>
      </c>
      <c r="AO53" s="60">
        <f t="shared" si="36"/>
        <v>477.85821088970999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278</v>
      </c>
      <c r="BB53" s="13">
        <f>VLOOKUP(A53,'Données projet'!$A$87:$I$107,9,0)</f>
        <v>17</v>
      </c>
      <c r="BC53" s="13">
        <f t="array" ref="BC53">INDEX(BB:BB,MIN(IF(ISNUMBER(BB53:BB249),ROW(BB53:BB249),"")))</f>
        <v>17</v>
      </c>
      <c r="BD53" s="13">
        <f>IF('Données projet'!$A$88&gt;35,BD52+BC53-BL52,IF(A53&lt;'Données projet'!$A$88,$BA$205^A53,IF(A53='Données projet'!$A$88,'Données projet'!$B$88,BD52+BC53-BL52)))</f>
        <v>277.99999999999989</v>
      </c>
      <c r="BE53" s="14">
        <f>BD53*VLOOKUP('Données projet'!$B$11,Paramètres!$A$1:$I$89,3,0)*VLOOKUP('Données projet'!$B$11,Paramètres!$A$1:$I$89,5,0)</f>
        <v>130.10399999999996</v>
      </c>
      <c r="BF53" s="14">
        <f t="shared" si="37"/>
        <v>34.020389560268086</v>
      </c>
      <c r="BG53" s="22">
        <f t="shared" si="7"/>
        <v>285.84997848413349</v>
      </c>
      <c r="BH53" s="60">
        <f t="shared" si="8"/>
        <v>521.10053707559473</v>
      </c>
      <c r="BI53" s="60">
        <f ca="1">AVERAGE(OFFSET($BH$3,0,0,'Données projet'!$E$11+1,1))-AVERAGE(OFFSET($H$3,0,0,'Données projet'!$E$11+1,1))</f>
        <v>374.62597460242665</v>
      </c>
      <c r="BJ53" s="60">
        <f t="shared" si="38"/>
        <v>277.50105097454616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179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179.00000000000006</v>
      </c>
      <c r="BZ53" s="14">
        <f>BY53*VLOOKUP('Données projet'!$B$12,Paramètres!$A$1:$I$89,3,0)*VLOOKUP('Données projet'!$B$12,Paramètres!$A$1:$I$89,5,0)</f>
        <v>161.95920000000004</v>
      </c>
      <c r="CA53" s="14">
        <f t="shared" si="39"/>
        <v>41.284104935125725</v>
      </c>
      <c r="CB53" s="22">
        <f t="shared" si="10"/>
        <v>353.9820894286774</v>
      </c>
      <c r="CC53" s="60">
        <f t="shared" si="11"/>
        <v>589.23264802013864</v>
      </c>
      <c r="CD53" s="60">
        <f ca="1">AVERAGE(OFFSET($CC$3,0,0,'Données projet'!$E$12+1,1))-AVERAGE(OFFSET($H$3,0,0,'Données projet'!$E$12+1,1))</f>
        <v>434.56763649859136</v>
      </c>
      <c r="CE53" s="60">
        <f t="shared" si="40"/>
        <v>271.90302066766264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179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179.00000000000006</v>
      </c>
      <c r="CU53" s="18">
        <f>CT53*VLOOKUP('Données projet'!$B$13,Paramètres!$A$1:$I$89,3,0)*VLOOKUP('Données projet'!$B$13,Paramètres!$A$1:$I$89,5,0)</f>
        <v>150.78960000000006</v>
      </c>
      <c r="CV53" s="14">
        <f t="shared" si="41"/>
        <v>38.757970187689722</v>
      </c>
      <c r="CW53" s="22">
        <f t="shared" si="13"/>
        <v>330.12868474355969</v>
      </c>
      <c r="CX53" s="60">
        <f t="shared" si="14"/>
        <v>565.37924333502087</v>
      </c>
      <c r="CY53" s="60">
        <f ca="1">AVERAGE(OFFSET($CX$3,0,0,'Données projet'!$E$13+1,1))-AVERAGE(OFFSET($H$3,0,0,'Données projet'!$E$13+1,1))</f>
        <v>411.64829629901465</v>
      </c>
      <c r="CZ53" s="60">
        <f t="shared" si="42"/>
        <v>258.66864562757917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179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179.00000000000006</v>
      </c>
      <c r="DP53" s="18">
        <f>DO53*VLOOKUP('Données projet'!$B$14,Paramètres!$A$1:$I$89,3,0)*VLOOKUP('Données projet'!$B$14,Paramètres!$A$1:$I$89,5,0)</f>
        <v>181.50600000000006</v>
      </c>
      <c r="DQ53" s="14">
        <f t="shared" si="43"/>
        <v>45.657080773122978</v>
      </c>
      <c r="DR53" s="22">
        <f t="shared" si="16"/>
        <v>395.64236567985591</v>
      </c>
      <c r="DS53" s="60">
        <f t="shared" si="17"/>
        <v>630.89292427131704</v>
      </c>
      <c r="DT53" s="60">
        <f ca="1">AVERAGE(OFFSET($DS$3,0,0,'Données projet'!$E$14+1,1))-AVERAGE(OFFSET($H$3,0,0,'Données projet'!$E$14+1,1))</f>
        <v>474.59791006623266</v>
      </c>
      <c r="DU53" s="60">
        <f t="shared" si="44"/>
        <v>295.01432800690293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252</v>
      </c>
      <c r="EH53" s="13">
        <f>VLOOKUP(A53,'Données projet'!$A$191:$I$211,9,0)</f>
        <v>9.8000000000000007</v>
      </c>
      <c r="EI53" s="13">
        <f t="array" ref="EI53">INDEX(EH:EH,MIN(IF(ISNUMBER(EH53:EH249),ROW(EH53:EH249),"")))</f>
        <v>9.8000000000000007</v>
      </c>
      <c r="EJ53" s="13">
        <f>IF('Données projet'!$A$192&gt;35,EJ52+EI53-ER52,IF(A53&lt;'Données projet'!$A$192,$EG$205^A53,IF(A53='Données projet'!$A$192,'Données projet'!$B$192,EJ52+EI53-ER52)))</f>
        <v>251.99999999999994</v>
      </c>
      <c r="EK53" s="18">
        <f>EJ53*VLOOKUP('Données projet'!$B$15,Paramètres!$A$1:$I$89,3,0)*VLOOKUP('Données projet'!$B$15,Paramètres!$A$1:$I$89,5,0)</f>
        <v>220.14719999999997</v>
      </c>
      <c r="EL53" s="14">
        <f t="shared" si="45"/>
        <v>54.146877667769637</v>
      </c>
      <c r="EM53" s="22">
        <f t="shared" si="19"/>
        <v>477.72885193803205</v>
      </c>
      <c r="EN53" s="60">
        <f t="shared" si="20"/>
        <v>712.97941052949318</v>
      </c>
      <c r="EO53" s="60">
        <f ca="1">AVERAGE(OFFSET($EN$3,0,0,'Données projet'!$E$15+1,1))-AVERAGE(OFFSET($H$3,0,0,'Données projet'!$E$15+1,1))</f>
        <v>334.73467807584336</v>
      </c>
      <c r="EP53" s="60">
        <f t="shared" si="46"/>
        <v>463.8772059551726</v>
      </c>
      <c r="EQ53" s="16">
        <f>IF(ISNA(VLOOKUP(A53,'Données projet'!$A$191:$I$211,3,0)),0,VLOOKUP(A53,'Données projet'!$A$191:$I$211,3,0))</f>
        <v>8</v>
      </c>
      <c r="ER53" s="16">
        <f>IF(ISNA(VLOOKUP(A53,'Données projet'!$A$191:$I$211,4,0)),0,VLOOKUP(A53,'Données projet'!$A$191:$I$211,4,0))</f>
        <v>37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5.7008710594630418</v>
      </c>
      <c r="EW53" s="23">
        <f>EXP(-LN(2)/25)*EW52+(1-EXP(-LN(2)/25))/(LN(2)/25)*Calculateur!ER53*Calculateur!ET53*VLOOKUP('Données projet'!$B$15,Paramètres!$A$1:$I$89,3,0)*0.475*44/12</f>
        <v>10.948640042114983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16.649511101578025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135.66666666666666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0">
        <f t="shared" si="0"/>
        <v>236.25816487960381</v>
      </c>
      <c r="S54" s="60">
        <f ca="1">AVERAGE(OFFSET($R$3,0,0,'Données projet'!$E$9+1,1))-AVERAGE(OFFSET($H$3,0,0,'Données projet'!$E$9+1,1))</f>
        <v>199.65420589615553</v>
      </c>
      <c r="T54" s="60">
        <f t="shared" si="34"/>
        <v>477.85821088970999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0">
        <f t="shared" si="5"/>
        <v>236.25816487960381</v>
      </c>
      <c r="AN54" s="60">
        <f ca="1">AVERAGE(OFFSET($AM$3,0,0,'Données projet'!$E$10+1,1))-AVERAGE(OFFSET($H$3,0,0,'Données projet'!$E$10+1,1))</f>
        <v>199.65420589615553</v>
      </c>
      <c r="AO54" s="60">
        <f t="shared" si="36"/>
        <v>477.85821088970999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</v>
      </c>
      <c r="BD54" s="13">
        <f>IF('Données projet'!$A$88&gt;35,BD53+BC54-BL53,IF(A54&lt;'Données projet'!$A$88,$BA$205^A54,IF(A54='Données projet'!$A$88,'Données projet'!$B$88,BD53+BC54-BL53)))</f>
        <v>294.99999999999989</v>
      </c>
      <c r="BE54" s="14">
        <f>BD54*VLOOKUP('Données projet'!$B$11,Paramètres!$A$1:$I$89,3,0)*VLOOKUP('Données projet'!$B$11,Paramètres!$A$1:$I$89,5,0)</f>
        <v>138.05999999999995</v>
      </c>
      <c r="BF54" s="14">
        <f t="shared" si="37"/>
        <v>35.85221845159689</v>
      </c>
      <c r="BG54" s="22">
        <f t="shared" si="7"/>
        <v>302.89711380319778</v>
      </c>
      <c r="BH54" s="60">
        <f t="shared" si="8"/>
        <v>539.15527868279958</v>
      </c>
      <c r="BI54" s="60">
        <f ca="1">AVERAGE(OFFSET($BH$3,0,0,'Données projet'!$E$11+1,1))-AVERAGE(OFFSET($H$3,0,0,'Données projet'!$E$11+1,1))</f>
        <v>374.62597460242665</v>
      </c>
      <c r="BJ54" s="60">
        <f t="shared" si="38"/>
        <v>277.50105097454616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166.00000000000006</v>
      </c>
      <c r="BZ54" s="14">
        <f>BY54*VLOOKUP('Données projet'!$B$12,Paramètres!$A$1:$I$89,3,0)*VLOOKUP('Données projet'!$B$12,Paramètres!$A$1:$I$89,5,0)</f>
        <v>150.19680000000005</v>
      </c>
      <c r="CA54" s="14">
        <f t="shared" si="39"/>
        <v>38.623305713694506</v>
      </c>
      <c r="CB54" s="22">
        <f t="shared" si="10"/>
        <v>328.86168411801799</v>
      </c>
      <c r="CC54" s="60">
        <f t="shared" si="11"/>
        <v>565.11984899761978</v>
      </c>
      <c r="CD54" s="60">
        <f ca="1">AVERAGE(OFFSET($CC$3,0,0,'Données projet'!$E$12+1,1))-AVERAGE(OFFSET($H$3,0,0,'Données projet'!$E$12+1,1))</f>
        <v>434.56763649859136</v>
      </c>
      <c r="CE54" s="60">
        <f t="shared" si="40"/>
        <v>271.90302066766264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166.00000000000006</v>
      </c>
      <c r="CU54" s="18">
        <f>CT54*VLOOKUP('Données projet'!$B$13,Paramètres!$A$1:$I$89,3,0)*VLOOKUP('Données projet'!$B$13,Paramètres!$A$1:$I$89,5,0)</f>
        <v>139.83840000000006</v>
      </c>
      <c r="CV54" s="14">
        <f t="shared" si="41"/>
        <v>36.259982716198863</v>
      </c>
      <c r="CW54" s="22">
        <f t="shared" si="13"/>
        <v>306.7046832307131</v>
      </c>
      <c r="CX54" s="60">
        <f t="shared" si="14"/>
        <v>542.96284811031489</v>
      </c>
      <c r="CY54" s="60">
        <f ca="1">AVERAGE(OFFSET($CX$3,0,0,'Données projet'!$E$13+1,1))-AVERAGE(OFFSET($H$3,0,0,'Données projet'!$E$13+1,1))</f>
        <v>411.64829629901465</v>
      </c>
      <c r="CZ54" s="60">
        <f t="shared" si="42"/>
        <v>258.66864562757917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166.00000000000006</v>
      </c>
      <c r="DP54" s="18">
        <f>DO54*VLOOKUP('Données projet'!$B$14,Paramètres!$A$1:$I$89,3,0)*VLOOKUP('Données projet'!$B$14,Paramètres!$A$1:$I$89,5,0)</f>
        <v>168.32400000000007</v>
      </c>
      <c r="DQ54" s="14">
        <f t="shared" si="43"/>
        <v>42.71443916408608</v>
      </c>
      <c r="DR54" s="22">
        <f t="shared" si="16"/>
        <v>367.55861487745005</v>
      </c>
      <c r="DS54" s="60">
        <f t="shared" si="17"/>
        <v>603.8167797570519</v>
      </c>
      <c r="DT54" s="60">
        <f ca="1">AVERAGE(OFFSET($DS$3,0,0,'Données projet'!$E$14+1,1))-AVERAGE(OFFSET($H$3,0,0,'Données projet'!$E$14+1,1))</f>
        <v>474.59791006623266</v>
      </c>
      <c r="DU54" s="60">
        <f t="shared" si="44"/>
        <v>295.01432800690293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8.6</v>
      </c>
      <c r="EJ54" s="13">
        <f>IF('Données projet'!$A$192&gt;35,EJ53+EI54-ER53,IF(A54&lt;'Données projet'!$A$192,$EG$205^A54,IF(A54='Données projet'!$A$192,'Données projet'!$B$192,EJ53+EI54-ER53)))</f>
        <v>223.59999999999997</v>
      </c>
      <c r="EK54" s="18">
        <f>EJ54*VLOOKUP('Données projet'!$B$15,Paramètres!$A$1:$I$89,3,0)*VLOOKUP('Données projet'!$B$15,Paramètres!$A$1:$I$89,5,0)</f>
        <v>195.33696</v>
      </c>
      <c r="EL54" s="14">
        <f t="shared" si="45"/>
        <v>48.717969863105488</v>
      </c>
      <c r="EM54" s="22">
        <f t="shared" si="19"/>
        <v>425.06233617824205</v>
      </c>
      <c r="EN54" s="60">
        <f t="shared" si="20"/>
        <v>661.3205010578439</v>
      </c>
      <c r="EO54" s="60">
        <f ca="1">AVERAGE(OFFSET($EN$3,0,0,'Données projet'!$E$15+1,1))-AVERAGE(OFFSET($H$3,0,0,'Données projet'!$E$15+1,1))</f>
        <v>334.73467807584336</v>
      </c>
      <c r="EP54" s="60">
        <f t="shared" si="46"/>
        <v>463.8772059551726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5.5890804551749742</v>
      </c>
      <c r="EW54" s="23">
        <f>EXP(-LN(2)/25)*EW53+(1-EXP(-LN(2)/25))/(LN(2)/25)*Calculateur!ER54*Calculateur!ET54*VLOOKUP('Données projet'!$B$15,Paramètres!$A$1:$I$89,3,0)*0.475*44/12</f>
        <v>10.649248904399393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16.238329359574365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135.66666666666666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0">
        <f t="shared" si="0"/>
        <v>237.2482914513154</v>
      </c>
      <c r="S55" s="60">
        <f ca="1">AVERAGE(OFFSET($R$3,0,0,'Données projet'!$E$9+1,1))-AVERAGE(OFFSET($H$3,0,0,'Données projet'!$E$9+1,1))</f>
        <v>199.65420589615553</v>
      </c>
      <c r="T55" s="60">
        <f t="shared" si="34"/>
        <v>477.85821088970999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0">
        <f t="shared" si="5"/>
        <v>237.2482914513154</v>
      </c>
      <c r="AN55" s="60">
        <f ca="1">AVERAGE(OFFSET($AM$3,0,0,'Données projet'!$E$10+1,1))-AVERAGE(OFFSET($H$3,0,0,'Données projet'!$E$10+1,1))</f>
        <v>199.65420589615553</v>
      </c>
      <c r="AO55" s="60">
        <f t="shared" si="36"/>
        <v>477.85821088970999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</v>
      </c>
      <c r="BD55" s="13">
        <f>IF('Données projet'!$A$88&gt;35,BD54+BC55-BL54,IF(A55&lt;'Données projet'!$A$88,$BA$205^A55,IF(A55='Données projet'!$A$88,'Données projet'!$B$88,BD54+BC55-BL54)))</f>
        <v>311.99999999999989</v>
      </c>
      <c r="BE55" s="14">
        <f>BD55*VLOOKUP('Données projet'!$B$11,Paramètres!$A$1:$I$89,3,0)*VLOOKUP('Données projet'!$B$11,Paramètres!$A$1:$I$89,5,0)</f>
        <v>146.01599999999993</v>
      </c>
      <c r="BF55" s="14">
        <f t="shared" si="37"/>
        <v>37.671793767891103</v>
      </c>
      <c r="BG55" s="22">
        <f t="shared" si="7"/>
        <v>319.92290747907685</v>
      </c>
      <c r="BH55" s="60">
        <f t="shared" si="8"/>
        <v>557.17119893039023</v>
      </c>
      <c r="BI55" s="60">
        <f ca="1">AVERAGE(OFFSET($BH$3,0,0,'Données projet'!$E$11+1,1))-AVERAGE(OFFSET($H$3,0,0,'Données projet'!$E$11+1,1))</f>
        <v>374.62597460242665</v>
      </c>
      <c r="BJ55" s="60">
        <f t="shared" si="38"/>
        <v>277.50105097454616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174.00000000000006</v>
      </c>
      <c r="BZ55" s="14">
        <f>BY55*VLOOKUP('Données projet'!$B$12,Paramètres!$A$1:$I$89,3,0)*VLOOKUP('Données projet'!$B$12,Paramètres!$A$1:$I$89,5,0)</f>
        <v>157.43520000000007</v>
      </c>
      <c r="CA55" s="14">
        <f t="shared" si="39"/>
        <v>40.263474653179919</v>
      </c>
      <c r="CB55" s="22">
        <f t="shared" si="10"/>
        <v>344.32519168762178</v>
      </c>
      <c r="CC55" s="60">
        <f t="shared" si="11"/>
        <v>581.57348313893522</v>
      </c>
      <c r="CD55" s="60">
        <f ca="1">AVERAGE(OFFSET($CC$3,0,0,'Données projet'!$E$12+1,1))-AVERAGE(OFFSET($H$3,0,0,'Données projet'!$E$12+1,1))</f>
        <v>434.56763649859136</v>
      </c>
      <c r="CE55" s="60">
        <f t="shared" si="40"/>
        <v>271.90302066766264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174.00000000000006</v>
      </c>
      <c r="CU55" s="18">
        <f>CT55*VLOOKUP('Données projet'!$B$13,Paramètres!$A$1:$I$89,3,0)*VLOOKUP('Données projet'!$B$13,Paramètres!$A$1:$I$89,5,0)</f>
        <v>146.57760000000007</v>
      </c>
      <c r="CV55" s="14">
        <f t="shared" si="41"/>
        <v>37.799791292871248</v>
      </c>
      <c r="CW55" s="22">
        <f t="shared" si="13"/>
        <v>321.12395650175091</v>
      </c>
      <c r="CX55" s="60">
        <f t="shared" si="14"/>
        <v>558.37224795306429</v>
      </c>
      <c r="CY55" s="60">
        <f ca="1">AVERAGE(OFFSET($CX$3,0,0,'Données projet'!$E$13+1,1))-AVERAGE(OFFSET($H$3,0,0,'Données projet'!$E$13+1,1))</f>
        <v>411.64829629901465</v>
      </c>
      <c r="CZ55" s="60">
        <f t="shared" si="42"/>
        <v>258.66864562757917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174.00000000000006</v>
      </c>
      <c r="DP55" s="18">
        <f>DO55*VLOOKUP('Données projet'!$B$14,Paramètres!$A$1:$I$89,3,0)*VLOOKUP('Données projet'!$B$14,Paramètres!$A$1:$I$89,5,0)</f>
        <v>176.43600000000006</v>
      </c>
      <c r="DQ55" s="14">
        <f t="shared" si="43"/>
        <v>44.528341291050616</v>
      </c>
      <c r="DR55" s="22">
        <f t="shared" si="16"/>
        <v>384.84622774857991</v>
      </c>
      <c r="DS55" s="60">
        <f t="shared" si="17"/>
        <v>622.09451919989328</v>
      </c>
      <c r="DT55" s="60">
        <f ca="1">AVERAGE(OFFSET($DS$3,0,0,'Données projet'!$E$14+1,1))-AVERAGE(OFFSET($H$3,0,0,'Données projet'!$E$14+1,1))</f>
        <v>474.59791006623266</v>
      </c>
      <c r="DU55" s="60">
        <f t="shared" si="44"/>
        <v>295.01432800690293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8.6</v>
      </c>
      <c r="EJ55" s="13">
        <f>IF('Données projet'!$A$192&gt;35,EJ54+EI55-ER54,IF(A55&lt;'Données projet'!$A$192,$EG$205^A55,IF(A55='Données projet'!$A$192,'Données projet'!$B$192,EJ54+EI55-ER54)))</f>
        <v>232.19999999999996</v>
      </c>
      <c r="EK55" s="18">
        <f>EJ55*VLOOKUP('Données projet'!$B$15,Paramètres!$A$1:$I$89,3,0)*VLOOKUP('Données projet'!$B$15,Paramètres!$A$1:$I$89,5,0)</f>
        <v>202.84991999999997</v>
      </c>
      <c r="EL55" s="14">
        <f t="shared" si="45"/>
        <v>50.369977187686075</v>
      </c>
      <c r="EM55" s="22">
        <f t="shared" si="19"/>
        <v>441.02465426855321</v>
      </c>
      <c r="EN55" s="60">
        <f t="shared" si="20"/>
        <v>678.27294571986658</v>
      </c>
      <c r="EO55" s="60">
        <f ca="1">AVERAGE(OFFSET($EN$3,0,0,'Données projet'!$E$15+1,1))-AVERAGE(OFFSET($H$3,0,0,'Données projet'!$E$15+1,1))</f>
        <v>334.73467807584336</v>
      </c>
      <c r="EP55" s="60">
        <f t="shared" si="46"/>
        <v>463.8772059551726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5.4794819964514598</v>
      </c>
      <c r="EW55" s="23">
        <f>EXP(-LN(2)/25)*EW54+(1-EXP(-LN(2)/25))/(LN(2)/25)*Calculateur!ER55*Calculateur!ET55*VLOOKUP('Données projet'!$B$15,Paramètres!$A$1:$I$89,3,0)*0.475*44/12</f>
        <v>10.35804463308893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15.83752662954039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135.66666666666666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0">
        <f t="shared" si="0"/>
        <v>238.22124154059915</v>
      </c>
      <c r="S56" s="60">
        <f ca="1">AVERAGE(OFFSET($R$3,0,0,'Données projet'!$E$9+1,1))-AVERAGE(OFFSET($H$3,0,0,'Données projet'!$E$9+1,1))</f>
        <v>199.65420589615553</v>
      </c>
      <c r="T56" s="60">
        <f t="shared" si="34"/>
        <v>477.85821088970999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0">
        <f t="shared" si="5"/>
        <v>238.22124154059915</v>
      </c>
      <c r="AN56" s="60">
        <f ca="1">AVERAGE(OFFSET($AM$3,0,0,'Données projet'!$E$10+1,1))-AVERAGE(OFFSET($H$3,0,0,'Données projet'!$E$10+1,1))</f>
        <v>199.65420589615553</v>
      </c>
      <c r="AO56" s="60">
        <f t="shared" si="36"/>
        <v>477.85821088970999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</v>
      </c>
      <c r="BD56" s="13">
        <f>IF('Données projet'!$A$88&gt;35,BD55+BC56-BL55,IF(A56&lt;'Données projet'!$A$88,$BA$205^A56,IF(A56='Données projet'!$A$88,'Données projet'!$B$88,BD55+BC56-BL55)))</f>
        <v>328.99999999999989</v>
      </c>
      <c r="BE56" s="14">
        <f>BD56*VLOOKUP('Données projet'!$B$11,Paramètres!$A$1:$I$89,3,0)*VLOOKUP('Données projet'!$B$11,Paramètres!$A$1:$I$89,5,0)</f>
        <v>153.97199999999995</v>
      </c>
      <c r="BF56" s="14">
        <f t="shared" si="37"/>
        <v>39.479859284656378</v>
      </c>
      <c r="BG56" s="22">
        <f t="shared" si="7"/>
        <v>336.92865492077641</v>
      </c>
      <c r="BH56" s="60">
        <f t="shared" si="8"/>
        <v>575.1498964613736</v>
      </c>
      <c r="BI56" s="60">
        <f ca="1">AVERAGE(OFFSET($BH$3,0,0,'Données projet'!$E$11+1,1))-AVERAGE(OFFSET($H$3,0,0,'Données projet'!$E$11+1,1))</f>
        <v>374.62597460242665</v>
      </c>
      <c r="BJ56" s="60">
        <f t="shared" si="38"/>
        <v>277.50105097454616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182.00000000000006</v>
      </c>
      <c r="BZ56" s="14">
        <f>BY56*VLOOKUP('Données projet'!$B$12,Paramètres!$A$1:$I$89,3,0)*VLOOKUP('Données projet'!$B$12,Paramètres!$A$1:$I$89,5,0)</f>
        <v>164.67360000000005</v>
      </c>
      <c r="CA56" s="14">
        <f t="shared" si="39"/>
        <v>41.894886049197019</v>
      </c>
      <c r="CB56" s="22">
        <f t="shared" si="10"/>
        <v>359.77344653568485</v>
      </c>
      <c r="CC56" s="60">
        <f t="shared" si="11"/>
        <v>597.99468807628205</v>
      </c>
      <c r="CD56" s="60">
        <f ca="1">AVERAGE(OFFSET($CC$3,0,0,'Données projet'!$E$12+1,1))-AVERAGE(OFFSET($H$3,0,0,'Données projet'!$E$12+1,1))</f>
        <v>434.56763649859136</v>
      </c>
      <c r="CE56" s="60">
        <f t="shared" si="40"/>
        <v>271.90302066766264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182.00000000000006</v>
      </c>
      <c r="CU56" s="18">
        <f>CT56*VLOOKUP('Données projet'!$B$13,Paramètres!$A$1:$I$89,3,0)*VLOOKUP('Données projet'!$B$13,Paramètres!$A$1:$I$89,5,0)</f>
        <v>153.31680000000009</v>
      </c>
      <c r="CV56" s="14">
        <f t="shared" si="41"/>
        <v>39.33137819175279</v>
      </c>
      <c r="CW56" s="22">
        <f t="shared" si="13"/>
        <v>335.52891035063624</v>
      </c>
      <c r="CX56" s="60">
        <f t="shared" si="14"/>
        <v>573.75015189123337</v>
      </c>
      <c r="CY56" s="60">
        <f ca="1">AVERAGE(OFFSET($CX$3,0,0,'Données projet'!$E$13+1,1))-AVERAGE(OFFSET($H$3,0,0,'Données projet'!$E$13+1,1))</f>
        <v>411.64829629901465</v>
      </c>
      <c r="CZ56" s="60">
        <f t="shared" si="42"/>
        <v>258.66864562757917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182.00000000000006</v>
      </c>
      <c r="DP56" s="18">
        <f>DO56*VLOOKUP('Données projet'!$B$14,Paramètres!$A$1:$I$89,3,0)*VLOOKUP('Données projet'!$B$14,Paramètres!$A$1:$I$89,5,0)</f>
        <v>184.54800000000006</v>
      </c>
      <c r="DQ56" s="14">
        <f t="shared" si="43"/>
        <v>46.332558240871698</v>
      </c>
      <c r="DR56" s="22">
        <f t="shared" si="16"/>
        <v>402.11697226951833</v>
      </c>
      <c r="DS56" s="60">
        <f t="shared" si="17"/>
        <v>640.33821381011546</v>
      </c>
      <c r="DT56" s="60">
        <f ca="1">AVERAGE(OFFSET($DS$3,0,0,'Données projet'!$E$14+1,1))-AVERAGE(OFFSET($H$3,0,0,'Données projet'!$E$14+1,1))</f>
        <v>474.59791006623266</v>
      </c>
      <c r="DU56" s="60">
        <f t="shared" si="44"/>
        <v>295.01432800690293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8.6</v>
      </c>
      <c r="EJ56" s="13">
        <f>IF('Données projet'!$A$192&gt;35,EJ55+EI56-ER55,IF(A56&lt;'Données projet'!$A$192,$EG$205^A56,IF(A56='Données projet'!$A$192,'Données projet'!$B$192,EJ55+EI56-ER55)))</f>
        <v>240.79999999999995</v>
      </c>
      <c r="EK56" s="18">
        <f>EJ56*VLOOKUP('Données projet'!$B$15,Paramètres!$A$1:$I$89,3,0)*VLOOKUP('Données projet'!$B$15,Paramètres!$A$1:$I$89,5,0)</f>
        <v>210.36287999999999</v>
      </c>
      <c r="EL56" s="14">
        <f t="shared" si="45"/>
        <v>52.014876138342963</v>
      </c>
      <c r="EM56" s="22">
        <f t="shared" si="19"/>
        <v>456.97459194094722</v>
      </c>
      <c r="EN56" s="60">
        <f t="shared" si="20"/>
        <v>695.19583348154435</v>
      </c>
      <c r="EO56" s="60">
        <f ca="1">AVERAGE(OFFSET($EN$3,0,0,'Données projet'!$E$15+1,1))-AVERAGE(OFFSET($H$3,0,0,'Données projet'!$E$15+1,1))</f>
        <v>334.73467807584336</v>
      </c>
      <c r="EP56" s="60">
        <f t="shared" si="46"/>
        <v>463.8772059551726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5.3720326966550545</v>
      </c>
      <c r="EW56" s="23">
        <f>EXP(-LN(2)/25)*EW55+(1-EXP(-LN(2)/25))/(LN(2)/25)*Calculateur!ER56*Calculateur!ET56*VLOOKUP('Données projet'!$B$15,Paramètres!$A$1:$I$89,3,0)*0.475*44/12</f>
        <v>10.07480335789122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15.446836054546274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135.66666666666666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0">
        <f t="shared" si="0"/>
        <v>239.17731312102438</v>
      </c>
      <c r="S57" s="60">
        <f ca="1">AVERAGE(OFFSET($R$3,0,0,'Données projet'!$E$9+1,1))-AVERAGE(OFFSET($H$3,0,0,'Données projet'!$E$9+1,1))</f>
        <v>199.65420589615553</v>
      </c>
      <c r="T57" s="60">
        <f t="shared" si="34"/>
        <v>477.85821088970999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0">
        <f t="shared" si="5"/>
        <v>239.17731312102438</v>
      </c>
      <c r="AN57" s="60">
        <f ca="1">AVERAGE(OFFSET($AM$3,0,0,'Données projet'!$E$10+1,1))-AVERAGE(OFFSET($H$3,0,0,'Données projet'!$E$10+1,1))</f>
        <v>199.65420589615553</v>
      </c>
      <c r="AO57" s="60">
        <f t="shared" si="36"/>
        <v>477.85821088970999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</v>
      </c>
      <c r="BD57" s="13">
        <f>IF('Données projet'!$A$88&gt;35,BD56+BC57-BL56,IF(A57&lt;'Données projet'!$A$88,$BA$205^A57,IF(A57='Données projet'!$A$88,'Données projet'!$B$88,BD56+BC57-BL56)))</f>
        <v>345.99999999999989</v>
      </c>
      <c r="BE57" s="14">
        <f>BD57*VLOOKUP('Données projet'!$B$11,Paramètres!$A$1:$I$89,3,0)*VLOOKUP('Données projet'!$B$11,Paramètres!$A$1:$I$89,5,0)</f>
        <v>161.92799999999994</v>
      </c>
      <c r="BF57" s="14">
        <f t="shared" si="37"/>
        <v>41.277077571585316</v>
      </c>
      <c r="BG57" s="22">
        <f t="shared" si="7"/>
        <v>353.91551010384433</v>
      </c>
      <c r="BH57" s="60">
        <f t="shared" si="8"/>
        <v>593.09282322486672</v>
      </c>
      <c r="BI57" s="60">
        <f ca="1">AVERAGE(OFFSET($BH$3,0,0,'Données projet'!$E$11+1,1))-AVERAGE(OFFSET($H$3,0,0,'Données projet'!$E$11+1,1))</f>
        <v>374.62597460242665</v>
      </c>
      <c r="BJ57" s="60">
        <f t="shared" si="38"/>
        <v>277.50105097454616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190.00000000000006</v>
      </c>
      <c r="BZ57" s="14">
        <f>BY57*VLOOKUP('Données projet'!$B$12,Paramètres!$A$1:$I$89,3,0)*VLOOKUP('Données projet'!$B$12,Paramètres!$A$1:$I$89,5,0)</f>
        <v>171.91200000000006</v>
      </c>
      <c r="CA57" s="14">
        <f t="shared" si="39"/>
        <v>43.51796884103733</v>
      </c>
      <c r="CB57" s="22">
        <f t="shared" si="10"/>
        <v>375.2071957314734</v>
      </c>
      <c r="CC57" s="60">
        <f t="shared" si="11"/>
        <v>614.38450885249586</v>
      </c>
      <c r="CD57" s="60">
        <f ca="1">AVERAGE(OFFSET($CC$3,0,0,'Données projet'!$E$12+1,1))-AVERAGE(OFFSET($H$3,0,0,'Données projet'!$E$12+1,1))</f>
        <v>434.56763649859136</v>
      </c>
      <c r="CE57" s="60">
        <f t="shared" si="40"/>
        <v>271.90302066766264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190.00000000000006</v>
      </c>
      <c r="CU57" s="18">
        <f>CT57*VLOOKUP('Données projet'!$B$13,Paramètres!$A$1:$I$89,3,0)*VLOOKUP('Données projet'!$B$13,Paramètres!$A$1:$I$89,5,0)</f>
        <v>160.05600000000007</v>
      </c>
      <c r="CV57" s="14">
        <f t="shared" si="41"/>
        <v>40.855146105751423</v>
      </c>
      <c r="CW57" s="22">
        <f t="shared" si="13"/>
        <v>349.9202461341838</v>
      </c>
      <c r="CX57" s="60">
        <f t="shared" si="14"/>
        <v>589.09755925520619</v>
      </c>
      <c r="CY57" s="60">
        <f ca="1">AVERAGE(OFFSET($CX$3,0,0,'Données projet'!$E$13+1,1))-AVERAGE(OFFSET($H$3,0,0,'Données projet'!$E$13+1,1))</f>
        <v>411.64829629901465</v>
      </c>
      <c r="CZ57" s="60">
        <f t="shared" si="42"/>
        <v>258.66864562757917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190.00000000000006</v>
      </c>
      <c r="DP57" s="18">
        <f>DO57*VLOOKUP('Données projet'!$B$14,Paramètres!$A$1:$I$89,3,0)*VLOOKUP('Données projet'!$B$14,Paramètres!$A$1:$I$89,5,0)</f>
        <v>192.66000000000008</v>
      </c>
      <c r="DQ57" s="14">
        <f t="shared" si="43"/>
        <v>48.127564387788738</v>
      </c>
      <c r="DR57" s="22">
        <f t="shared" si="16"/>
        <v>419.3716746420655</v>
      </c>
      <c r="DS57" s="60">
        <f t="shared" si="17"/>
        <v>658.54898776308789</v>
      </c>
      <c r="DT57" s="60">
        <f ca="1">AVERAGE(OFFSET($DS$3,0,0,'Données projet'!$E$14+1,1))-AVERAGE(OFFSET($H$3,0,0,'Données projet'!$E$14+1,1))</f>
        <v>474.59791006623266</v>
      </c>
      <c r="DU57" s="60">
        <f t="shared" si="44"/>
        <v>295.01432800690293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8.6</v>
      </c>
      <c r="EJ57" s="13">
        <f>IF('Données projet'!$A$192&gt;35,EJ56+EI57-ER56,IF(A57&lt;'Données projet'!$A$192,$EG$205^A57,IF(A57='Données projet'!$A$192,'Données projet'!$B$192,EJ56+EI57-ER56)))</f>
        <v>249.39999999999995</v>
      </c>
      <c r="EK57" s="18">
        <f>EJ57*VLOOKUP('Données projet'!$B$15,Paramètres!$A$1:$I$89,3,0)*VLOOKUP('Données projet'!$B$15,Paramètres!$A$1:$I$89,5,0)</f>
        <v>217.87583999999998</v>
      </c>
      <c r="EL57" s="14">
        <f t="shared" si="45"/>
        <v>53.652949670124926</v>
      </c>
      <c r="EM57" s="22">
        <f t="shared" si="19"/>
        <v>472.9126420088009</v>
      </c>
      <c r="EN57" s="60">
        <f t="shared" si="20"/>
        <v>712.08995512982324</v>
      </c>
      <c r="EO57" s="60">
        <f ca="1">AVERAGE(OFFSET($EN$3,0,0,'Données projet'!$E$15+1,1))-AVERAGE(OFFSET($H$3,0,0,'Données projet'!$E$15+1,1))</f>
        <v>334.73467807584336</v>
      </c>
      <c r="EP57" s="60">
        <f t="shared" si="46"/>
        <v>463.8772059551726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5.2666904120900551</v>
      </c>
      <c r="EW57" s="23">
        <f>EXP(-LN(2)/25)*EW56+(1-EXP(-LN(2)/25))/(LN(2)/25)*Calculateur!ER57*Calculateur!ET57*VLOOKUP('Données projet'!$B$15,Paramètres!$A$1:$I$89,3,0)*0.475*44/12</f>
        <v>9.7993073302588023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15.065997742348857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135.66666666666666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0">
        <f t="shared" si="0"/>
        <v>240.11679899698512</v>
      </c>
      <c r="S58" s="60">
        <f ca="1">AVERAGE(OFFSET($R$3,0,0,'Données projet'!$E$9+1,1))-AVERAGE(OFFSET($H$3,0,0,'Données projet'!$E$9+1,1))</f>
        <v>199.65420589615553</v>
      </c>
      <c r="T58" s="60">
        <f t="shared" si="34"/>
        <v>477.85821088970999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0">
        <f t="shared" si="5"/>
        <v>240.11679899698512</v>
      </c>
      <c r="AN58" s="60">
        <f ca="1">AVERAGE(OFFSET($AM$3,0,0,'Données projet'!$E$10+1,1))-AVERAGE(OFFSET($H$3,0,0,'Données projet'!$E$10+1,1))</f>
        <v>199.65420589615553</v>
      </c>
      <c r="AO58" s="60">
        <f t="shared" si="36"/>
        <v>477.85821088970999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</v>
      </c>
      <c r="BD58" s="13">
        <f>IF('Données projet'!$A$88&gt;35,BD57+BC58-BL57,IF(A58&lt;'Données projet'!$A$88,$BA$205^A58,IF(A58='Données projet'!$A$88,'Données projet'!$B$88,BD57+BC58-BL57)))</f>
        <v>362.99999999999989</v>
      </c>
      <c r="BE58" s="14">
        <f>BD58*VLOOKUP('Données projet'!$B$11,Paramètres!$A$1:$I$89,3,0)*VLOOKUP('Données projet'!$B$11,Paramètres!$A$1:$I$89,5,0)</f>
        <v>169.88399999999993</v>
      </c>
      <c r="BF58" s="14">
        <f t="shared" si="37"/>
        <v>43.064042412117296</v>
      </c>
      <c r="BG58" s="22">
        <f t="shared" si="7"/>
        <v>370.8845072011041</v>
      </c>
      <c r="BH58" s="60">
        <f t="shared" si="8"/>
        <v>611.00130619808726</v>
      </c>
      <c r="BI58" s="60">
        <f ca="1">AVERAGE(OFFSET($BH$3,0,0,'Données projet'!$E$11+1,1))-AVERAGE(OFFSET($H$3,0,0,'Données projet'!$E$11+1,1))</f>
        <v>374.62597460242665</v>
      </c>
      <c r="BJ58" s="60">
        <f t="shared" si="38"/>
        <v>277.50105097454616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198.00000000000006</v>
      </c>
      <c r="BZ58" s="14">
        <f>BY58*VLOOKUP('Données projet'!$B$12,Paramètres!$A$1:$I$89,3,0)*VLOOKUP('Données projet'!$B$12,Paramètres!$A$1:$I$89,5,0)</f>
        <v>179.15040000000005</v>
      </c>
      <c r="CA58" s="14">
        <f t="shared" si="39"/>
        <v>45.133113803437347</v>
      </c>
      <c r="CB58" s="22">
        <f t="shared" si="10"/>
        <v>390.62711987432004</v>
      </c>
      <c r="CC58" s="60">
        <f t="shared" si="11"/>
        <v>630.74391887130321</v>
      </c>
      <c r="CD58" s="60">
        <f ca="1">AVERAGE(OFFSET($CC$3,0,0,'Données projet'!$E$12+1,1))-AVERAGE(OFFSET($H$3,0,0,'Données projet'!$E$12+1,1))</f>
        <v>434.56763649859136</v>
      </c>
      <c r="CE58" s="60">
        <f t="shared" si="40"/>
        <v>271.90302066766264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198.00000000000006</v>
      </c>
      <c r="CU58" s="18">
        <f>CT58*VLOOKUP('Données projet'!$B$13,Paramètres!$A$1:$I$89,3,0)*VLOOKUP('Données projet'!$B$13,Paramètres!$A$1:$I$89,5,0)</f>
        <v>166.79520000000008</v>
      </c>
      <c r="CV58" s="14">
        <f t="shared" si="41"/>
        <v>42.371461898472788</v>
      </c>
      <c r="CW58" s="22">
        <f t="shared" si="13"/>
        <v>364.29860280650684</v>
      </c>
      <c r="CX58" s="60">
        <f t="shared" si="14"/>
        <v>604.41540180349</v>
      </c>
      <c r="CY58" s="60">
        <f ca="1">AVERAGE(OFFSET($CX$3,0,0,'Données projet'!$E$13+1,1))-AVERAGE(OFFSET($H$3,0,0,'Données projet'!$E$13+1,1))</f>
        <v>411.64829629901465</v>
      </c>
      <c r="CZ58" s="60">
        <f t="shared" si="42"/>
        <v>258.66864562757917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198.00000000000006</v>
      </c>
      <c r="DP58" s="18">
        <f>DO58*VLOOKUP('Données projet'!$B$14,Paramètres!$A$1:$I$89,3,0)*VLOOKUP('Données projet'!$B$14,Paramètres!$A$1:$I$89,5,0)</f>
        <v>200.77200000000008</v>
      </c>
      <c r="DQ58" s="14">
        <f t="shared" si="43"/>
        <v>49.913791898945412</v>
      </c>
      <c r="DR58" s="22">
        <f t="shared" si="16"/>
        <v>436.61108755732999</v>
      </c>
      <c r="DS58" s="60">
        <f t="shared" si="17"/>
        <v>676.72788655431316</v>
      </c>
      <c r="DT58" s="60">
        <f ca="1">AVERAGE(OFFSET($DS$3,0,0,'Données projet'!$E$14+1,1))-AVERAGE(OFFSET($H$3,0,0,'Données projet'!$E$14+1,1))</f>
        <v>474.59791006623266</v>
      </c>
      <c r="DU58" s="60">
        <f t="shared" si="44"/>
        <v>295.01432800690293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21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258</v>
      </c>
      <c r="EH58" s="13">
        <f>VLOOKUP(A58,'Données projet'!$A$191:$I$211,9,0)</f>
        <v>8.6</v>
      </c>
      <c r="EI58" s="13">
        <f t="array" ref="EI58">INDEX(EH:EH,MIN(IF(ISNUMBER(EH58:EH254),ROW(EH58:EH254),"")))</f>
        <v>8.6</v>
      </c>
      <c r="EJ58" s="13">
        <f>IF('Données projet'!$A$192&gt;35,EJ57+EI58-ER57,IF(A58&lt;'Données projet'!$A$192,$EG$205^A58,IF(A58='Données projet'!$A$192,'Données projet'!$B$192,EJ57+EI58-ER57)))</f>
        <v>257.99999999999994</v>
      </c>
      <c r="EK58" s="18">
        <f>EJ58*VLOOKUP('Données projet'!$B$15,Paramètres!$A$1:$I$89,3,0)*VLOOKUP('Données projet'!$B$15,Paramètres!$A$1:$I$89,5,0)</f>
        <v>225.3888</v>
      </c>
      <c r="EL58" s="14">
        <f t="shared" si="45"/>
        <v>55.284460117161593</v>
      </c>
      <c r="EM58" s="22">
        <f t="shared" si="19"/>
        <v>488.83926137072308</v>
      </c>
      <c r="EN58" s="60">
        <f t="shared" si="20"/>
        <v>728.95606036770619</v>
      </c>
      <c r="EO58" s="60">
        <f ca="1">AVERAGE(OFFSET($EN$3,0,0,'Données projet'!$E$15+1,1))-AVERAGE(OFFSET($H$3,0,0,'Données projet'!$E$15+1,1))</f>
        <v>334.73467807584336</v>
      </c>
      <c r="EP58" s="60">
        <f t="shared" si="46"/>
        <v>463.8772059551726</v>
      </c>
      <c r="EQ58" s="16">
        <f>IF(ISNA(VLOOKUP(A58,'Données projet'!$A$191:$I$211,3,0)),0,VLOOKUP(A58,'Données projet'!$A$191:$I$211,3,0))</f>
        <v>9</v>
      </c>
      <c r="ER58" s="16">
        <f>IF(ISNA(VLOOKUP(A58,'Données projet'!$A$191:$I$211,4,0)),0,VLOOKUP(A58,'Données projet'!$A$191:$I$211,4,0))</f>
        <v>258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5.1634138254729258</v>
      </c>
      <c r="EW58" s="23">
        <f>EXP(-LN(2)/25)*EW57+(1-EXP(-LN(2)/25))/(LN(2)/25)*Calculateur!ER58*Calculateur!ET58*VLOOKUP('Données projet'!$B$15,Paramètres!$A$1:$I$89,3,0)*0.475*44/12</f>
        <v>9.5313447559897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14.694758581462626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135.66666666666666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0">
        <f t="shared" si="0"/>
        <v>241.03998689337362</v>
      </c>
      <c r="S59" s="60">
        <f ca="1">AVERAGE(OFFSET($R$3,0,0,'Données projet'!$E$9+1,1))-AVERAGE(OFFSET($H$3,0,0,'Données projet'!$E$9+1,1))</f>
        <v>199.65420589615553</v>
      </c>
      <c r="T59" s="60">
        <f t="shared" si="34"/>
        <v>477.85821088970999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0">
        <f t="shared" si="5"/>
        <v>241.03998689337362</v>
      </c>
      <c r="AN59" s="60">
        <f ca="1">AVERAGE(OFFSET($AM$3,0,0,'Données projet'!$E$10+1,1))-AVERAGE(OFFSET($H$3,0,0,'Données projet'!$E$10+1,1))</f>
        <v>199.65420589615553</v>
      </c>
      <c r="AO59" s="60">
        <f t="shared" si="36"/>
        <v>477.85821088970999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380</v>
      </c>
      <c r="BB59" s="13">
        <f>VLOOKUP(A59,'Données projet'!$A$87:$I$107,9,0)</f>
        <v>17</v>
      </c>
      <c r="BC59" s="13">
        <f t="array" ref="BC59">INDEX(BB:BB,MIN(IF(ISNUMBER(BB59:BB255),ROW(BB59:BB255),"")))</f>
        <v>17</v>
      </c>
      <c r="BD59" s="13">
        <f>IF('Données projet'!$A$88&gt;35,BD58+BC59-BL58,IF(A59&lt;'Données projet'!$A$88,$BA$205^A59,IF(A59='Données projet'!$A$88,'Données projet'!$B$88,BD58+BC59-BL58)))</f>
        <v>379.99999999999989</v>
      </c>
      <c r="BE59" s="14">
        <f>BD59*VLOOKUP('Données projet'!$B$11,Paramètres!$A$1:$I$89,3,0)*VLOOKUP('Données projet'!$B$11,Paramètres!$A$1:$I$89,5,0)</f>
        <v>177.83999999999995</v>
      </c>
      <c r="BF59" s="14">
        <f t="shared" si="37"/>
        <v>44.841288830609102</v>
      </c>
      <c r="BG59" s="22">
        <f t="shared" si="7"/>
        <v>387.83657804664409</v>
      </c>
      <c r="BH59" s="60">
        <f t="shared" si="8"/>
        <v>628.87656494001567</v>
      </c>
      <c r="BI59" s="60">
        <f ca="1">AVERAGE(OFFSET($BH$3,0,0,'Données projet'!$E$11+1,1))-AVERAGE(OFFSET($H$3,0,0,'Données projet'!$E$11+1,1))</f>
        <v>374.62597460242665</v>
      </c>
      <c r="BJ59" s="60">
        <f t="shared" si="38"/>
        <v>277.50105097454616</v>
      </c>
      <c r="BK59" s="16">
        <f>IF(ISNA(VLOOKUP(A59,'Données projet'!$A$87:$I$107,3,0)),0,VLOOKUP(A59,'Données projet'!$A$87:$I$107,3,0))</f>
        <v>7</v>
      </c>
      <c r="BL59" s="16">
        <f>IF(ISNA(VLOOKUP(A59,'Données projet'!$A$87:$I$107,4,0)),0,VLOOKUP(A59,'Données projet'!$A$87:$I$107,4,0))</f>
        <v>79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184.40000000000006</v>
      </c>
      <c r="BZ59" s="14">
        <f>BY59*VLOOKUP('Données projet'!$B$12,Paramètres!$A$1:$I$89,3,0)*VLOOKUP('Données projet'!$B$12,Paramètres!$A$1:$I$89,5,0)</f>
        <v>166.84512000000004</v>
      </c>
      <c r="CA59" s="14">
        <f t="shared" si="39"/>
        <v>42.382666918050084</v>
      </c>
      <c r="CB59" s="22">
        <f t="shared" si="10"/>
        <v>364.40506221560395</v>
      </c>
      <c r="CC59" s="60">
        <f t="shared" si="11"/>
        <v>605.44504910897558</v>
      </c>
      <c r="CD59" s="60">
        <f ca="1">AVERAGE(OFFSET($CC$3,0,0,'Données projet'!$E$12+1,1))-AVERAGE(OFFSET($H$3,0,0,'Données projet'!$E$12+1,1))</f>
        <v>434.56763649859136</v>
      </c>
      <c r="CE59" s="60">
        <f t="shared" si="40"/>
        <v>271.90302066766264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184.40000000000006</v>
      </c>
      <c r="CU59" s="18">
        <f>CT59*VLOOKUP('Données projet'!$B$13,Paramètres!$A$1:$I$89,3,0)*VLOOKUP('Données projet'!$B$13,Paramètres!$A$1:$I$89,5,0)</f>
        <v>155.33856000000006</v>
      </c>
      <c r="CV59" s="14">
        <f t="shared" si="41"/>
        <v>39.789312217519864</v>
      </c>
      <c r="CW59" s="22">
        <f t="shared" si="13"/>
        <v>339.84771077884716</v>
      </c>
      <c r="CX59" s="60">
        <f t="shared" si="14"/>
        <v>580.88769767221879</v>
      </c>
      <c r="CY59" s="60">
        <f ca="1">AVERAGE(OFFSET($CX$3,0,0,'Données projet'!$E$13+1,1))-AVERAGE(OFFSET($H$3,0,0,'Données projet'!$E$13+1,1))</f>
        <v>411.64829629901465</v>
      </c>
      <c r="CZ59" s="60">
        <f t="shared" si="42"/>
        <v>258.66864562757917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184.40000000000006</v>
      </c>
      <c r="DP59" s="18">
        <f>DO59*VLOOKUP('Données projet'!$B$14,Paramètres!$A$1:$I$89,3,0)*VLOOKUP('Données projet'!$B$14,Paramètres!$A$1:$I$89,5,0)</f>
        <v>186.98160000000007</v>
      </c>
      <c r="DQ59" s="14">
        <f t="shared" si="43"/>
        <v>46.872006790472248</v>
      </c>
      <c r="DR59" s="22">
        <f t="shared" si="16"/>
        <v>407.29503182673926</v>
      </c>
      <c r="DS59" s="60">
        <f t="shared" si="17"/>
        <v>648.33501872011084</v>
      </c>
      <c r="DT59" s="60">
        <f ca="1">AVERAGE(OFFSET($DS$3,0,0,'Données projet'!$E$14+1,1))-AVERAGE(OFFSET($H$3,0,0,'Données projet'!$E$14+1,1))</f>
        <v>474.59791006623266</v>
      </c>
      <c r="DU59" s="60">
        <f t="shared" si="44"/>
        <v>295.01432800690293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-5.6843418860808015E-14</v>
      </c>
      <c r="EK59" s="18">
        <f>EJ59*VLOOKUP('Données projet'!$B$15,Paramètres!$A$1:$I$89,3,0)*VLOOKUP('Données projet'!$B$15,Paramètres!$A$1:$I$89,5,0)</f>
        <v>-4.9658410716801891E-14</v>
      </c>
      <c r="EL59" s="14" t="e">
        <f t="shared" si="45"/>
        <v>#NUM!</v>
      </c>
      <c r="EM59" s="22" t="e">
        <f t="shared" si="19"/>
        <v>#NUM!</v>
      </c>
      <c r="EN59" s="60" t="e">
        <f t="shared" si="20"/>
        <v>#NUM!</v>
      </c>
      <c r="EO59" s="60">
        <f ca="1">AVERAGE(OFFSET($EN$3,0,0,'Données projet'!$E$15+1,1))-AVERAGE(OFFSET($H$3,0,0,'Données projet'!$E$15+1,1))</f>
        <v>334.73467807584336</v>
      </c>
      <c r="EP59" s="60">
        <f t="shared" si="46"/>
        <v>463.8772059551726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5.062162429726861</v>
      </c>
      <c r="EW59" s="23">
        <f>EXP(-LN(2)/25)*EW58+(1-EXP(-LN(2)/25))/(LN(2)/25)*Calculateur!ER59*Calculateur!ET59*VLOOKUP('Données projet'!$B$15,Paramètres!$A$1:$I$89,3,0)*0.475*44/12</f>
        <v>9.2707096324055254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14.332872062132386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135.66666666666666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0">
        <f t="shared" si="0"/>
        <v>241.94715954369877</v>
      </c>
      <c r="S60" s="60">
        <f ca="1">AVERAGE(OFFSET($R$3,0,0,'Données projet'!$E$9+1,1))-AVERAGE(OFFSET($H$3,0,0,'Données projet'!$E$9+1,1))</f>
        <v>199.65420589615553</v>
      </c>
      <c r="T60" s="60">
        <f t="shared" si="34"/>
        <v>477.85821088970999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0">
        <f t="shared" si="5"/>
        <v>241.94715954369877</v>
      </c>
      <c r="AN60" s="60">
        <f ca="1">AVERAGE(OFFSET($AM$3,0,0,'Données projet'!$E$10+1,1))-AVERAGE(OFFSET($H$3,0,0,'Données projet'!$E$10+1,1))</f>
        <v>199.65420589615553</v>
      </c>
      <c r="AO60" s="60">
        <f t="shared" si="36"/>
        <v>477.85821088970999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316</v>
      </c>
      <c r="BB60" s="13">
        <f>VLOOKUP(A60,'Données projet'!$A$87:$I$107,9,0)</f>
        <v>15</v>
      </c>
      <c r="BC60" s="13">
        <f t="array" ref="BC60">INDEX(BB:BB,MIN(IF(ISNUMBER(BB60:BB256),ROW(BB60:BB256),"")))</f>
        <v>15</v>
      </c>
      <c r="BD60" s="13">
        <f>IF('Données projet'!$A$88&gt;35,BD59+BC60-BL59,IF(A60&lt;'Données projet'!$A$88,$BA$205^A60,IF(A60='Données projet'!$A$88,'Données projet'!$B$88,BD59+BC60-BL59)))</f>
        <v>315.99999999999989</v>
      </c>
      <c r="BE60" s="14">
        <f>BD60*VLOOKUP('Données projet'!$B$11,Paramètres!$A$1:$I$89,3,0)*VLOOKUP('Données projet'!$B$11,Paramètres!$A$1:$I$89,5,0)</f>
        <v>147.88799999999995</v>
      </c>
      <c r="BF60" s="14">
        <f t="shared" si="37"/>
        <v>38.098230660204834</v>
      </c>
      <c r="BG60" s="22">
        <f t="shared" si="7"/>
        <v>323.92601839985667</v>
      </c>
      <c r="BH60" s="60">
        <f t="shared" si="8"/>
        <v>565.8731779435534</v>
      </c>
      <c r="BI60" s="60">
        <f ca="1">AVERAGE(OFFSET($BH$3,0,0,'Données projet'!$E$11+1,1))-AVERAGE(OFFSET($H$3,0,0,'Données projet'!$E$11+1,1))</f>
        <v>374.62597460242665</v>
      </c>
      <c r="BJ60" s="60">
        <f t="shared" si="38"/>
        <v>277.50105097454616</v>
      </c>
      <c r="BK60" s="16">
        <f>IF(ISNA(VLOOKUP(A60,'Données projet'!$A$87:$I$107,3,0)),0,VLOOKUP(A60,'Données projet'!$A$87:$I$107,3,0))</f>
        <v>8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191.80000000000007</v>
      </c>
      <c r="BZ60" s="14">
        <f>BY60*VLOOKUP('Données projet'!$B$12,Paramètres!$A$1:$I$89,3,0)*VLOOKUP('Données projet'!$B$12,Paramètres!$A$1:$I$89,5,0)</f>
        <v>173.54064000000005</v>
      </c>
      <c r="CA60" s="14">
        <f t="shared" si="39"/>
        <v>43.882055316228445</v>
      </c>
      <c r="CB60" s="22">
        <f t="shared" si="10"/>
        <v>378.67786100909797</v>
      </c>
      <c r="CC60" s="60">
        <f t="shared" si="11"/>
        <v>620.62502055279469</v>
      </c>
      <c r="CD60" s="60">
        <f ca="1">AVERAGE(OFFSET($CC$3,0,0,'Données projet'!$E$12+1,1))-AVERAGE(OFFSET($H$3,0,0,'Données projet'!$E$12+1,1))</f>
        <v>434.56763649859136</v>
      </c>
      <c r="CE60" s="60">
        <f t="shared" si="40"/>
        <v>271.90302066766264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191.80000000000007</v>
      </c>
      <c r="CU60" s="18">
        <f>CT60*VLOOKUP('Données projet'!$B$13,Paramètres!$A$1:$I$89,3,0)*VLOOKUP('Données projet'!$B$13,Paramètres!$A$1:$I$89,5,0)</f>
        <v>161.57232000000008</v>
      </c>
      <c r="CV60" s="14">
        <f t="shared" si="41"/>
        <v>41.196954479055741</v>
      </c>
      <c r="CW60" s="22">
        <f t="shared" si="13"/>
        <v>353.1564863843555</v>
      </c>
      <c r="CX60" s="60">
        <f t="shared" si="14"/>
        <v>595.10364592805229</v>
      </c>
      <c r="CY60" s="60">
        <f ca="1">AVERAGE(OFFSET($CX$3,0,0,'Données projet'!$E$13+1,1))-AVERAGE(OFFSET($H$3,0,0,'Données projet'!$E$13+1,1))</f>
        <v>411.64829629901465</v>
      </c>
      <c r="CZ60" s="60">
        <f t="shared" si="42"/>
        <v>258.66864562757917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191.80000000000007</v>
      </c>
      <c r="DP60" s="18">
        <f>DO60*VLOOKUP('Données projet'!$B$14,Paramètres!$A$1:$I$89,3,0)*VLOOKUP('Données projet'!$B$14,Paramètres!$A$1:$I$89,5,0)</f>
        <v>194.48520000000008</v>
      </c>
      <c r="DQ60" s="14">
        <f t="shared" si="43"/>
        <v>48.530216343846071</v>
      </c>
      <c r="DR60" s="22">
        <f t="shared" si="16"/>
        <v>423.25185013219863</v>
      </c>
      <c r="DS60" s="60">
        <f t="shared" si="17"/>
        <v>665.19900967589547</v>
      </c>
      <c r="DT60" s="60">
        <f ca="1">AVERAGE(OFFSET($DS$3,0,0,'Données projet'!$E$14+1,1))-AVERAGE(OFFSET($H$3,0,0,'Données projet'!$E$14+1,1))</f>
        <v>474.59791006623266</v>
      </c>
      <c r="DU60" s="60">
        <f t="shared" si="44"/>
        <v>295.01432800690293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-5.6843418860808015E-14</v>
      </c>
      <c r="EK60" s="18">
        <f>EJ60*VLOOKUP('Données projet'!$B$15,Paramètres!$A$1:$I$89,3,0)*VLOOKUP('Données projet'!$B$15,Paramètres!$A$1:$I$89,5,0)</f>
        <v>-4.9658410716801891E-14</v>
      </c>
      <c r="EL60" s="14" t="e">
        <f t="shared" si="45"/>
        <v>#NUM!</v>
      </c>
      <c r="EM60" s="22" t="e">
        <f t="shared" si="19"/>
        <v>#NUM!</v>
      </c>
      <c r="EN60" s="60" t="e">
        <f t="shared" si="20"/>
        <v>#NUM!</v>
      </c>
      <c r="EO60" s="60">
        <f ca="1">AVERAGE(OFFSET($EN$3,0,0,'Données projet'!$E$15+1,1))-AVERAGE(OFFSET($H$3,0,0,'Données projet'!$E$15+1,1))</f>
        <v>334.73467807584336</v>
      </c>
      <c r="EP60" s="60">
        <f t="shared" si="46"/>
        <v>463.8772059551726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4.9628965120941224</v>
      </c>
      <c r="EW60" s="23">
        <f>EXP(-LN(2)/25)*EW59+(1-EXP(-LN(2)/25))/(LN(2)/25)*Calculateur!ER60*Calculateur!ET60*VLOOKUP('Données projet'!$B$15,Paramètres!$A$1:$I$89,3,0)*0.475*44/12</f>
        <v>9.0172015899819655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13.980098102076088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135.66666666666666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0">
        <f t="shared" si="0"/>
        <v>242.83859477667502</v>
      </c>
      <c r="S61" s="60">
        <f ca="1">AVERAGE(OFFSET($R$3,0,0,'Données projet'!$E$9+1,1))-AVERAGE(OFFSET($H$3,0,0,'Données projet'!$E$9+1,1))</f>
        <v>199.65420589615553</v>
      </c>
      <c r="T61" s="60">
        <f t="shared" si="34"/>
        <v>477.85821088970999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0">
        <f t="shared" si="5"/>
        <v>242.83859477667502</v>
      </c>
      <c r="AN61" s="60">
        <f ca="1">AVERAGE(OFFSET($AM$3,0,0,'Données projet'!$E$10+1,1))-AVERAGE(OFFSET($H$3,0,0,'Données projet'!$E$10+1,1))</f>
        <v>199.65420589615553</v>
      </c>
      <c r="AO61" s="60">
        <f t="shared" si="36"/>
        <v>477.85821088970999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16.666666666666668</v>
      </c>
      <c r="BD61" s="13">
        <f>IF('Données projet'!$A$88&gt;35,BD60+BC61-BL60,IF(A61&lt;'Données projet'!$A$88,$BA$205^A61,IF(A61='Données projet'!$A$88,'Données projet'!$B$88,BD60+BC61-BL60)))</f>
        <v>332.66666666666657</v>
      </c>
      <c r="BE61" s="14">
        <f>BD61*VLOOKUP('Données projet'!$B$11,Paramètres!$A$1:$I$89,3,0)*VLOOKUP('Données projet'!$B$11,Paramètres!$A$1:$I$89,5,0)</f>
        <v>155.68799999999996</v>
      </c>
      <c r="BF61" s="14">
        <f t="shared" si="37"/>
        <v>39.868390761764985</v>
      </c>
      <c r="BG61" s="22">
        <f t="shared" si="7"/>
        <v>340.5940472434072</v>
      </c>
      <c r="BH61" s="60">
        <f t="shared" si="8"/>
        <v>583.43264202008027</v>
      </c>
      <c r="BI61" s="60">
        <f ca="1">AVERAGE(OFFSET($BH$3,0,0,'Données projet'!$E$11+1,1))-AVERAGE(OFFSET($H$3,0,0,'Données projet'!$E$11+1,1))</f>
        <v>374.62597460242665</v>
      </c>
      <c r="BJ61" s="60">
        <f t="shared" si="38"/>
        <v>277.50105097454616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199.20000000000007</v>
      </c>
      <c r="BZ61" s="14">
        <f>BY61*VLOOKUP('Données projet'!$B$12,Paramètres!$A$1:$I$89,3,0)*VLOOKUP('Données projet'!$B$12,Paramètres!$A$1:$I$89,5,0)</f>
        <v>180.23616000000004</v>
      </c>
      <c r="CA61" s="14">
        <f t="shared" si="39"/>
        <v>45.374723405565959</v>
      </c>
      <c r="CB61" s="22">
        <f t="shared" si="10"/>
        <v>392.93895526469413</v>
      </c>
      <c r="CC61" s="60">
        <f t="shared" si="11"/>
        <v>635.77755004136714</v>
      </c>
      <c r="CD61" s="60">
        <f ca="1">AVERAGE(OFFSET($CC$3,0,0,'Données projet'!$E$12+1,1))-AVERAGE(OFFSET($H$3,0,0,'Données projet'!$E$12+1,1))</f>
        <v>434.56763649859136</v>
      </c>
      <c r="CE61" s="60">
        <f t="shared" si="40"/>
        <v>271.90302066766264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199.20000000000007</v>
      </c>
      <c r="CU61" s="18">
        <f>CT61*VLOOKUP('Données projet'!$B$13,Paramètres!$A$1:$I$89,3,0)*VLOOKUP('Données projet'!$B$13,Paramètres!$A$1:$I$89,5,0)</f>
        <v>167.80608000000007</v>
      </c>
      <c r="CV61" s="14">
        <f t="shared" si="41"/>
        <v>42.598287640997071</v>
      </c>
      <c r="CW61" s="22">
        <f t="shared" si="13"/>
        <v>366.45427364140329</v>
      </c>
      <c r="CX61" s="60">
        <f t="shared" si="14"/>
        <v>609.2928684180763</v>
      </c>
      <c r="CY61" s="60">
        <f ca="1">AVERAGE(OFFSET($CX$3,0,0,'Données projet'!$E$13+1,1))-AVERAGE(OFFSET($H$3,0,0,'Données projet'!$E$13+1,1))</f>
        <v>411.64829629901465</v>
      </c>
      <c r="CZ61" s="60">
        <f t="shared" si="42"/>
        <v>258.66864562757917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199.20000000000007</v>
      </c>
      <c r="DP61" s="18">
        <f>DO61*VLOOKUP('Données projet'!$B$14,Paramètres!$A$1:$I$89,3,0)*VLOOKUP('Données projet'!$B$14,Paramètres!$A$1:$I$89,5,0)</f>
        <v>201.98880000000008</v>
      </c>
      <c r="DQ61" s="14">
        <f t="shared" si="43"/>
        <v>50.18099374666096</v>
      </c>
      <c r="DR61" s="22">
        <f t="shared" si="16"/>
        <v>439.19572410876793</v>
      </c>
      <c r="DS61" s="60">
        <f t="shared" si="17"/>
        <v>682.03431888544094</v>
      </c>
      <c r="DT61" s="60">
        <f ca="1">AVERAGE(OFFSET($DS$3,0,0,'Données projet'!$E$14+1,1))-AVERAGE(OFFSET($H$3,0,0,'Données projet'!$E$14+1,1))</f>
        <v>474.59791006623266</v>
      </c>
      <c r="DU61" s="60">
        <f t="shared" si="44"/>
        <v>295.01432800690293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-5.6843418860808015E-14</v>
      </c>
      <c r="EK61" s="18">
        <f>EJ61*VLOOKUP('Données projet'!$B$15,Paramètres!$A$1:$I$89,3,0)*VLOOKUP('Données projet'!$B$15,Paramètres!$A$1:$I$89,5,0)</f>
        <v>-4.9658410716801891E-14</v>
      </c>
      <c r="EL61" s="14" t="e">
        <f t="shared" si="45"/>
        <v>#NUM!</v>
      </c>
      <c r="EM61" s="22" t="e">
        <f t="shared" si="19"/>
        <v>#NUM!</v>
      </c>
      <c r="EN61" s="60" t="e">
        <f t="shared" si="20"/>
        <v>#NUM!</v>
      </c>
      <c r="EO61" s="60">
        <f ca="1">AVERAGE(OFFSET($EN$3,0,0,'Données projet'!$E$15+1,1))-AVERAGE(OFFSET($H$3,0,0,'Données projet'!$E$15+1,1))</f>
        <v>334.73467807584336</v>
      </c>
      <c r="EP61" s="60">
        <f t="shared" si="46"/>
        <v>463.8772059551726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4.8655771385599307</v>
      </c>
      <c r="EW61" s="23">
        <f>EXP(-LN(2)/25)*EW60+(1-EXP(-LN(2)/25))/(LN(2)/25)*Calculateur!ER61*Calculateur!ET61*VLOOKUP('Données projet'!$B$15,Paramètres!$A$1:$I$89,3,0)*0.475*44/12</f>
        <v>8.7706257383098869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13.636202876869817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135.66666666666666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0">
        <f t="shared" si="0"/>
        <v>243.71456560130966</v>
      </c>
      <c r="S62" s="60">
        <f ca="1">AVERAGE(OFFSET($R$3,0,0,'Données projet'!$E$9+1,1))-AVERAGE(OFFSET($H$3,0,0,'Données projet'!$E$9+1,1))</f>
        <v>199.65420589615553</v>
      </c>
      <c r="T62" s="60">
        <f t="shared" si="34"/>
        <v>477.85821088970999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0">
        <f t="shared" si="5"/>
        <v>243.71456560130966</v>
      </c>
      <c r="AN62" s="60">
        <f ca="1">AVERAGE(OFFSET($AM$3,0,0,'Données projet'!$E$10+1,1))-AVERAGE(OFFSET($H$3,0,0,'Données projet'!$E$10+1,1))</f>
        <v>199.65420589615553</v>
      </c>
      <c r="AO62" s="60">
        <f t="shared" si="36"/>
        <v>477.85821088970999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16.666666666666668</v>
      </c>
      <c r="BD62" s="13">
        <f>IF('Données projet'!$A$88&gt;35,BD61+BC62-BL61,IF(A62&lt;'Données projet'!$A$88,$BA$205^A62,IF(A62='Données projet'!$A$88,'Données projet'!$B$88,BD61+BC62-BL61)))</f>
        <v>349.33333333333326</v>
      </c>
      <c r="BE62" s="14">
        <f>BD62*VLOOKUP('Données projet'!$B$11,Paramètres!$A$1:$I$89,3,0)*VLOOKUP('Données projet'!$B$11,Paramètres!$A$1:$I$89,5,0)</f>
        <v>163.48799999999994</v>
      </c>
      <c r="BF62" s="14">
        <f t="shared" si="37"/>
        <v>41.628253379180116</v>
      </c>
      <c r="BG62" s="22">
        <f t="shared" si="7"/>
        <v>357.24414130207191</v>
      </c>
      <c r="BH62" s="60">
        <f t="shared" si="8"/>
        <v>600.95870690337961</v>
      </c>
      <c r="BI62" s="60">
        <f ca="1">AVERAGE(OFFSET($BH$3,0,0,'Données projet'!$E$11+1,1))-AVERAGE(OFFSET($H$3,0,0,'Données projet'!$E$11+1,1))</f>
        <v>374.62597460242665</v>
      </c>
      <c r="BJ62" s="60">
        <f t="shared" si="38"/>
        <v>277.50105097454616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206.60000000000008</v>
      </c>
      <c r="BZ62" s="14">
        <f>BY62*VLOOKUP('Données projet'!$B$12,Paramètres!$A$1:$I$89,3,0)*VLOOKUP('Données projet'!$B$12,Paramètres!$A$1:$I$89,5,0)</f>
        <v>186.93168000000006</v>
      </c>
      <c r="CA62" s="14">
        <f t="shared" si="39"/>
        <v>46.860949423866458</v>
      </c>
      <c r="CB62" s="22">
        <f t="shared" si="10"/>
        <v>407.18882957990081</v>
      </c>
      <c r="CC62" s="60">
        <f t="shared" si="11"/>
        <v>650.90339518120845</v>
      </c>
      <c r="CD62" s="60">
        <f ca="1">AVERAGE(OFFSET($CC$3,0,0,'Données projet'!$E$12+1,1))-AVERAGE(OFFSET($H$3,0,0,'Données projet'!$E$12+1,1))</f>
        <v>434.56763649859136</v>
      </c>
      <c r="CE62" s="60">
        <f t="shared" si="40"/>
        <v>271.90302066766264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206.60000000000008</v>
      </c>
      <c r="CU62" s="18">
        <f>CT62*VLOOKUP('Données projet'!$B$13,Paramètres!$A$1:$I$89,3,0)*VLOOKUP('Données projet'!$B$13,Paramètres!$A$1:$I$89,5,0)</f>
        <v>174.03984000000008</v>
      </c>
      <c r="CV62" s="14">
        <f t="shared" si="41"/>
        <v>43.993572916043675</v>
      </c>
      <c r="CW62" s="22">
        <f t="shared" si="13"/>
        <v>379.74152749544282</v>
      </c>
      <c r="CX62" s="60">
        <f t="shared" si="14"/>
        <v>623.45609309675046</v>
      </c>
      <c r="CY62" s="60">
        <f ca="1">AVERAGE(OFFSET($CX$3,0,0,'Données projet'!$E$13+1,1))-AVERAGE(OFFSET($H$3,0,0,'Données projet'!$E$13+1,1))</f>
        <v>411.64829629901465</v>
      </c>
      <c r="CZ62" s="60">
        <f t="shared" si="42"/>
        <v>258.66864562757917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206.60000000000008</v>
      </c>
      <c r="DP62" s="18">
        <f>DO62*VLOOKUP('Données projet'!$B$14,Paramètres!$A$1:$I$89,3,0)*VLOOKUP('Données projet'!$B$14,Paramètres!$A$1:$I$89,5,0)</f>
        <v>209.49240000000009</v>
      </c>
      <c r="DQ62" s="14">
        <f t="shared" si="43"/>
        <v>51.824646708770558</v>
      </c>
      <c r="DR62" s="22">
        <f t="shared" si="16"/>
        <v>455.12718968444216</v>
      </c>
      <c r="DS62" s="60">
        <f t="shared" si="17"/>
        <v>698.84175528574985</v>
      </c>
      <c r="DT62" s="60">
        <f ca="1">AVERAGE(OFFSET($DS$3,0,0,'Données projet'!$E$14+1,1))-AVERAGE(OFFSET($H$3,0,0,'Données projet'!$E$14+1,1))</f>
        <v>474.59791006623266</v>
      </c>
      <c r="DU62" s="60">
        <f t="shared" si="44"/>
        <v>295.01432800690293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-5.6843418860808015E-14</v>
      </c>
      <c r="EK62" s="18">
        <f>EJ62*VLOOKUP('Données projet'!$B$15,Paramètres!$A$1:$I$89,3,0)*VLOOKUP('Données projet'!$B$15,Paramètres!$A$1:$I$89,5,0)</f>
        <v>-4.9658410716801891E-14</v>
      </c>
      <c r="EL62" s="14" t="e">
        <f t="shared" si="45"/>
        <v>#NUM!</v>
      </c>
      <c r="EM62" s="22" t="e">
        <f t="shared" si="19"/>
        <v>#NUM!</v>
      </c>
      <c r="EN62" s="60" t="e">
        <f t="shared" si="20"/>
        <v>#NUM!</v>
      </c>
      <c r="EO62" s="60">
        <f ca="1">AVERAGE(OFFSET($EN$3,0,0,'Données projet'!$E$15+1,1))-AVERAGE(OFFSET($H$3,0,0,'Données projet'!$E$15+1,1))</f>
        <v>334.73467807584336</v>
      </c>
      <c r="EP62" s="60">
        <f t="shared" si="46"/>
        <v>463.8772059551726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4.7701661385817884</v>
      </c>
      <c r="EW62" s="23">
        <f>EXP(-LN(2)/25)*EW61+(1-EXP(-LN(2)/25))/(LN(2)/25)*Calculateur!ER62*Calculateur!ET62*VLOOKUP('Données projet'!$B$15,Paramètres!$A$1:$I$89,3,0)*0.475*44/12</f>
        <v>8.5307925162686402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13.300958654850429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135.66666666666666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0">
        <f t="shared" si="0"/>
        <v>244.57534029051436</v>
      </c>
      <c r="S63" s="60">
        <f ca="1">AVERAGE(OFFSET($R$3,0,0,'Données projet'!$E$9+1,1))-AVERAGE(OFFSET($H$3,0,0,'Données projet'!$E$9+1,1))</f>
        <v>199.65420589615553</v>
      </c>
      <c r="T63" s="60">
        <f t="shared" si="34"/>
        <v>477.85821088970999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0">
        <f t="shared" si="5"/>
        <v>244.57534029051436</v>
      </c>
      <c r="AN63" s="60">
        <f ca="1">AVERAGE(OFFSET($AM$3,0,0,'Données projet'!$E$10+1,1))-AVERAGE(OFFSET($H$3,0,0,'Données projet'!$E$10+1,1))</f>
        <v>199.65420589615553</v>
      </c>
      <c r="AO63" s="60">
        <f t="shared" si="36"/>
        <v>477.85821088970999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16.666666666666668</v>
      </c>
      <c r="BD63" s="13">
        <f>IF('Données projet'!$A$88&gt;35,BD62+BC63-BL62,IF(A63&lt;'Données projet'!$A$88,$BA$205^A63,IF(A63='Données projet'!$A$88,'Données projet'!$B$88,BD62+BC63-BL62)))</f>
        <v>365.99999999999994</v>
      </c>
      <c r="BE63" s="14">
        <f>BD63*VLOOKUP('Données projet'!$B$11,Paramètres!$A$1:$I$89,3,0)*VLOOKUP('Données projet'!$B$11,Paramètres!$A$1:$I$89,5,0)</f>
        <v>171.28799999999995</v>
      </c>
      <c r="BF63" s="14">
        <f t="shared" si="37"/>
        <v>43.378365895721338</v>
      </c>
      <c r="BG63" s="22">
        <f t="shared" si="7"/>
        <v>373.87725393504792</v>
      </c>
      <c r="BH63" s="60">
        <f t="shared" si="8"/>
        <v>618.45259422556023</v>
      </c>
      <c r="BI63" s="60">
        <f ca="1">AVERAGE(OFFSET($BH$3,0,0,'Données projet'!$E$11+1,1))-AVERAGE(OFFSET($H$3,0,0,'Données projet'!$E$11+1,1))</f>
        <v>374.62597460242665</v>
      </c>
      <c r="BJ63" s="60">
        <f t="shared" si="38"/>
        <v>277.50105097454616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214.00000000000009</v>
      </c>
      <c r="BZ63" s="14">
        <f>BY63*VLOOKUP('Données projet'!$B$12,Paramètres!$A$1:$I$89,3,0)*VLOOKUP('Données projet'!$B$12,Paramètres!$A$1:$I$89,5,0)</f>
        <v>193.62720000000007</v>
      </c>
      <c r="CA63" s="14">
        <f t="shared" si="39"/>
        <v>48.340990547231236</v>
      </c>
      <c r="CB63" s="22">
        <f t="shared" si="10"/>
        <v>421.42793186976115</v>
      </c>
      <c r="CC63" s="60">
        <f t="shared" si="11"/>
        <v>666.00327216027358</v>
      </c>
      <c r="CD63" s="60">
        <f ca="1">AVERAGE(OFFSET($CC$3,0,0,'Données projet'!$E$12+1,1))-AVERAGE(OFFSET($H$3,0,0,'Données projet'!$E$12+1,1))</f>
        <v>434.56763649859136</v>
      </c>
      <c r="CE63" s="60">
        <f t="shared" si="40"/>
        <v>271.90302066766264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214.00000000000009</v>
      </c>
      <c r="CU63" s="18">
        <f>CT63*VLOOKUP('Données projet'!$B$13,Paramètres!$A$1:$I$89,3,0)*VLOOKUP('Données projet'!$B$13,Paramètres!$A$1:$I$89,5,0)</f>
        <v>180.2736000000001</v>
      </c>
      <c r="CV63" s="14">
        <f t="shared" si="41"/>
        <v>45.38305174393809</v>
      </c>
      <c r="CW63" s="22">
        <f t="shared" si="13"/>
        <v>393.01866845402566</v>
      </c>
      <c r="CX63" s="60">
        <f t="shared" si="14"/>
        <v>637.59400874453809</v>
      </c>
      <c r="CY63" s="60">
        <f ca="1">AVERAGE(OFFSET($CX$3,0,0,'Données projet'!$E$13+1,1))-AVERAGE(OFFSET($H$3,0,0,'Données projet'!$E$13+1,1))</f>
        <v>411.64829629901465</v>
      </c>
      <c r="CZ63" s="60">
        <f t="shared" si="42"/>
        <v>258.66864562757917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214.00000000000009</v>
      </c>
      <c r="DP63" s="18">
        <f>DO63*VLOOKUP('Données projet'!$B$14,Paramètres!$A$1:$I$89,3,0)*VLOOKUP('Données projet'!$B$14,Paramètres!$A$1:$I$89,5,0)</f>
        <v>216.99600000000009</v>
      </c>
      <c r="DQ63" s="14">
        <f t="shared" si="43"/>
        <v>53.461459647386917</v>
      </c>
      <c r="DR63" s="22">
        <f t="shared" si="16"/>
        <v>471.04674221919907</v>
      </c>
      <c r="DS63" s="60">
        <f t="shared" si="17"/>
        <v>715.62208250971139</v>
      </c>
      <c r="DT63" s="60">
        <f ca="1">AVERAGE(OFFSET($DS$3,0,0,'Données projet'!$E$14+1,1))-AVERAGE(OFFSET($H$3,0,0,'Données projet'!$E$14+1,1))</f>
        <v>474.59791006623266</v>
      </c>
      <c r="DU63" s="60">
        <f t="shared" si="44"/>
        <v>295.01432800690293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-5.6843418860808015E-14</v>
      </c>
      <c r="EK63" s="18">
        <f>EJ63*VLOOKUP('Données projet'!$B$15,Paramètres!$A$1:$I$89,3,0)*VLOOKUP('Données projet'!$B$15,Paramètres!$A$1:$I$89,5,0)</f>
        <v>-4.9658410716801891E-14</v>
      </c>
      <c r="EL63" s="14" t="e">
        <f t="shared" si="45"/>
        <v>#NUM!</v>
      </c>
      <c r="EM63" s="22" t="e">
        <f t="shared" si="19"/>
        <v>#NUM!</v>
      </c>
      <c r="EN63" s="60" t="e">
        <f t="shared" si="20"/>
        <v>#NUM!</v>
      </c>
      <c r="EO63" s="60">
        <f ca="1">AVERAGE(OFFSET($EN$3,0,0,'Données projet'!$E$15+1,1))-AVERAGE(OFFSET($H$3,0,0,'Données projet'!$E$15+1,1))</f>
        <v>334.73467807584336</v>
      </c>
      <c r="EP63" s="60">
        <f t="shared" si="46"/>
        <v>463.8772059551726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4.676626090118253</v>
      </c>
      <c r="EW63" s="23">
        <f>EXP(-LN(2)/25)*EW62+(1-EXP(-LN(2)/25))/(LN(2)/25)*Calculateur!ER63*Calculateur!ET63*VLOOKUP('Données projet'!$B$15,Paramètres!$A$1:$I$89,3,0)*0.475*44/12</f>
        <v>8.2975175462963939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12.974143636414647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135.66666666666666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0">
        <f t="shared" si="0"/>
        <v>245.42118246326521</v>
      </c>
      <c r="S64" s="60">
        <f ca="1">AVERAGE(OFFSET($R$3,0,0,'Données projet'!$E$9+1,1))-AVERAGE(OFFSET($H$3,0,0,'Données projet'!$E$9+1,1))</f>
        <v>199.65420589615553</v>
      </c>
      <c r="T64" s="60">
        <f t="shared" si="34"/>
        <v>477.85821088970999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0">
        <f t="shared" si="5"/>
        <v>245.42118246326521</v>
      </c>
      <c r="AN64" s="60">
        <f ca="1">AVERAGE(OFFSET($AM$3,0,0,'Données projet'!$E$10+1,1))-AVERAGE(OFFSET($H$3,0,0,'Données projet'!$E$10+1,1))</f>
        <v>199.65420589615553</v>
      </c>
      <c r="AO64" s="60">
        <f t="shared" si="36"/>
        <v>477.85821088970999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16.666666666666668</v>
      </c>
      <c r="BD64" s="13">
        <f>IF('Données projet'!$A$88&gt;35,BD63+BC64-BL63,IF(A64&lt;'Données projet'!$A$88,$BA$205^A64,IF(A64='Données projet'!$A$88,'Données projet'!$B$88,BD63+BC64-BL63)))</f>
        <v>382.66666666666663</v>
      </c>
      <c r="BE64" s="14">
        <f>BD64*VLOOKUP('Données projet'!$B$11,Paramètres!$A$1:$I$89,3,0)*VLOOKUP('Données projet'!$B$11,Paramètres!$A$1:$I$89,5,0)</f>
        <v>179.08799999999999</v>
      </c>
      <c r="BF64" s="14">
        <f t="shared" si="37"/>
        <v>45.119223023956835</v>
      </c>
      <c r="BG64" s="22">
        <f t="shared" si="7"/>
        <v>390.49424676672476</v>
      </c>
      <c r="BH64" s="60">
        <f t="shared" si="8"/>
        <v>635.91542922998792</v>
      </c>
      <c r="BI64" s="60">
        <f ca="1">AVERAGE(OFFSET($BH$3,0,0,'Données projet'!$E$11+1,1))-AVERAGE(OFFSET($H$3,0,0,'Données projet'!$E$11+1,1))</f>
        <v>374.62597460242665</v>
      </c>
      <c r="BJ64" s="60">
        <f t="shared" si="38"/>
        <v>277.50105097454616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200.20000000000007</v>
      </c>
      <c r="BZ64" s="14">
        <f>BY64*VLOOKUP('Données projet'!$B$12,Paramètres!$A$1:$I$89,3,0)*VLOOKUP('Données projet'!$B$12,Paramètres!$A$1:$I$89,5,0)</f>
        <v>181.14096000000006</v>
      </c>
      <c r="CA64" s="14">
        <f t="shared" si="39"/>
        <v>45.575935320610981</v>
      </c>
      <c r="CB64" s="22">
        <f t="shared" si="10"/>
        <v>394.86525935006421</v>
      </c>
      <c r="CC64" s="60">
        <f t="shared" si="11"/>
        <v>640.28644181332743</v>
      </c>
      <c r="CD64" s="60">
        <f ca="1">AVERAGE(OFFSET($CC$3,0,0,'Données projet'!$E$12+1,1))-AVERAGE(OFFSET($H$3,0,0,'Données projet'!$E$12+1,1))</f>
        <v>434.56763649859136</v>
      </c>
      <c r="CE64" s="60">
        <f t="shared" si="40"/>
        <v>271.90302066766264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200.20000000000007</v>
      </c>
      <c r="CU64" s="18">
        <f>CT64*VLOOKUP('Données projet'!$B$13,Paramètres!$A$1:$I$89,3,0)*VLOOKUP('Données projet'!$B$13,Paramètres!$A$1:$I$89,5,0)</f>
        <v>168.64848000000009</v>
      </c>
      <c r="CV64" s="14">
        <f t="shared" si="41"/>
        <v>42.787187592127886</v>
      </c>
      <c r="CW64" s="22">
        <f t="shared" si="13"/>
        <v>368.2504543896228</v>
      </c>
      <c r="CX64" s="60">
        <f t="shared" si="14"/>
        <v>613.67163685288597</v>
      </c>
      <c r="CY64" s="60">
        <f ca="1">AVERAGE(OFFSET($CX$3,0,0,'Données projet'!$E$13+1,1))-AVERAGE(OFFSET($H$3,0,0,'Données projet'!$E$13+1,1))</f>
        <v>411.64829629901465</v>
      </c>
      <c r="CZ64" s="60">
        <f t="shared" si="42"/>
        <v>258.66864562757917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200.20000000000007</v>
      </c>
      <c r="DP64" s="18">
        <f>DO64*VLOOKUP('Données projet'!$B$14,Paramètres!$A$1:$I$89,3,0)*VLOOKUP('Données projet'!$B$14,Paramètres!$A$1:$I$89,5,0)</f>
        <v>203.00280000000009</v>
      </c>
      <c r="DQ64" s="14">
        <f t="shared" si="43"/>
        <v>50.403518824343074</v>
      </c>
      <c r="DR64" s="22">
        <f t="shared" si="16"/>
        <v>441.34933861906433</v>
      </c>
      <c r="DS64" s="60">
        <f t="shared" si="17"/>
        <v>686.7705210823276</v>
      </c>
      <c r="DT64" s="60">
        <f ca="1">AVERAGE(OFFSET($DS$3,0,0,'Données projet'!$E$14+1,1))-AVERAGE(OFFSET($H$3,0,0,'Données projet'!$E$14+1,1))</f>
        <v>474.59791006623266</v>
      </c>
      <c r="DU64" s="60">
        <f t="shared" si="44"/>
        <v>295.01432800690293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-5.6843418860808015E-14</v>
      </c>
      <c r="EK64" s="18">
        <f>EJ64*VLOOKUP('Données projet'!$B$15,Paramètres!$A$1:$I$89,3,0)*VLOOKUP('Données projet'!$B$15,Paramètres!$A$1:$I$89,5,0)</f>
        <v>-4.9658410716801891E-14</v>
      </c>
      <c r="EL64" s="14" t="e">
        <f t="shared" si="45"/>
        <v>#NUM!</v>
      </c>
      <c r="EM64" s="22" t="e">
        <f t="shared" si="19"/>
        <v>#NUM!</v>
      </c>
      <c r="EN64" s="60" t="e">
        <f t="shared" si="20"/>
        <v>#NUM!</v>
      </c>
      <c r="EO64" s="60">
        <f ca="1">AVERAGE(OFFSET($EN$3,0,0,'Données projet'!$E$15+1,1))-AVERAGE(OFFSET($H$3,0,0,'Données projet'!$E$15+1,1))</f>
        <v>334.73467807584336</v>
      </c>
      <c r="EP64" s="60">
        <f t="shared" si="46"/>
        <v>463.8772059551726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4.5849203049512921</v>
      </c>
      <c r="EW64" s="23">
        <f>EXP(-LN(2)/25)*EW63+(1-EXP(-LN(2)/25))/(LN(2)/25)*Calculateur!ER64*Calculateur!ET64*VLOOKUP('Données projet'!$B$15,Paramètres!$A$1:$I$89,3,0)*0.475*44/12</f>
        <v>8.0706214926454347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12.655541797596726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135.66666666666666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0">
        <f t="shared" si="0"/>
        <v>246.25235116533867</v>
      </c>
      <c r="S65" s="60">
        <f ca="1">AVERAGE(OFFSET($R$3,0,0,'Données projet'!$E$9+1,1))-AVERAGE(OFFSET($H$3,0,0,'Données projet'!$E$9+1,1))</f>
        <v>199.65420589615553</v>
      </c>
      <c r="T65" s="60">
        <f t="shared" si="34"/>
        <v>477.85821088970999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0">
        <f t="shared" si="5"/>
        <v>246.25235116533867</v>
      </c>
      <c r="AN65" s="60">
        <f ca="1">AVERAGE(OFFSET($AM$3,0,0,'Données projet'!$E$10+1,1))-AVERAGE(OFFSET($H$3,0,0,'Données projet'!$E$10+1,1))</f>
        <v>199.65420589615553</v>
      </c>
      <c r="AO65" s="60">
        <f t="shared" si="36"/>
        <v>477.85821088970999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16.666666666666668</v>
      </c>
      <c r="BD65" s="13">
        <f>IF('Données projet'!$A$88&gt;35,BD64+BC65-BL64,IF(A65&lt;'Données projet'!$A$88,$BA$205^A65,IF(A65='Données projet'!$A$88,'Données projet'!$B$88,BD64+BC65-BL64)))</f>
        <v>399.33333333333331</v>
      </c>
      <c r="BE65" s="14">
        <f>BD65*VLOOKUP('Données projet'!$B$11,Paramètres!$A$1:$I$89,3,0)*VLOOKUP('Données projet'!$B$11,Paramètres!$A$1:$I$89,5,0)</f>
        <v>186.88800000000001</v>
      </c>
      <c r="BF65" s="14">
        <f t="shared" si="37"/>
        <v>46.851273946133198</v>
      </c>
      <c r="BG65" s="22">
        <f t="shared" si="7"/>
        <v>407.09590212284866</v>
      </c>
      <c r="BH65" s="60">
        <f t="shared" si="8"/>
        <v>653.34825328818533</v>
      </c>
      <c r="BI65" s="60">
        <f ca="1">AVERAGE(OFFSET($BH$3,0,0,'Données projet'!$E$11+1,1))-AVERAGE(OFFSET($H$3,0,0,'Données projet'!$E$11+1,1))</f>
        <v>374.62597460242665</v>
      </c>
      <c r="BJ65" s="60">
        <f t="shared" si="38"/>
        <v>277.50105097454616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207.40000000000006</v>
      </c>
      <c r="BZ65" s="14">
        <f>BY65*VLOOKUP('Données projet'!$B$12,Paramètres!$A$1:$I$89,3,0)*VLOOKUP('Données projet'!$B$12,Paramètres!$A$1:$I$89,5,0)</f>
        <v>187.65552000000005</v>
      </c>
      <c r="CA65" s="14">
        <f t="shared" si="39"/>
        <v>47.021247649900147</v>
      </c>
      <c r="CB65" s="22">
        <f t="shared" si="10"/>
        <v>408.72870365690954</v>
      </c>
      <c r="CC65" s="60">
        <f t="shared" si="11"/>
        <v>654.98105482224628</v>
      </c>
      <c r="CD65" s="60">
        <f ca="1">AVERAGE(OFFSET($CC$3,0,0,'Données projet'!$E$12+1,1))-AVERAGE(OFFSET($H$3,0,0,'Données projet'!$E$12+1,1))</f>
        <v>434.56763649859136</v>
      </c>
      <c r="CE65" s="60">
        <f t="shared" si="40"/>
        <v>271.90302066766264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207.40000000000006</v>
      </c>
      <c r="CU65" s="18">
        <f>CT65*VLOOKUP('Données projet'!$B$13,Paramètres!$A$1:$I$89,3,0)*VLOOKUP('Données projet'!$B$13,Paramètres!$A$1:$I$89,5,0)</f>
        <v>174.71376000000006</v>
      </c>
      <c r="CV65" s="14">
        <f t="shared" si="41"/>
        <v>44.144062647515817</v>
      </c>
      <c r="CW65" s="22">
        <f t="shared" si="13"/>
        <v>381.17737444442355</v>
      </c>
      <c r="CX65" s="60">
        <f t="shared" si="14"/>
        <v>627.42972560976023</v>
      </c>
      <c r="CY65" s="60">
        <f ca="1">AVERAGE(OFFSET($CX$3,0,0,'Données projet'!$E$13+1,1))-AVERAGE(OFFSET($H$3,0,0,'Données projet'!$E$13+1,1))</f>
        <v>411.64829629901465</v>
      </c>
      <c r="CZ65" s="60">
        <f t="shared" si="42"/>
        <v>258.66864562757917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207.40000000000006</v>
      </c>
      <c r="DP65" s="18">
        <f>DO65*VLOOKUP('Données projet'!$B$14,Paramètres!$A$1:$I$89,3,0)*VLOOKUP('Données projet'!$B$14,Paramètres!$A$1:$I$89,5,0)</f>
        <v>210.3036000000001</v>
      </c>
      <c r="DQ65" s="14">
        <f t="shared" si="43"/>
        <v>52.001924357524501</v>
      </c>
      <c r="DR65" s="22">
        <f t="shared" si="16"/>
        <v>456.84878825602203</v>
      </c>
      <c r="DS65" s="60">
        <f t="shared" si="17"/>
        <v>703.10113942135877</v>
      </c>
      <c r="DT65" s="60">
        <f ca="1">AVERAGE(OFFSET($DS$3,0,0,'Données projet'!$E$14+1,1))-AVERAGE(OFFSET($H$3,0,0,'Données projet'!$E$14+1,1))</f>
        <v>474.59791006623266</v>
      </c>
      <c r="DU65" s="60">
        <f t="shared" si="44"/>
        <v>295.01432800690293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-5.6843418860808015E-14</v>
      </c>
      <c r="EK65" s="18">
        <f>EJ65*VLOOKUP('Données projet'!$B$15,Paramètres!$A$1:$I$89,3,0)*VLOOKUP('Données projet'!$B$15,Paramètres!$A$1:$I$89,5,0)</f>
        <v>-4.9658410716801891E-14</v>
      </c>
      <c r="EL65" s="14" t="e">
        <f t="shared" si="45"/>
        <v>#NUM!</v>
      </c>
      <c r="EM65" s="22" t="e">
        <f t="shared" si="19"/>
        <v>#NUM!</v>
      </c>
      <c r="EN65" s="60" t="e">
        <f t="shared" si="20"/>
        <v>#NUM!</v>
      </c>
      <c r="EO65" s="60">
        <f ca="1">AVERAGE(OFFSET($EN$3,0,0,'Données projet'!$E$15+1,1))-AVERAGE(OFFSET($H$3,0,0,'Données projet'!$E$15+1,1))</f>
        <v>334.73467807584336</v>
      </c>
      <c r="EP65" s="60">
        <f t="shared" si="46"/>
        <v>463.8772059551726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4.4950128142964489</v>
      </c>
      <c r="EW65" s="23">
        <f>EXP(-LN(2)/25)*EW64+(1-EXP(-LN(2)/25))/(LN(2)/25)*Calculateur!ER65*Calculateur!ET65*VLOOKUP('Données projet'!$B$15,Paramètres!$A$1:$I$89,3,0)*0.475*44/12</f>
        <v>7.8499299235135069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12.344942737809955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135.66666666666666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0">
        <f t="shared" si="0"/>
        <v>247.06910094864597</v>
      </c>
      <c r="S66" s="60">
        <f ca="1">AVERAGE(OFFSET($R$3,0,0,'Données projet'!$E$9+1,1))-AVERAGE(OFFSET($H$3,0,0,'Données projet'!$E$9+1,1))</f>
        <v>199.65420589615553</v>
      </c>
      <c r="T66" s="60">
        <f t="shared" si="34"/>
        <v>477.85821088970999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0">
        <f t="shared" si="5"/>
        <v>247.06910094864597</v>
      </c>
      <c r="AN66" s="60">
        <f ca="1">AVERAGE(OFFSET($AM$3,0,0,'Données projet'!$E$10+1,1))-AVERAGE(OFFSET($H$3,0,0,'Données projet'!$E$10+1,1))</f>
        <v>199.65420589615553</v>
      </c>
      <c r="AO66" s="60">
        <f t="shared" si="36"/>
        <v>477.85821088970999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416</v>
      </c>
      <c r="BB66" s="13">
        <f>VLOOKUP(A66,'Données projet'!$A$87:$I$107,9,0)</f>
        <v>16.666666666666668</v>
      </c>
      <c r="BC66" s="13">
        <f t="array" ref="BC66">INDEX(BB:BB,MIN(IF(ISNUMBER(BB66:BB262),ROW(BB66:BB262),"")))</f>
        <v>16.666666666666668</v>
      </c>
      <c r="BD66" s="13">
        <f>IF('Données projet'!$A$88&gt;35,BD65+BC66-BL65,IF(A66&lt;'Données projet'!$A$88,$BA$205^A66,IF(A66='Données projet'!$A$88,'Données projet'!$B$88,BD65+BC66-BL65)))</f>
        <v>416</v>
      </c>
      <c r="BE66" s="14">
        <f>BD66*VLOOKUP('Données projet'!$B$11,Paramètres!$A$1:$I$89,3,0)*VLOOKUP('Données projet'!$B$11,Paramètres!$A$1:$I$89,5,0)</f>
        <v>194.68799999999999</v>
      </c>
      <c r="BF66" s="14">
        <f t="shared" si="37"/>
        <v>48.574928228914978</v>
      </c>
      <c r="BG66" s="22">
        <f t="shared" si="7"/>
        <v>423.68293333202695</v>
      </c>
      <c r="BH66" s="60">
        <f t="shared" si="8"/>
        <v>670.75203428067096</v>
      </c>
      <c r="BI66" s="60">
        <f ca="1">AVERAGE(OFFSET($BH$3,0,0,'Données projet'!$E$11+1,1))-AVERAGE(OFFSET($H$3,0,0,'Données projet'!$E$11+1,1))</f>
        <v>374.62597460242665</v>
      </c>
      <c r="BJ66" s="60">
        <f t="shared" si="38"/>
        <v>277.50105097454616</v>
      </c>
      <c r="BK66" s="16">
        <f>IF(ISNA(VLOOKUP(A66,'Données projet'!$A$87:$I$107,3,0)),0,VLOOKUP(A66,'Données projet'!$A$87:$I$107,3,0))</f>
        <v>9</v>
      </c>
      <c r="BL66" s="16">
        <f>IF(ISNA(VLOOKUP(A66,'Données projet'!$A$87:$I$107,4,0)),0,VLOOKUP(A66,'Données projet'!$A$87:$I$107,4,0))</f>
        <v>79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214.60000000000005</v>
      </c>
      <c r="BZ66" s="14">
        <f>BY66*VLOOKUP('Données projet'!$B$12,Paramètres!$A$1:$I$89,3,0)*VLOOKUP('Données projet'!$B$12,Paramètres!$A$1:$I$89,5,0)</f>
        <v>194.17008000000004</v>
      </c>
      <c r="CA66" s="14">
        <f t="shared" si="39"/>
        <v>48.460730182351078</v>
      </c>
      <c r="CB66" s="22">
        <f t="shared" si="10"/>
        <v>422.58199440092818</v>
      </c>
      <c r="CC66" s="60">
        <f t="shared" si="11"/>
        <v>669.65109534957219</v>
      </c>
      <c r="CD66" s="60">
        <f ca="1">AVERAGE(OFFSET($CC$3,0,0,'Données projet'!$E$12+1,1))-AVERAGE(OFFSET($H$3,0,0,'Données projet'!$E$12+1,1))</f>
        <v>434.56763649859136</v>
      </c>
      <c r="CE66" s="60">
        <f t="shared" si="40"/>
        <v>271.90302066766264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214.60000000000005</v>
      </c>
      <c r="CU66" s="18">
        <f>CT66*VLOOKUP('Données projet'!$B$13,Paramètres!$A$1:$I$89,3,0)*VLOOKUP('Données projet'!$B$13,Paramètres!$A$1:$I$89,5,0)</f>
        <v>180.77904000000004</v>
      </c>
      <c r="CV66" s="14">
        <f t="shared" si="41"/>
        <v>45.495464625737284</v>
      </c>
      <c r="CW66" s="22">
        <f t="shared" si="13"/>
        <v>394.09476222315919</v>
      </c>
      <c r="CX66" s="60">
        <f t="shared" si="14"/>
        <v>641.1638631718032</v>
      </c>
      <c r="CY66" s="60">
        <f ca="1">AVERAGE(OFFSET($CX$3,0,0,'Données projet'!$E$13+1,1))-AVERAGE(OFFSET($H$3,0,0,'Données projet'!$E$13+1,1))</f>
        <v>411.64829629901465</v>
      </c>
      <c r="CZ66" s="60">
        <f t="shared" si="42"/>
        <v>258.66864562757917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214.60000000000005</v>
      </c>
      <c r="DP66" s="18">
        <f>DO66*VLOOKUP('Données projet'!$B$14,Paramètres!$A$1:$I$89,3,0)*VLOOKUP('Données projet'!$B$14,Paramètres!$A$1:$I$89,5,0)</f>
        <v>217.60440000000006</v>
      </c>
      <c r="DQ66" s="14">
        <f t="shared" si="43"/>
        <v>53.593882578706406</v>
      </c>
      <c r="DR66" s="22">
        <f t="shared" si="16"/>
        <v>472.33700882458038</v>
      </c>
      <c r="DS66" s="60">
        <f t="shared" si="17"/>
        <v>719.40610977322433</v>
      </c>
      <c r="DT66" s="60">
        <f ca="1">AVERAGE(OFFSET($DS$3,0,0,'Données projet'!$E$14+1,1))-AVERAGE(OFFSET($H$3,0,0,'Données projet'!$E$14+1,1))</f>
        <v>474.59791006623266</v>
      </c>
      <c r="DU66" s="60">
        <f t="shared" si="44"/>
        <v>295.01432800690293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-5.6843418860808015E-14</v>
      </c>
      <c r="EK66" s="18">
        <f>EJ66*VLOOKUP('Données projet'!$B$15,Paramètres!$A$1:$I$89,3,0)*VLOOKUP('Données projet'!$B$15,Paramètres!$A$1:$I$89,5,0)</f>
        <v>-4.9658410716801891E-14</v>
      </c>
      <c r="EL66" s="14" t="e">
        <f t="shared" si="45"/>
        <v>#NUM!</v>
      </c>
      <c r="EM66" s="22" t="e">
        <f t="shared" si="19"/>
        <v>#NUM!</v>
      </c>
      <c r="EN66" s="60" t="e">
        <f t="shared" si="20"/>
        <v>#NUM!</v>
      </c>
      <c r="EO66" s="60">
        <f ca="1">AVERAGE(OFFSET($EN$3,0,0,'Données projet'!$E$15+1,1))-AVERAGE(OFFSET($H$3,0,0,'Données projet'!$E$15+1,1))</f>
        <v>334.73467807584336</v>
      </c>
      <c r="EP66" s="60">
        <f t="shared" si="46"/>
        <v>463.8772059551726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4.4068683546951934</v>
      </c>
      <c r="EW66" s="23">
        <f>EXP(-LN(2)/25)*EW65+(1-EXP(-LN(2)/25))/(LN(2)/25)*Calculateur!ER66*Calculateur!ET66*VLOOKUP('Données projet'!$B$15,Paramètres!$A$1:$I$89,3,0)*0.475*44/12</f>
        <v>7.6352731769451569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12.04214153164035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135.66666666666666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0">
        <f t="shared" ref="R67:R130" si="55">Q67+(I67+J67)*44/12</f>
        <v>247.87168194919181</v>
      </c>
      <c r="S67" s="60">
        <f ca="1">AVERAGE(OFFSET($R$3,0,0,'Données projet'!$E$9+1,1))-AVERAGE(OFFSET($H$3,0,0,'Données projet'!$E$9+1,1))</f>
        <v>199.65420589615553</v>
      </c>
      <c r="T67" s="60">
        <f t="shared" si="34"/>
        <v>477.85821088970999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0">
        <f t="shared" si="5"/>
        <v>247.87168194919181</v>
      </c>
      <c r="AN67" s="60">
        <f ca="1">AVERAGE(OFFSET($AM$3,0,0,'Données projet'!$E$10+1,1))-AVERAGE(OFFSET($H$3,0,0,'Données projet'!$E$10+1,1))</f>
        <v>199.65420589615553</v>
      </c>
      <c r="AO67" s="60">
        <f t="shared" si="36"/>
        <v>477.85821088970999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353</v>
      </c>
      <c r="BB67" s="13">
        <f>VLOOKUP(A67,'Données projet'!$A$87:$I$107,9,0)</f>
        <v>16</v>
      </c>
      <c r="BC67" s="13">
        <f t="array" ref="BC67">INDEX(BB:BB,MIN(IF(ISNUMBER(BB67:BB263),ROW(BB67:BB263),"")))</f>
        <v>16</v>
      </c>
      <c r="BD67" s="13">
        <f>IF('Données projet'!$A$88&gt;35,BD66+BC67-BL66,IF(A67&lt;'Données projet'!$A$88,$BA$205^A67,IF(A67='Données projet'!$A$88,'Données projet'!$B$88,BD66+BC67-BL66)))</f>
        <v>353</v>
      </c>
      <c r="BE67" s="14">
        <f>BD67*VLOOKUP('Données projet'!$B$11,Paramètres!$A$1:$I$89,3,0)*VLOOKUP('Données projet'!$B$11,Paramètres!$A$1:$I$89,5,0)</f>
        <v>165.20400000000001</v>
      </c>
      <c r="BF67" s="14">
        <f t="shared" si="37"/>
        <v>42.01409666579589</v>
      </c>
      <c r="BG67" s="22">
        <f t="shared" si="7"/>
        <v>360.90485169292782</v>
      </c>
      <c r="BH67" s="60">
        <f t="shared" si="8"/>
        <v>608.77653364211767</v>
      </c>
      <c r="BI67" s="60">
        <f ca="1">AVERAGE(OFFSET($BH$3,0,0,'Données projet'!$E$11+1,1))-AVERAGE(OFFSET($H$3,0,0,'Données projet'!$E$11+1,1))</f>
        <v>374.62597460242665</v>
      </c>
      <c r="BJ67" s="60">
        <f t="shared" si="38"/>
        <v>277.50105097454616</v>
      </c>
      <c r="BK67" s="16">
        <f>IF(ISNA(VLOOKUP(A67,'Données projet'!$A$87:$I$107,3,0)),0,VLOOKUP(A67,'Données projet'!$A$87:$I$107,3,0))</f>
        <v>10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221.80000000000004</v>
      </c>
      <c r="BZ67" s="14">
        <f>BY67*VLOOKUP('Données projet'!$B$12,Paramètres!$A$1:$I$89,3,0)*VLOOKUP('Données projet'!$B$12,Paramètres!$A$1:$I$89,5,0)</f>
        <v>200.68464</v>
      </c>
      <c r="CA67" s="14">
        <f t="shared" si="39"/>
        <v>49.894600936700193</v>
      </c>
      <c r="CB67" s="22">
        <f t="shared" si="10"/>
        <v>436.42551129808612</v>
      </c>
      <c r="CC67" s="60">
        <f t="shared" si="11"/>
        <v>684.29719324727591</v>
      </c>
      <c r="CD67" s="60">
        <f ca="1">AVERAGE(OFFSET($CC$3,0,0,'Données projet'!$E$12+1,1))-AVERAGE(OFFSET($H$3,0,0,'Données projet'!$E$12+1,1))</f>
        <v>434.56763649859136</v>
      </c>
      <c r="CE67" s="60">
        <f t="shared" si="40"/>
        <v>271.90302066766264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221.80000000000004</v>
      </c>
      <c r="CU67" s="18">
        <f>CT67*VLOOKUP('Données projet'!$B$13,Paramètres!$A$1:$I$89,3,0)*VLOOKUP('Données projet'!$B$13,Paramètres!$A$1:$I$89,5,0)</f>
        <v>186.84432000000007</v>
      </c>
      <c r="CV67" s="14">
        <f t="shared" si="41"/>
        <v>46.841598205171657</v>
      </c>
      <c r="CW67" s="22">
        <f t="shared" si="13"/>
        <v>407.00297420734074</v>
      </c>
      <c r="CX67" s="60">
        <f t="shared" si="14"/>
        <v>654.87465615653059</v>
      </c>
      <c r="CY67" s="60">
        <f ca="1">AVERAGE(OFFSET($CX$3,0,0,'Données projet'!$E$13+1,1))-AVERAGE(OFFSET($H$3,0,0,'Données projet'!$E$13+1,1))</f>
        <v>411.64829629901465</v>
      </c>
      <c r="CZ67" s="60">
        <f t="shared" si="42"/>
        <v>258.66864562757917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221.80000000000004</v>
      </c>
      <c r="DP67" s="18">
        <f>DO67*VLOOKUP('Données projet'!$B$14,Paramètres!$A$1:$I$89,3,0)*VLOOKUP('Données projet'!$B$14,Paramètres!$A$1:$I$89,5,0)</f>
        <v>224.90520000000006</v>
      </c>
      <c r="DQ67" s="14">
        <f t="shared" si="43"/>
        <v>55.17963460003309</v>
      </c>
      <c r="DR67" s="22">
        <f t="shared" si="16"/>
        <v>487.81442026172436</v>
      </c>
      <c r="DS67" s="60">
        <f t="shared" si="17"/>
        <v>735.68610221091421</v>
      </c>
      <c r="DT67" s="60">
        <f ca="1">AVERAGE(OFFSET($DS$3,0,0,'Données projet'!$E$14+1,1))-AVERAGE(OFFSET($H$3,0,0,'Données projet'!$E$14+1,1))</f>
        <v>474.59791006623266</v>
      </c>
      <c r="DU67" s="60">
        <f t="shared" si="44"/>
        <v>295.01432800690293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-5.6843418860808015E-14</v>
      </c>
      <c r="EK67" s="18">
        <f>EJ67*VLOOKUP('Données projet'!$B$15,Paramètres!$A$1:$I$89,3,0)*VLOOKUP('Données projet'!$B$15,Paramètres!$A$1:$I$89,5,0)</f>
        <v>-4.9658410716801891E-14</v>
      </c>
      <c r="EL67" s="14" t="e">
        <f t="shared" si="45"/>
        <v>#NUM!</v>
      </c>
      <c r="EM67" s="22" t="e">
        <f t="shared" si="19"/>
        <v>#NUM!</v>
      </c>
      <c r="EN67" s="60" t="e">
        <f t="shared" si="20"/>
        <v>#NUM!</v>
      </c>
      <c r="EO67" s="60">
        <f ca="1">AVERAGE(OFFSET($EN$3,0,0,'Données projet'!$E$15+1,1))-AVERAGE(OFFSET($H$3,0,0,'Données projet'!$E$15+1,1))</f>
        <v>334.73467807584336</v>
      </c>
      <c r="EP67" s="60">
        <f t="shared" si="46"/>
        <v>463.8772059551726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4.3204523541839066</v>
      </c>
      <c r="EW67" s="23">
        <f>EXP(-LN(2)/25)*EW66+(1-EXP(-LN(2)/25))/(LN(2)/25)*Calculateur!ER67*Calculateur!ET67*VLOOKUP('Données projet'!$B$15,Paramètres!$A$1:$I$89,3,0)*0.475*44/12</f>
        <v>7.4264862304000259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11.746938584583933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135.66666666666666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0">
        <f t="shared" si="55"/>
        <v>248.66033996368054</v>
      </c>
      <c r="S68" s="60">
        <f ca="1">AVERAGE(OFFSET($R$3,0,0,'Données projet'!$E$9+1,1))-AVERAGE(OFFSET($H$3,0,0,'Données projet'!$E$9+1,1))</f>
        <v>199.65420589615553</v>
      </c>
      <c r="T68" s="60">
        <f t="shared" si="34"/>
        <v>477.85821088970999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0">
        <f t="shared" ref="AM68:AM131" si="59">AL68+(AD68+AE68)*44/12</f>
        <v>248.66033996368054</v>
      </c>
      <c r="AN68" s="60">
        <f ca="1">AVERAGE(OFFSET($AM$3,0,0,'Données projet'!$E$10+1,1))-AVERAGE(OFFSET($H$3,0,0,'Données projet'!$E$10+1,1))</f>
        <v>199.65420589615553</v>
      </c>
      <c r="AO68" s="60">
        <f t="shared" si="36"/>
        <v>477.85821088970999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16.142857142857142</v>
      </c>
      <c r="BD68" s="13">
        <f>IF('Données projet'!$A$88&gt;35,BD67+BC68-BL67,IF(A68&lt;'Données projet'!$A$88,$BA$205^A68,IF(A68='Données projet'!$A$88,'Données projet'!$B$88,BD67+BC68-BL67)))</f>
        <v>369.14285714285717</v>
      </c>
      <c r="BE68" s="14">
        <f>BD68*VLOOKUP('Données projet'!$B$11,Paramètres!$A$1:$I$89,3,0)*VLOOKUP('Données projet'!$B$11,Paramètres!$A$1:$I$89,5,0)</f>
        <v>172.75885714285715</v>
      </c>
      <c r="BF68" s="14">
        <f t="shared" si="37"/>
        <v>43.707335703690283</v>
      </c>
      <c r="BG68" s="22">
        <f t="shared" ref="BG68:BG131" si="61">(BE68+BF68)*0.475*44/12</f>
        <v>377.01195254107012</v>
      </c>
      <c r="BH68" s="60">
        <f t="shared" ref="BH68:BH131" si="62">BG68+(AY68+AZ68)*44/12</f>
        <v>625.67229250474861</v>
      </c>
      <c r="BI68" s="60">
        <f ca="1">AVERAGE(OFFSET($BH$3,0,0,'Données projet'!$E$11+1,1))-AVERAGE(OFFSET($H$3,0,0,'Données projet'!$E$11+1,1))</f>
        <v>374.62597460242665</v>
      </c>
      <c r="BJ68" s="60">
        <f t="shared" si="38"/>
        <v>277.50105097454616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229.00000000000003</v>
      </c>
      <c r="BZ68" s="14">
        <f>BY68*VLOOKUP('Données projet'!$B$12,Paramètres!$A$1:$I$89,3,0)*VLOOKUP('Données projet'!$B$12,Paramètres!$A$1:$I$89,5,0)</f>
        <v>207.19919999999999</v>
      </c>
      <c r="CA68" s="14">
        <f t="shared" si="39"/>
        <v>51.32306297366555</v>
      </c>
      <c r="CB68" s="22">
        <f t="shared" ref="CB68:CB131" si="64">(BZ68+CA68)*0.475*44/12</f>
        <v>450.25960801246742</v>
      </c>
      <c r="CC68" s="60">
        <f t="shared" ref="CC68:CC131" si="65">CB68+(BT68+BU68)*44/12</f>
        <v>698.91994797614598</v>
      </c>
      <c r="CD68" s="60">
        <f ca="1">AVERAGE(OFFSET($CC$3,0,0,'Données projet'!$E$12+1,1))-AVERAGE(OFFSET($H$3,0,0,'Données projet'!$E$12+1,1))</f>
        <v>434.56763649859136</v>
      </c>
      <c r="CE68" s="60">
        <f t="shared" si="40"/>
        <v>271.90302066766264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229.00000000000003</v>
      </c>
      <c r="CU68" s="18">
        <f>CT68*VLOOKUP('Données projet'!$B$13,Paramètres!$A$1:$I$89,3,0)*VLOOKUP('Données projet'!$B$13,Paramètres!$A$1:$I$89,5,0)</f>
        <v>192.90960000000004</v>
      </c>
      <c r="CV68" s="14">
        <f t="shared" si="41"/>
        <v>48.182654021446467</v>
      </c>
      <c r="CW68" s="22">
        <f t="shared" ref="CW68:CW131" si="67">(CU68+CV68)*0.475*44/12</f>
        <v>419.90234242068601</v>
      </c>
      <c r="CX68" s="60">
        <f t="shared" ref="CX68:CX131" si="68">CW68+(CO68+CP68)*44/12</f>
        <v>668.56268238436451</v>
      </c>
      <c r="CY68" s="60">
        <f ca="1">AVERAGE(OFFSET($CX$3,0,0,'Données projet'!$E$13+1,1))-AVERAGE(OFFSET($H$3,0,0,'Données projet'!$E$13+1,1))</f>
        <v>411.64829629901465</v>
      </c>
      <c r="CZ68" s="60">
        <f t="shared" si="42"/>
        <v>258.66864562757917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229.00000000000003</v>
      </c>
      <c r="DP68" s="18">
        <f>DO68*VLOOKUP('Données projet'!$B$14,Paramètres!$A$1:$I$89,3,0)*VLOOKUP('Données projet'!$B$14,Paramètres!$A$1:$I$89,5,0)</f>
        <v>232.20600000000005</v>
      </c>
      <c r="DQ68" s="14">
        <f t="shared" si="43"/>
        <v>56.759404991217572</v>
      </c>
      <c r="DR68" s="22">
        <f t="shared" ref="DR68:DR131" si="70">(DP68+DQ68)*0.475*44/12</f>
        <v>503.28141369303734</v>
      </c>
      <c r="DS68" s="60">
        <f t="shared" ref="DS68:DS131" si="71">DR68+(DJ68+DK68)*44/12</f>
        <v>751.94175365671595</v>
      </c>
      <c r="DT68" s="60">
        <f ca="1">AVERAGE(OFFSET($DS$3,0,0,'Données projet'!$E$14+1,1))-AVERAGE(OFFSET($H$3,0,0,'Données projet'!$E$14+1,1))</f>
        <v>474.59791006623266</v>
      </c>
      <c r="DU68" s="60">
        <f t="shared" si="44"/>
        <v>295.01432800690293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-5.6843418860808015E-14</v>
      </c>
      <c r="EK68" s="18">
        <f>EJ68*VLOOKUP('Données projet'!$B$15,Paramètres!$A$1:$I$89,3,0)*VLOOKUP('Données projet'!$B$15,Paramètres!$A$1:$I$89,5,0)</f>
        <v>-4.9658410716801891E-14</v>
      </c>
      <c r="EL68" s="14" t="e">
        <f t="shared" si="45"/>
        <v>#NUM!</v>
      </c>
      <c r="EM68" s="22" t="e">
        <f t="shared" ref="EM68:EM131" si="73">(EK68+EL68)*0.475*44/12</f>
        <v>#NUM!</v>
      </c>
      <c r="EN68" s="60" t="e">
        <f t="shared" ref="EN68:EN131" si="74">EM68+(EE68+EF68)*44/12</f>
        <v>#NUM!</v>
      </c>
      <c r="EO68" s="60">
        <f ca="1">AVERAGE(OFFSET($EN$3,0,0,'Données projet'!$E$15+1,1))-AVERAGE(OFFSET($H$3,0,0,'Données projet'!$E$15+1,1))</f>
        <v>334.73467807584336</v>
      </c>
      <c r="EP68" s="60">
        <f t="shared" si="46"/>
        <v>463.8772059551726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4.2357309187340899</v>
      </c>
      <c r="EW68" s="23">
        <f>EXP(-LN(2)/25)*EW67+(1-EXP(-LN(2)/25))/(LN(2)/25)*Calculateur!ER68*Calculateur!ET68*VLOOKUP('Données projet'!$B$15,Paramètres!$A$1:$I$89,3,0)*0.475*44/12</f>
        <v>7.2234085738877996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11.45913949262189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135.66666666666666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0">
        <f t="shared" si="55"/>
        <v>249.43531652479311</v>
      </c>
      <c r="S69" s="60">
        <f ca="1">AVERAGE(OFFSET($R$3,0,0,'Données projet'!$E$9+1,1))-AVERAGE(OFFSET($H$3,0,0,'Données projet'!$E$9+1,1))</f>
        <v>199.65420589615553</v>
      </c>
      <c r="T69" s="60">
        <f t="shared" ref="T69:T132" si="88">$T$3</f>
        <v>477.85821088970999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0">
        <f t="shared" si="59"/>
        <v>249.43531652479311</v>
      </c>
      <c r="AN69" s="60">
        <f ca="1">AVERAGE(OFFSET($AM$3,0,0,'Données projet'!$E$10+1,1))-AVERAGE(OFFSET($H$3,0,0,'Données projet'!$E$10+1,1))</f>
        <v>199.65420589615553</v>
      </c>
      <c r="AO69" s="60">
        <f t="shared" ref="AO69:AO132" si="90">$AO$3</f>
        <v>477.85821088970999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16.142857142857142</v>
      </c>
      <c r="BD69" s="13">
        <f>IF('Données projet'!$A$88&gt;35,BD68+BC69-BL68,IF(A69&lt;'Données projet'!$A$88,$BA$205^A69,IF(A69='Données projet'!$A$88,'Données projet'!$B$88,BD68+BC69-BL68)))</f>
        <v>385.28571428571433</v>
      </c>
      <c r="BE69" s="14">
        <f>BD69*VLOOKUP('Données projet'!$B$11,Paramètres!$A$1:$I$89,3,0)*VLOOKUP('Données projet'!$B$11,Paramètres!$A$1:$I$89,5,0)</f>
        <v>180.3137142857143</v>
      </c>
      <c r="BF69" s="14">
        <f t="shared" ref="BF69:BF132" si="91">EXP(-1.0587+0.8836*LN(BE69)+0.284)</f>
        <v>45.391974740208404</v>
      </c>
      <c r="BG69" s="22">
        <f t="shared" si="61"/>
        <v>393.10407505348206</v>
      </c>
      <c r="BH69" s="60">
        <f t="shared" si="62"/>
        <v>642.53939157827313</v>
      </c>
      <c r="BI69" s="60">
        <f ca="1">AVERAGE(OFFSET($BH$3,0,0,'Données projet'!$E$11+1,1))-AVERAGE(OFFSET($H$3,0,0,'Données projet'!$E$11+1,1))</f>
        <v>374.62597460242665</v>
      </c>
      <c r="BJ69" s="60">
        <f t="shared" ref="BJ69:BJ132" si="92">$BJ$3</f>
        <v>277.50105097454616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214.80000000000004</v>
      </c>
      <c r="BZ69" s="14">
        <f>BY69*VLOOKUP('Données projet'!$B$12,Paramètres!$A$1:$I$89,3,0)*VLOOKUP('Données projet'!$B$12,Paramètres!$A$1:$I$89,5,0)</f>
        <v>194.35104000000004</v>
      </c>
      <c r="CA69" s="14">
        <f t="shared" ref="CA69:CA132" si="93">EXP(-1.0587+0.8836*LN(BZ69)+0.284)</f>
        <v>48.500634729810159</v>
      </c>
      <c r="CB69" s="22">
        <f t="shared" si="64"/>
        <v>422.96666682108616</v>
      </c>
      <c r="CC69" s="60">
        <f t="shared" si="65"/>
        <v>672.40198334587728</v>
      </c>
      <c r="CD69" s="60">
        <f ca="1">AVERAGE(OFFSET($CC$3,0,0,'Données projet'!$E$12+1,1))-AVERAGE(OFFSET($H$3,0,0,'Données projet'!$E$12+1,1))</f>
        <v>434.56763649859136</v>
      </c>
      <c r="CE69" s="60">
        <f t="shared" ref="CE69:CE132" si="94">$CE$3</f>
        <v>271.90302066766264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214.80000000000004</v>
      </c>
      <c r="CU69" s="18">
        <f>CT69*VLOOKUP('Données projet'!$B$13,Paramètres!$A$1:$I$89,3,0)*VLOOKUP('Données projet'!$B$13,Paramètres!$A$1:$I$89,5,0)</f>
        <v>180.94752000000005</v>
      </c>
      <c r="CV69" s="14">
        <f t="shared" ref="CV69:CV132" si="95">EXP(-1.0587+0.8836*LN(CU69)+0.284)</f>
        <v>45.532927452246533</v>
      </c>
      <c r="CW69" s="22">
        <f t="shared" si="67"/>
        <v>394.45344597932944</v>
      </c>
      <c r="CX69" s="60">
        <f t="shared" si="68"/>
        <v>643.88876250412056</v>
      </c>
      <c r="CY69" s="60">
        <f ca="1">AVERAGE(OFFSET($CX$3,0,0,'Données projet'!$E$13+1,1))-AVERAGE(OFFSET($H$3,0,0,'Données projet'!$E$13+1,1))</f>
        <v>411.64829629901465</v>
      </c>
      <c r="CZ69" s="60">
        <f t="shared" ref="CZ69:CZ132" si="96">$CZ$3</f>
        <v>258.66864562757917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214.80000000000004</v>
      </c>
      <c r="DP69" s="18">
        <f>DO69*VLOOKUP('Données projet'!$B$14,Paramètres!$A$1:$I$89,3,0)*VLOOKUP('Données projet'!$B$14,Paramètres!$A$1:$I$89,5,0)</f>
        <v>217.80720000000005</v>
      </c>
      <c r="DQ69" s="14">
        <f t="shared" ref="DQ69:DQ132" si="97">EXP(-1.0587+0.8836*LN(DP69)+0.284)</f>
        <v>53.638013973813976</v>
      </c>
      <c r="DR69" s="22">
        <f t="shared" si="70"/>
        <v>472.76708100439265</v>
      </c>
      <c r="DS69" s="60">
        <f t="shared" si="71"/>
        <v>722.20239752918383</v>
      </c>
      <c r="DT69" s="60">
        <f ca="1">AVERAGE(OFFSET($DS$3,0,0,'Données projet'!$E$14+1,1))-AVERAGE(OFFSET($H$3,0,0,'Données projet'!$E$14+1,1))</f>
        <v>474.59791006623266</v>
      </c>
      <c r="DU69" s="60">
        <f t="shared" ref="DU69:DU132" si="98">$DU$3</f>
        <v>295.01432800690293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-5.6843418860808015E-14</v>
      </c>
      <c r="EK69" s="18">
        <f>EJ69*VLOOKUP('Données projet'!$B$15,Paramètres!$A$1:$I$89,3,0)*VLOOKUP('Données projet'!$B$15,Paramètres!$A$1:$I$89,5,0)</f>
        <v>-4.9658410716801891E-14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0" t="e">
        <f t="shared" si="74"/>
        <v>#NUM!</v>
      </c>
      <c r="EO69" s="60">
        <f ca="1">AVERAGE(OFFSET($EN$3,0,0,'Données projet'!$E$15+1,1))-AVERAGE(OFFSET($H$3,0,0,'Données projet'!$E$15+1,1))</f>
        <v>334.73467807584336</v>
      </c>
      <c r="EP69" s="60">
        <f t="shared" ref="EP69:EP132" si="100">$EP$3</f>
        <v>463.8772059551726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4.1526708189584713</v>
      </c>
      <c r="EW69" s="23">
        <f>EXP(-LN(2)/25)*EW68+(1-EXP(-LN(2)/25))/(LN(2)/25)*Calculateur!ER69*Calculateur!ET69*VLOOKUP('Données projet'!$B$15,Paramètres!$A$1:$I$89,3,0)*0.475*44/12</f>
        <v>7.0258840865722902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11.178554905530762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135.66666666666666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0">
        <f t="shared" si="55"/>
        <v>250.19684897515836</v>
      </c>
      <c r="S70" s="60">
        <f ca="1">AVERAGE(OFFSET($R$3,0,0,'Données projet'!$E$9+1,1))-AVERAGE(OFFSET($H$3,0,0,'Données projet'!$E$9+1,1))</f>
        <v>199.65420589615553</v>
      </c>
      <c r="T70" s="60">
        <f t="shared" si="88"/>
        <v>477.85821088970999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0">
        <f t="shared" si="59"/>
        <v>250.19684897515836</v>
      </c>
      <c r="AN70" s="60">
        <f ca="1">AVERAGE(OFFSET($AM$3,0,0,'Données projet'!$E$10+1,1))-AVERAGE(OFFSET($H$3,0,0,'Données projet'!$E$10+1,1))</f>
        <v>199.65420589615553</v>
      </c>
      <c r="AO70" s="60">
        <f t="shared" si="90"/>
        <v>477.85821088970999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16.142857142857142</v>
      </c>
      <c r="BD70" s="13">
        <f>IF('Données projet'!$A$88&gt;35,BD69+BC70-BL69,IF(A70&lt;'Données projet'!$A$88,$BA$205^A70,IF(A70='Données projet'!$A$88,'Données projet'!$B$88,BD69+BC70-BL69)))</f>
        <v>401.4285714285715</v>
      </c>
      <c r="BE70" s="14">
        <f>BD70*VLOOKUP('Données projet'!$B$11,Paramètres!$A$1:$I$89,3,0)*VLOOKUP('Données projet'!$B$11,Paramètres!$A$1:$I$89,5,0)</f>
        <v>187.86857142857147</v>
      </c>
      <c r="BF70" s="14">
        <f t="shared" si="91"/>
        <v>47.068415303981318</v>
      </c>
      <c r="BG70" s="22">
        <f t="shared" si="61"/>
        <v>409.18191855919605</v>
      </c>
      <c r="BH70" s="60">
        <f t="shared" si="62"/>
        <v>659.37876753435239</v>
      </c>
      <c r="BI70" s="60">
        <f ca="1">AVERAGE(OFFSET($BH$3,0,0,'Données projet'!$E$11+1,1))-AVERAGE(OFFSET($H$3,0,0,'Données projet'!$E$11+1,1))</f>
        <v>374.62597460242665</v>
      </c>
      <c r="BJ70" s="60">
        <f t="shared" si="92"/>
        <v>277.50105097454616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221.60000000000005</v>
      </c>
      <c r="BZ70" s="14">
        <f>BY70*VLOOKUP('Données projet'!$B$12,Paramètres!$A$1:$I$89,3,0)*VLOOKUP('Données projet'!$B$12,Paramètres!$A$1:$I$89,5,0)</f>
        <v>200.50368000000003</v>
      </c>
      <c r="CA70" s="14">
        <f t="shared" si="93"/>
        <v>49.854845135229887</v>
      </c>
      <c r="CB70" s="22">
        <f t="shared" si="64"/>
        <v>436.04109794385869</v>
      </c>
      <c r="CC70" s="60">
        <f t="shared" si="65"/>
        <v>686.23794691901503</v>
      </c>
      <c r="CD70" s="60">
        <f ca="1">AVERAGE(OFFSET($CC$3,0,0,'Données projet'!$E$12+1,1))-AVERAGE(OFFSET($H$3,0,0,'Données projet'!$E$12+1,1))</f>
        <v>434.56763649859136</v>
      </c>
      <c r="CE70" s="60">
        <f t="shared" si="94"/>
        <v>271.90302066766264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221.60000000000005</v>
      </c>
      <c r="CU70" s="18">
        <f>CT70*VLOOKUP('Données projet'!$B$13,Paramètres!$A$1:$I$89,3,0)*VLOOKUP('Données projet'!$B$13,Paramètres!$A$1:$I$89,5,0)</f>
        <v>186.67584000000005</v>
      </c>
      <c r="CV70" s="14">
        <f t="shared" si="95"/>
        <v>46.804275023026975</v>
      </c>
      <c r="CW70" s="22">
        <f t="shared" si="67"/>
        <v>406.64453366510543</v>
      </c>
      <c r="CX70" s="60">
        <f t="shared" si="68"/>
        <v>656.84138264026183</v>
      </c>
      <c r="CY70" s="60">
        <f ca="1">AVERAGE(OFFSET($CX$3,0,0,'Données projet'!$E$13+1,1))-AVERAGE(OFFSET($H$3,0,0,'Données projet'!$E$13+1,1))</f>
        <v>411.64829629901465</v>
      </c>
      <c r="CZ70" s="60">
        <f t="shared" si="96"/>
        <v>258.66864562757917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221.60000000000005</v>
      </c>
      <c r="DP70" s="18">
        <f>DO70*VLOOKUP('Données projet'!$B$14,Paramètres!$A$1:$I$89,3,0)*VLOOKUP('Données projet'!$B$14,Paramètres!$A$1:$I$89,5,0)</f>
        <v>224.7024000000001</v>
      </c>
      <c r="DQ70" s="14">
        <f t="shared" si="97"/>
        <v>55.135667706678312</v>
      </c>
      <c r="DR70" s="22">
        <f t="shared" si="70"/>
        <v>487.38463458913157</v>
      </c>
      <c r="DS70" s="60">
        <f t="shared" si="71"/>
        <v>737.58148356428796</v>
      </c>
      <c r="DT70" s="60">
        <f ca="1">AVERAGE(OFFSET($DS$3,0,0,'Données projet'!$E$14+1,1))-AVERAGE(OFFSET($H$3,0,0,'Données projet'!$E$14+1,1))</f>
        <v>474.59791006623266</v>
      </c>
      <c r="DU70" s="60">
        <f t="shared" si="98"/>
        <v>295.01432800690293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-5.6843418860808015E-14</v>
      </c>
      <c r="EK70" s="18">
        <f>EJ70*VLOOKUP('Données projet'!$B$15,Paramètres!$A$1:$I$89,3,0)*VLOOKUP('Données projet'!$B$15,Paramètres!$A$1:$I$89,5,0)</f>
        <v>-4.9658410716801891E-14</v>
      </c>
      <c r="EL70" s="14" t="e">
        <f t="shared" si="99"/>
        <v>#NUM!</v>
      </c>
      <c r="EM70" s="22" t="e">
        <f t="shared" si="73"/>
        <v>#NUM!</v>
      </c>
      <c r="EN70" s="60" t="e">
        <f t="shared" si="74"/>
        <v>#NUM!</v>
      </c>
      <c r="EO70" s="60">
        <f ca="1">AVERAGE(OFFSET($EN$3,0,0,'Données projet'!$E$15+1,1))-AVERAGE(OFFSET($H$3,0,0,'Données projet'!$E$15+1,1))</f>
        <v>334.73467807584336</v>
      </c>
      <c r="EP70" s="60">
        <f t="shared" si="100"/>
        <v>463.8772059551726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4.0712394770777944</v>
      </c>
      <c r="EW70" s="23">
        <f>EXP(-LN(2)/25)*EW69+(1-EXP(-LN(2)/25))/(LN(2)/25)*Calculateur!ER70*Calculateur!ET70*VLOOKUP('Données projet'!$B$15,Paramètres!$A$1:$I$89,3,0)*0.475*44/12</f>
        <v>6.8337609167497844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10.905000393827578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135.66666666666666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0">
        <f t="shared" si="55"/>
        <v>250.94517054004118</v>
      </c>
      <c r="S71" s="60">
        <f ca="1">AVERAGE(OFFSET($R$3,0,0,'Données projet'!$E$9+1,1))-AVERAGE(OFFSET($H$3,0,0,'Données projet'!$E$9+1,1))</f>
        <v>199.65420589615553</v>
      </c>
      <c r="T71" s="60">
        <f t="shared" si="88"/>
        <v>477.85821088970999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0">
        <f t="shared" si="59"/>
        <v>250.94517054004118</v>
      </c>
      <c r="AN71" s="60">
        <f ca="1">AVERAGE(OFFSET($AM$3,0,0,'Données projet'!$E$10+1,1))-AVERAGE(OFFSET($H$3,0,0,'Données projet'!$E$10+1,1))</f>
        <v>199.65420589615553</v>
      </c>
      <c r="AO71" s="60">
        <f t="shared" si="90"/>
        <v>477.85821088970999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16.142857142857142</v>
      </c>
      <c r="BD71" s="13">
        <f>IF('Données projet'!$A$88&gt;35,BD70+BC71-BL70,IF(A71&lt;'Données projet'!$A$88,$BA$205^A71,IF(A71='Données projet'!$A$88,'Données projet'!$B$88,BD70+BC71-BL70)))</f>
        <v>417.57142857142867</v>
      </c>
      <c r="BE71" s="14">
        <f>BD71*VLOOKUP('Données projet'!$B$11,Paramètres!$A$1:$I$89,3,0)*VLOOKUP('Données projet'!$B$11,Paramètres!$A$1:$I$89,5,0)</f>
        <v>195.42342857142864</v>
      </c>
      <c r="BF71" s="14">
        <f t="shared" si="91"/>
        <v>48.737024802067147</v>
      </c>
      <c r="BG71" s="22">
        <f t="shared" si="61"/>
        <v>425.24612295883844</v>
      </c>
      <c r="BH71" s="60">
        <f t="shared" si="62"/>
        <v>676.1912934988776</v>
      </c>
      <c r="BI71" s="60">
        <f ca="1">AVERAGE(OFFSET($BH$3,0,0,'Données projet'!$E$11+1,1))-AVERAGE(OFFSET($H$3,0,0,'Données projet'!$E$11+1,1))</f>
        <v>374.62597460242665</v>
      </c>
      <c r="BJ71" s="60">
        <f t="shared" si="92"/>
        <v>277.50105097454616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228.40000000000006</v>
      </c>
      <c r="BZ71" s="14">
        <f>BY71*VLOOKUP('Données projet'!$B$12,Paramètres!$A$1:$I$89,3,0)*VLOOKUP('Données projet'!$B$12,Paramètres!$A$1:$I$89,5,0)</f>
        <v>206.65632000000005</v>
      </c>
      <c r="CA71" s="14">
        <f t="shared" si="93"/>
        <v>51.20422634371338</v>
      </c>
      <c r="CB71" s="22">
        <f t="shared" si="64"/>
        <v>449.10711821530089</v>
      </c>
      <c r="CC71" s="60">
        <f t="shared" si="65"/>
        <v>700.0522887553401</v>
      </c>
      <c r="CD71" s="60">
        <f ca="1">AVERAGE(OFFSET($CC$3,0,0,'Données projet'!$E$12+1,1))-AVERAGE(OFFSET($H$3,0,0,'Données projet'!$E$12+1,1))</f>
        <v>434.56763649859136</v>
      </c>
      <c r="CE71" s="60">
        <f t="shared" si="94"/>
        <v>271.90302066766264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228.40000000000006</v>
      </c>
      <c r="CU71" s="18">
        <f>CT71*VLOOKUP('Données projet'!$B$13,Paramètres!$A$1:$I$89,3,0)*VLOOKUP('Données projet'!$B$13,Paramètres!$A$1:$I$89,5,0)</f>
        <v>192.40416000000008</v>
      </c>
      <c r="CV71" s="14">
        <f t="shared" si="95"/>
        <v>48.071088890795593</v>
      </c>
      <c r="CW71" s="22">
        <f t="shared" si="67"/>
        <v>418.82772515146917</v>
      </c>
      <c r="CX71" s="60">
        <f t="shared" si="68"/>
        <v>669.77289569150832</v>
      </c>
      <c r="CY71" s="60">
        <f ca="1">AVERAGE(OFFSET($CX$3,0,0,'Données projet'!$E$13+1,1))-AVERAGE(OFFSET($H$3,0,0,'Données projet'!$E$13+1,1))</f>
        <v>411.64829629901465</v>
      </c>
      <c r="CZ71" s="60">
        <f t="shared" si="96"/>
        <v>258.66864562757917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228.40000000000006</v>
      </c>
      <c r="DP71" s="18">
        <f>DO71*VLOOKUP('Données projet'!$B$14,Paramètres!$A$1:$I$89,3,0)*VLOOKUP('Données projet'!$B$14,Paramètres!$A$1:$I$89,5,0)</f>
        <v>231.59760000000006</v>
      </c>
      <c r="DQ71" s="14">
        <f t="shared" si="97"/>
        <v>56.627980714948151</v>
      </c>
      <c r="DR71" s="22">
        <f t="shared" si="70"/>
        <v>501.99288641186803</v>
      </c>
      <c r="DS71" s="60">
        <f t="shared" si="71"/>
        <v>752.93805695190724</v>
      </c>
      <c r="DT71" s="60">
        <f ca="1">AVERAGE(OFFSET($DS$3,0,0,'Données projet'!$E$14+1,1))-AVERAGE(OFFSET($H$3,0,0,'Données projet'!$E$14+1,1))</f>
        <v>474.59791006623266</v>
      </c>
      <c r="DU71" s="60">
        <f t="shared" si="98"/>
        <v>295.01432800690293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-5.6843418860808015E-14</v>
      </c>
      <c r="EK71" s="18">
        <f>EJ71*VLOOKUP('Données projet'!$B$15,Paramètres!$A$1:$I$89,3,0)*VLOOKUP('Données projet'!$B$15,Paramètres!$A$1:$I$89,5,0)</f>
        <v>-4.9658410716801891E-14</v>
      </c>
      <c r="EL71" s="14" t="e">
        <f t="shared" si="99"/>
        <v>#NUM!</v>
      </c>
      <c r="EM71" s="22" t="e">
        <f t="shared" si="73"/>
        <v>#NUM!</v>
      </c>
      <c r="EN71" s="60" t="e">
        <f t="shared" si="74"/>
        <v>#NUM!</v>
      </c>
      <c r="EO71" s="60">
        <f ca="1">AVERAGE(OFFSET($EN$3,0,0,'Données projet'!$E$15+1,1))-AVERAGE(OFFSET($H$3,0,0,'Données projet'!$E$15+1,1))</f>
        <v>334.73467807584336</v>
      </c>
      <c r="EP71" s="60">
        <f t="shared" si="100"/>
        <v>463.8772059551726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3.9914049541431833</v>
      </c>
      <c r="EW71" s="23">
        <f>EXP(-LN(2)/25)*EW70+(1-EXP(-LN(2)/25))/(LN(2)/25)*Calculateur!ER71*Calculateur!ET71*VLOOKUP('Données projet'!$B$15,Paramètres!$A$1:$I$89,3,0)*0.475*44/12</f>
        <v>6.6468913651093935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10.638296319252577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135.66666666666666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0">
        <f t="shared" si="55"/>
        <v>251.68051039876983</v>
      </c>
      <c r="S72" s="60">
        <f ca="1">AVERAGE(OFFSET($R$3,0,0,'Données projet'!$E$9+1,1))-AVERAGE(OFFSET($H$3,0,0,'Données projet'!$E$9+1,1))</f>
        <v>199.65420589615553</v>
      </c>
      <c r="T72" s="60">
        <f t="shared" si="88"/>
        <v>477.85821088970999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0">
        <f t="shared" si="59"/>
        <v>251.68051039876983</v>
      </c>
      <c r="AN72" s="60">
        <f ca="1">AVERAGE(OFFSET($AM$3,0,0,'Données projet'!$E$10+1,1))-AVERAGE(OFFSET($H$3,0,0,'Données projet'!$E$10+1,1))</f>
        <v>199.65420589615553</v>
      </c>
      <c r="AO72" s="60">
        <f t="shared" si="90"/>
        <v>477.85821088970999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16.142857142857142</v>
      </c>
      <c r="BD72" s="13">
        <f>IF('Données projet'!$A$88&gt;35,BD71+BC72-BL71,IF(A72&lt;'Données projet'!$A$88,$BA$205^A72,IF(A72='Données projet'!$A$88,'Données projet'!$B$88,BD71+BC72-BL71)))</f>
        <v>433.71428571428584</v>
      </c>
      <c r="BE72" s="14">
        <f>BD72*VLOOKUP('Données projet'!$B$11,Paramètres!$A$1:$I$89,3,0)*VLOOKUP('Données projet'!$B$11,Paramètres!$A$1:$I$89,5,0)</f>
        <v>202.97828571428576</v>
      </c>
      <c r="BF72" s="14">
        <f t="shared" si="91"/>
        <v>50.398140625785402</v>
      </c>
      <c r="BG72" s="22">
        <f t="shared" si="61"/>
        <v>441.29727587562394</v>
      </c>
      <c r="BH72" s="60">
        <f t="shared" si="62"/>
        <v>692.97778627439175</v>
      </c>
      <c r="BI72" s="60">
        <f ca="1">AVERAGE(OFFSET($BH$3,0,0,'Données projet'!$E$11+1,1))-AVERAGE(OFFSET($H$3,0,0,'Données projet'!$E$11+1,1))</f>
        <v>374.62597460242665</v>
      </c>
      <c r="BJ72" s="60">
        <f t="shared" si="92"/>
        <v>277.50105097454616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235.20000000000007</v>
      </c>
      <c r="BZ72" s="14">
        <f>BY72*VLOOKUP('Données projet'!$B$12,Paramètres!$A$1:$I$89,3,0)*VLOOKUP('Données projet'!$B$12,Paramètres!$A$1:$I$89,5,0)</f>
        <v>212.80896000000004</v>
      </c>
      <c r="CA72" s="14">
        <f t="shared" si="93"/>
        <v>52.54893863748589</v>
      </c>
      <c r="CB72" s="22">
        <f t="shared" si="64"/>
        <v>462.16500679362139</v>
      </c>
      <c r="CC72" s="60">
        <f t="shared" si="65"/>
        <v>713.84551719238925</v>
      </c>
      <c r="CD72" s="60">
        <f ca="1">AVERAGE(OFFSET($CC$3,0,0,'Données projet'!$E$12+1,1))-AVERAGE(OFFSET($H$3,0,0,'Données projet'!$E$12+1,1))</f>
        <v>434.56763649859136</v>
      </c>
      <c r="CE72" s="60">
        <f t="shared" si="94"/>
        <v>271.90302066766264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235.20000000000007</v>
      </c>
      <c r="CU72" s="18">
        <f>CT72*VLOOKUP('Données projet'!$B$13,Paramètres!$A$1:$I$89,3,0)*VLOOKUP('Données projet'!$B$13,Paramètres!$A$1:$I$89,5,0)</f>
        <v>198.1324800000001</v>
      </c>
      <c r="CV72" s="14">
        <f t="shared" si="95"/>
        <v>49.333519530262137</v>
      </c>
      <c r="CW72" s="22">
        <f t="shared" si="67"/>
        <v>431.00328251520676</v>
      </c>
      <c r="CX72" s="60">
        <f t="shared" si="68"/>
        <v>682.68379291397457</v>
      </c>
      <c r="CY72" s="60">
        <f ca="1">AVERAGE(OFFSET($CX$3,0,0,'Données projet'!$E$13+1,1))-AVERAGE(OFFSET($H$3,0,0,'Données projet'!$E$13+1,1))</f>
        <v>411.64829629901465</v>
      </c>
      <c r="CZ72" s="60">
        <f t="shared" si="96"/>
        <v>258.66864562757917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235.20000000000007</v>
      </c>
      <c r="DP72" s="18">
        <f>DO72*VLOOKUP('Données projet'!$B$14,Paramètres!$A$1:$I$89,3,0)*VLOOKUP('Données projet'!$B$14,Paramètres!$A$1:$I$89,5,0)</f>
        <v>238.4928000000001</v>
      </c>
      <c r="DQ72" s="14">
        <f t="shared" si="97"/>
        <v>58.115130258576592</v>
      </c>
      <c r="DR72" s="22">
        <f t="shared" si="70"/>
        <v>516.59214520035437</v>
      </c>
      <c r="DS72" s="60">
        <f t="shared" si="71"/>
        <v>768.27265559912223</v>
      </c>
      <c r="DT72" s="60">
        <f ca="1">AVERAGE(OFFSET($DS$3,0,0,'Données projet'!$E$14+1,1))-AVERAGE(OFFSET($H$3,0,0,'Données projet'!$E$14+1,1))</f>
        <v>474.59791006623266</v>
      </c>
      <c r="DU72" s="60">
        <f t="shared" si="98"/>
        <v>295.01432800690293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-5.6843418860808015E-14</v>
      </c>
      <c r="EK72" s="18">
        <f>EJ72*VLOOKUP('Données projet'!$B$15,Paramètres!$A$1:$I$89,3,0)*VLOOKUP('Données projet'!$B$15,Paramètres!$A$1:$I$89,5,0)</f>
        <v>-4.9658410716801891E-14</v>
      </c>
      <c r="EL72" s="14" t="e">
        <f t="shared" si="99"/>
        <v>#NUM!</v>
      </c>
      <c r="EM72" s="22" t="e">
        <f t="shared" si="73"/>
        <v>#NUM!</v>
      </c>
      <c r="EN72" s="60" t="e">
        <f t="shared" si="74"/>
        <v>#NUM!</v>
      </c>
      <c r="EO72" s="60">
        <f ca="1">AVERAGE(OFFSET($EN$3,0,0,'Données projet'!$E$15+1,1))-AVERAGE(OFFSET($H$3,0,0,'Données projet'!$E$15+1,1))</f>
        <v>334.73467807584336</v>
      </c>
      <c r="EP72" s="60">
        <f t="shared" si="100"/>
        <v>463.8772059551726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3.9131359375090691</v>
      </c>
      <c r="EW72" s="23">
        <f>EXP(-LN(2)/25)*EW71+(1-EXP(-LN(2)/25))/(LN(2)/25)*Calculateur!ER72*Calculateur!ET72*VLOOKUP('Données projet'!$B$15,Paramètres!$A$1:$I$89,3,0)*0.475*44/12</f>
        <v>6.4651317711856517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10.378267708694722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135.66666666666666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0">
        <f t="shared" si="55"/>
        <v>252.40309375492305</v>
      </c>
      <c r="S73" s="60">
        <f ca="1">AVERAGE(OFFSET($R$3,0,0,'Données projet'!$E$9+1,1))-AVERAGE(OFFSET($H$3,0,0,'Données projet'!$E$9+1,1))</f>
        <v>199.65420589615553</v>
      </c>
      <c r="T73" s="60">
        <f t="shared" si="88"/>
        <v>477.85821088970999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0">
        <f t="shared" si="59"/>
        <v>252.40309375492305</v>
      </c>
      <c r="AN73" s="60">
        <f ca="1">AVERAGE(OFFSET($AM$3,0,0,'Données projet'!$E$10+1,1))-AVERAGE(OFFSET($H$3,0,0,'Données projet'!$E$10+1,1))</f>
        <v>199.65420589615553</v>
      </c>
      <c r="AO73" s="60">
        <f t="shared" si="90"/>
        <v>477.85821088970999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16.142857142857142</v>
      </c>
      <c r="BD73" s="13">
        <f>IF('Données projet'!$A$88&gt;35,BD72+BC73-BL72,IF(A73&lt;'Données projet'!$A$88,$BA$205^A73,IF(A73='Données projet'!$A$88,'Données projet'!$B$88,BD72+BC73-BL72)))</f>
        <v>449.857142857143</v>
      </c>
      <c r="BE73" s="14">
        <f>BD73*VLOOKUP('Données projet'!$B$11,Paramètres!$A$1:$I$89,3,0)*VLOOKUP('Données projet'!$B$11,Paramètres!$A$1:$I$89,5,0)</f>
        <v>210.53314285714293</v>
      </c>
      <c r="BF73" s="14">
        <f t="shared" si="91"/>
        <v>52.052073628089957</v>
      </c>
      <c r="BG73" s="22">
        <f t="shared" si="61"/>
        <v>457.33591871178055</v>
      </c>
      <c r="BH73" s="60">
        <f t="shared" si="62"/>
        <v>709.73901246670164</v>
      </c>
      <c r="BI73" s="60">
        <f ca="1">AVERAGE(OFFSET($BH$3,0,0,'Données projet'!$E$11+1,1))-AVERAGE(OFFSET($H$3,0,0,'Données projet'!$E$11+1,1))</f>
        <v>374.62597460242665</v>
      </c>
      <c r="BJ73" s="60">
        <f t="shared" si="92"/>
        <v>277.50105097454616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242.00000000000009</v>
      </c>
      <c r="BZ73" s="14">
        <f>BY73*VLOOKUP('Données projet'!$B$12,Paramètres!$A$1:$I$89,3,0)*VLOOKUP('Données projet'!$B$12,Paramètres!$A$1:$I$89,5,0)</f>
        <v>218.96160000000006</v>
      </c>
      <c r="CA73" s="14">
        <f t="shared" si="93"/>
        <v>53.88913250370743</v>
      </c>
      <c r="CB73" s="22">
        <f t="shared" si="64"/>
        <v>475.21502577729046</v>
      </c>
      <c r="CC73" s="60">
        <f t="shared" si="65"/>
        <v>727.61811953221149</v>
      </c>
      <c r="CD73" s="60">
        <f ca="1">AVERAGE(OFFSET($CC$3,0,0,'Données projet'!$E$12+1,1))-AVERAGE(OFFSET($H$3,0,0,'Données projet'!$E$12+1,1))</f>
        <v>434.56763649859136</v>
      </c>
      <c r="CE73" s="60">
        <f t="shared" si="94"/>
        <v>271.90302066766264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242.00000000000009</v>
      </c>
      <c r="CU73" s="18">
        <f>CT73*VLOOKUP('Données projet'!$B$13,Paramètres!$A$1:$I$89,3,0)*VLOOKUP('Données projet'!$B$13,Paramètres!$A$1:$I$89,5,0)</f>
        <v>203.8608000000001</v>
      </c>
      <c r="CV73" s="14">
        <f t="shared" si="95"/>
        <v>50.591708220421786</v>
      </c>
      <c r="CW73" s="22">
        <f t="shared" si="67"/>
        <v>443.17145181723475</v>
      </c>
      <c r="CX73" s="60">
        <f t="shared" si="68"/>
        <v>695.57454557215578</v>
      </c>
      <c r="CY73" s="60">
        <f ca="1">AVERAGE(OFFSET($CX$3,0,0,'Données projet'!$E$13+1,1))-AVERAGE(OFFSET($H$3,0,0,'Données projet'!$E$13+1,1))</f>
        <v>411.64829629901465</v>
      </c>
      <c r="CZ73" s="60">
        <f t="shared" si="96"/>
        <v>258.66864562757917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242.00000000000009</v>
      </c>
      <c r="DP73" s="18">
        <f>DO73*VLOOKUP('Données projet'!$B$14,Paramètres!$A$1:$I$89,3,0)*VLOOKUP('Données projet'!$B$14,Paramètres!$A$1:$I$89,5,0)</f>
        <v>245.38800000000012</v>
      </c>
      <c r="DQ73" s="14">
        <f t="shared" si="97"/>
        <v>59.597282764919569</v>
      </c>
      <c r="DR73" s="22">
        <f t="shared" si="70"/>
        <v>531.18270081556841</v>
      </c>
      <c r="DS73" s="60">
        <f t="shared" si="71"/>
        <v>783.5857945704895</v>
      </c>
      <c r="DT73" s="60">
        <f ca="1">AVERAGE(OFFSET($DS$3,0,0,'Données projet'!$E$14+1,1))-AVERAGE(OFFSET($H$3,0,0,'Données projet'!$E$14+1,1))</f>
        <v>474.59791006623266</v>
      </c>
      <c r="DU73" s="60">
        <f t="shared" si="98"/>
        <v>295.01432800690293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-5.6843418860808015E-14</v>
      </c>
      <c r="EK73" s="18">
        <f>EJ73*VLOOKUP('Données projet'!$B$15,Paramètres!$A$1:$I$89,3,0)*VLOOKUP('Données projet'!$B$15,Paramètres!$A$1:$I$89,5,0)</f>
        <v>-4.9658410716801891E-14</v>
      </c>
      <c r="EL73" s="14" t="e">
        <f t="shared" si="99"/>
        <v>#NUM!</v>
      </c>
      <c r="EM73" s="22" t="e">
        <f t="shared" si="73"/>
        <v>#NUM!</v>
      </c>
      <c r="EN73" s="60" t="e">
        <f t="shared" si="74"/>
        <v>#NUM!</v>
      </c>
      <c r="EO73" s="60">
        <f ca="1">AVERAGE(OFFSET($EN$3,0,0,'Données projet'!$E$15+1,1))-AVERAGE(OFFSET($H$3,0,0,'Données projet'!$E$15+1,1))</f>
        <v>334.73467807584336</v>
      </c>
      <c r="EP73" s="60">
        <f t="shared" si="100"/>
        <v>463.8772059551726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3.8364017285517633</v>
      </c>
      <c r="EW73" s="23">
        <f>EXP(-LN(2)/25)*EW72+(1-EXP(-LN(2)/25))/(LN(2)/25)*Calculateur!ER73*Calculateur!ET73*VLOOKUP('Données projet'!$B$15,Paramètres!$A$1:$I$89,3,0)*0.475*44/12</f>
        <v>6.2883424029160766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10.124744131467839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135.66666666666666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0">
        <f t="shared" si="55"/>
        <v>253.11314190530146</v>
      </c>
      <c r="S74" s="60">
        <f ca="1">AVERAGE(OFFSET($R$3,0,0,'Données projet'!$E$9+1,1))-AVERAGE(OFFSET($H$3,0,0,'Données projet'!$E$9+1,1))</f>
        <v>199.65420589615553</v>
      </c>
      <c r="T74" s="60">
        <f t="shared" si="88"/>
        <v>477.85821088970999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0">
        <f t="shared" si="59"/>
        <v>253.11314190530146</v>
      </c>
      <c r="AN74" s="60">
        <f ca="1">AVERAGE(OFFSET($AM$3,0,0,'Données projet'!$E$10+1,1))-AVERAGE(OFFSET($H$3,0,0,'Données projet'!$E$10+1,1))</f>
        <v>199.65420589615553</v>
      </c>
      <c r="AO74" s="60">
        <f t="shared" si="90"/>
        <v>477.85821088970999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>
        <f>VLOOKUP(A74,'Données projet'!$A$87:$I$107,2,0)</f>
        <v>466</v>
      </c>
      <c r="BB74" s="13">
        <f>VLOOKUP(A74,'Données projet'!$A$87:$I$107,9,0)</f>
        <v>16.142857142857142</v>
      </c>
      <c r="BC74" s="13">
        <f t="array" ref="BC74">INDEX(BB:BB,MIN(IF(ISNUMBER(BB74:BB270),ROW(BB74:BB270),"")))</f>
        <v>16.142857142857142</v>
      </c>
      <c r="BD74" s="13">
        <f>IF('Données projet'!$A$88&gt;35,BD73+BC74-BL73,IF(A74&lt;'Données projet'!$A$88,$BA$205^A74,IF(A74='Données projet'!$A$88,'Données projet'!$B$88,BD73+BC74-BL73)))</f>
        <v>466.00000000000017</v>
      </c>
      <c r="BE74" s="14">
        <f>BD74*VLOOKUP('Données projet'!$B$11,Paramètres!$A$1:$I$89,3,0)*VLOOKUP('Données projet'!$B$11,Paramètres!$A$1:$I$89,5,0)</f>
        <v>218.08800000000008</v>
      </c>
      <c r="BF74" s="14">
        <f t="shared" si="91"/>
        <v>53.699111087780629</v>
      </c>
      <c r="BG74" s="22">
        <f t="shared" si="61"/>
        <v>473.36255181121805</v>
      </c>
      <c r="BH74" s="60">
        <f t="shared" si="62"/>
        <v>726.47569371651753</v>
      </c>
      <c r="BI74" s="60">
        <f ca="1">AVERAGE(OFFSET($BH$3,0,0,'Données projet'!$E$11+1,1))-AVERAGE(OFFSET($H$3,0,0,'Données projet'!$E$11+1,1))</f>
        <v>374.62597460242665</v>
      </c>
      <c r="BJ74" s="60">
        <f t="shared" si="92"/>
        <v>277.50105097454616</v>
      </c>
      <c r="BK74" s="16">
        <f>IF(ISNA(VLOOKUP(A74,'Données projet'!$A$87:$I$107,3,0)),0,VLOOKUP(A74,'Données projet'!$A$87:$I$107,3,0))</f>
        <v>11</v>
      </c>
      <c r="BL74" s="16">
        <f>IF(ISNA(VLOOKUP(A74,'Données projet'!$A$87:$I$107,4,0)),0,VLOOKUP(A74,'Données projet'!$A$87:$I$107,4,0))</f>
        <v>91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6.4</v>
      </c>
      <c r="BY74" s="13">
        <f>IF('Données projet'!$A$114&gt;35,BY73+BX74-CG73,IF(A74&lt;'Données projet'!$A$114,$BV$205^A74,IF(A74='Données projet'!$A$114,'Données projet'!$B$114,BY73+BX74-CG73)))</f>
        <v>227.40000000000009</v>
      </c>
      <c r="BZ74" s="14">
        <f>BY74*VLOOKUP('Données projet'!$B$12,Paramètres!$A$1:$I$89,3,0)*VLOOKUP('Données projet'!$B$12,Paramètres!$A$1:$I$89,5,0)</f>
        <v>205.75152000000008</v>
      </c>
      <c r="CA74" s="14">
        <f t="shared" si="93"/>
        <v>51.006084477955554</v>
      </c>
      <c r="CB74" s="22">
        <f t="shared" si="64"/>
        <v>447.18616113243934</v>
      </c>
      <c r="CC74" s="60">
        <f t="shared" si="65"/>
        <v>700.29930303773881</v>
      </c>
      <c r="CD74" s="60">
        <f ca="1">AVERAGE(OFFSET($CC$3,0,0,'Données projet'!$E$12+1,1))-AVERAGE(OFFSET($H$3,0,0,'Données projet'!$E$12+1,1))</f>
        <v>434.56763649859136</v>
      </c>
      <c r="CE74" s="60">
        <f t="shared" si="94"/>
        <v>271.90302066766264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6.4</v>
      </c>
      <c r="CT74" s="13">
        <f>IF('Données projet'!$A$140&gt;35,CT73+CS74-DB73,IF(A74&lt;'Données projet'!$A$140,$CQ$205^A74,IF(A74='Données projet'!$A$140,'Données projet'!$B$140,CT73+CS74-DB73)))</f>
        <v>227.40000000000009</v>
      </c>
      <c r="CU74" s="18">
        <f>CT74*VLOOKUP('Données projet'!$B$13,Paramètres!$A$1:$I$89,3,0)*VLOOKUP('Données projet'!$B$13,Paramètres!$A$1:$I$89,5,0)</f>
        <v>191.56176000000011</v>
      </c>
      <c r="CV74" s="14">
        <f t="shared" si="95"/>
        <v>47.885071135583438</v>
      </c>
      <c r="CW74" s="22">
        <f t="shared" si="67"/>
        <v>417.03656422780801</v>
      </c>
      <c r="CX74" s="60">
        <f t="shared" si="68"/>
        <v>670.14970613310743</v>
      </c>
      <c r="CY74" s="60">
        <f ca="1">AVERAGE(OFFSET($CX$3,0,0,'Données projet'!$E$13+1,1))-AVERAGE(OFFSET($H$3,0,0,'Données projet'!$E$13+1,1))</f>
        <v>411.64829629901465</v>
      </c>
      <c r="CZ74" s="60">
        <f t="shared" si="96"/>
        <v>258.66864562757917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6.4</v>
      </c>
      <c r="DO74" s="13">
        <f>IF('Données projet'!$A$166&gt;35,DO73+DN74-DW73,IF(A74&lt;'Données projet'!$A$166,$DL$205^A74,IF(A74='Données projet'!$A$166,'Données projet'!$B$166,DO73+DN74-DW73)))</f>
        <v>227.40000000000009</v>
      </c>
      <c r="DP74" s="18">
        <f>DO74*VLOOKUP('Données projet'!$B$14,Paramètres!$A$1:$I$89,3,0)*VLOOKUP('Données projet'!$B$14,Paramètres!$A$1:$I$89,5,0)</f>
        <v>230.5836000000001</v>
      </c>
      <c r="DQ74" s="14">
        <f t="shared" si="97"/>
        <v>56.408850878328018</v>
      </c>
      <c r="DR74" s="22">
        <f t="shared" si="70"/>
        <v>499.84518527975473</v>
      </c>
      <c r="DS74" s="60">
        <f t="shared" si="71"/>
        <v>752.95832718505426</v>
      </c>
      <c r="DT74" s="60">
        <f ca="1">AVERAGE(OFFSET($DS$3,0,0,'Données projet'!$E$14+1,1))-AVERAGE(OFFSET($H$3,0,0,'Données projet'!$E$14+1,1))</f>
        <v>474.59791006623266</v>
      </c>
      <c r="DU74" s="60">
        <f t="shared" si="98"/>
        <v>295.01432800690293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-5.6843418860808015E-14</v>
      </c>
      <c r="EK74" s="18">
        <f>EJ74*VLOOKUP('Données projet'!$B$15,Paramètres!$A$1:$I$89,3,0)*VLOOKUP('Données projet'!$B$15,Paramètres!$A$1:$I$89,5,0)</f>
        <v>-4.9658410716801891E-14</v>
      </c>
      <c r="EL74" s="14" t="e">
        <f t="shared" si="99"/>
        <v>#NUM!</v>
      </c>
      <c r="EM74" s="22" t="e">
        <f t="shared" si="73"/>
        <v>#NUM!</v>
      </c>
      <c r="EN74" s="60" t="e">
        <f t="shared" si="74"/>
        <v>#NUM!</v>
      </c>
      <c r="EO74" s="60">
        <f ca="1">AVERAGE(OFFSET($EN$3,0,0,'Données projet'!$E$15+1,1))-AVERAGE(OFFSET($H$3,0,0,'Données projet'!$E$15+1,1))</f>
        <v>334.73467807584336</v>
      </c>
      <c r="EP74" s="60">
        <f t="shared" si="100"/>
        <v>463.8772059551726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3.7611722306288642</v>
      </c>
      <c r="EW74" s="23">
        <f>EXP(-LN(2)/25)*EW73+(1-EXP(-LN(2)/25))/(LN(2)/25)*Calculateur!ER74*Calculateur!ET74*VLOOKUP('Données projet'!$B$15,Paramètres!$A$1:$I$89,3,0)*0.475*44/12</f>
        <v>6.1163873492187815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9.8775595798476452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135.66666666666666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0">
        <f t="shared" si="55"/>
        <v>253.81087230770066</v>
      </c>
      <c r="S75" s="60">
        <f ca="1">AVERAGE(OFFSET($R$3,0,0,'Données projet'!$E$9+1,1))-AVERAGE(OFFSET($H$3,0,0,'Données projet'!$E$9+1,1))</f>
        <v>199.65420589615553</v>
      </c>
      <c r="T75" s="60">
        <f t="shared" si="88"/>
        <v>477.85821088970999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0">
        <f t="shared" si="59"/>
        <v>253.81087230770066</v>
      </c>
      <c r="AN75" s="60">
        <f ca="1">AVERAGE(OFFSET($AM$3,0,0,'Données projet'!$E$10+1,1))-AVERAGE(OFFSET($H$3,0,0,'Données projet'!$E$10+1,1))</f>
        <v>199.65420589615553</v>
      </c>
      <c r="AO75" s="60">
        <f t="shared" si="90"/>
        <v>477.85821088970999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390</v>
      </c>
      <c r="BB75" s="13">
        <f>VLOOKUP(A75,'Données projet'!$A$87:$I$107,9,0)</f>
        <v>15</v>
      </c>
      <c r="BC75" s="13">
        <f t="array" ref="BC75">INDEX(BB:BB,MIN(IF(ISNUMBER(BB75:BB271),ROW(BB75:BB271),"")))</f>
        <v>15</v>
      </c>
      <c r="BD75" s="13">
        <f>IF('Données projet'!$A$88&gt;35,BD74+BC75-BL74,IF(A75&lt;'Données projet'!$A$88,$BA$205^A75,IF(A75='Données projet'!$A$88,'Données projet'!$B$88,BD74+BC75-BL74)))</f>
        <v>390.00000000000017</v>
      </c>
      <c r="BE75" s="14">
        <f>BD75*VLOOKUP('Données projet'!$B$11,Paramètres!$A$1:$I$89,3,0)*VLOOKUP('Données projet'!$B$11,Paramètres!$A$1:$I$89,5,0)</f>
        <v>182.5200000000001</v>
      </c>
      <c r="BF75" s="14">
        <f t="shared" si="91"/>
        <v>45.882385280285632</v>
      </c>
      <c r="BG75" s="22">
        <f t="shared" si="61"/>
        <v>397.80082102983096</v>
      </c>
      <c r="BH75" s="60">
        <f t="shared" si="62"/>
        <v>651.61169333752969</v>
      </c>
      <c r="BI75" s="60">
        <f ca="1">AVERAGE(OFFSET($BH$3,0,0,'Données projet'!$E$11+1,1))-AVERAGE(OFFSET($H$3,0,0,'Données projet'!$E$11+1,1))</f>
        <v>374.62597460242665</v>
      </c>
      <c r="BJ75" s="60">
        <f t="shared" si="92"/>
        <v>277.50105097454616</v>
      </c>
      <c r="BK75" s="16">
        <f>IF(ISNA(VLOOKUP(A75,'Données projet'!$A$87:$I$107,3,0)),0,VLOOKUP(A75,'Données projet'!$A$87:$I$107,3,0))</f>
        <v>12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6.4</v>
      </c>
      <c r="BY75" s="13">
        <f>IF('Données projet'!$A$114&gt;35,BY74+BX75-CG74,IF(A75&lt;'Données projet'!$A$114,$BV$205^A75,IF(A75='Données projet'!$A$114,'Données projet'!$B$114,BY74+BX75-CG74)))</f>
        <v>233.8000000000001</v>
      </c>
      <c r="BZ75" s="14">
        <f>BY75*VLOOKUP('Données projet'!$B$12,Paramètres!$A$1:$I$89,3,0)*VLOOKUP('Données projet'!$B$12,Paramètres!$A$1:$I$89,5,0)</f>
        <v>211.54224000000008</v>
      </c>
      <c r="CA75" s="14">
        <f t="shared" si="93"/>
        <v>52.272460284041784</v>
      </c>
      <c r="CB75" s="22">
        <f t="shared" si="64"/>
        <v>459.47726966137287</v>
      </c>
      <c r="CC75" s="60">
        <f t="shared" si="65"/>
        <v>713.2881419690716</v>
      </c>
      <c r="CD75" s="60">
        <f ca="1">AVERAGE(OFFSET($CC$3,0,0,'Données projet'!$E$12+1,1))-AVERAGE(OFFSET($H$3,0,0,'Données projet'!$E$12+1,1))</f>
        <v>434.56763649859136</v>
      </c>
      <c r="CE75" s="60">
        <f t="shared" si="94"/>
        <v>271.90302066766264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6.4</v>
      </c>
      <c r="CT75" s="13">
        <f>IF('Données projet'!$A$140&gt;35,CT74+CS75-DB74,IF(A75&lt;'Données projet'!$A$140,$CQ$205^A75,IF(A75='Données projet'!$A$140,'Données projet'!$B$140,CT74+CS75-DB74)))</f>
        <v>233.8000000000001</v>
      </c>
      <c r="CU75" s="18">
        <f>CT75*VLOOKUP('Données projet'!$B$13,Paramètres!$A$1:$I$89,3,0)*VLOOKUP('Données projet'!$B$13,Paramètres!$A$1:$I$89,5,0)</f>
        <v>196.9531200000001</v>
      </c>
      <c r="CV75" s="14">
        <f t="shared" si="95"/>
        <v>49.073958621840674</v>
      </c>
      <c r="CW75" s="22">
        <f t="shared" si="67"/>
        <v>428.49716193303931</v>
      </c>
      <c r="CX75" s="60">
        <f t="shared" si="68"/>
        <v>682.30803424073792</v>
      </c>
      <c r="CY75" s="60">
        <f ca="1">AVERAGE(OFFSET($CX$3,0,0,'Données projet'!$E$13+1,1))-AVERAGE(OFFSET($H$3,0,0,'Données projet'!$E$13+1,1))</f>
        <v>411.64829629901465</v>
      </c>
      <c r="CZ75" s="60">
        <f t="shared" si="96"/>
        <v>258.66864562757917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6.4</v>
      </c>
      <c r="DO75" s="13">
        <f>IF('Données projet'!$A$166&gt;35,DO74+DN75-DW74,IF(A75&lt;'Données projet'!$A$166,$DL$205^A75,IF(A75='Données projet'!$A$166,'Données projet'!$B$166,DO74+DN75-DW74)))</f>
        <v>233.8000000000001</v>
      </c>
      <c r="DP75" s="18">
        <f>DO75*VLOOKUP('Données projet'!$B$14,Paramètres!$A$1:$I$89,3,0)*VLOOKUP('Données projet'!$B$14,Paramètres!$A$1:$I$89,5,0)</f>
        <v>237.0732000000001</v>
      </c>
      <c r="DQ75" s="14">
        <f t="shared" si="97"/>
        <v>57.809366223361302</v>
      </c>
      <c r="DR75" s="22">
        <f t="shared" si="70"/>
        <v>513.58713617235435</v>
      </c>
      <c r="DS75" s="60">
        <f t="shared" si="71"/>
        <v>767.39800848005302</v>
      </c>
      <c r="DT75" s="60">
        <f ca="1">AVERAGE(OFFSET($DS$3,0,0,'Données projet'!$E$14+1,1))-AVERAGE(OFFSET($H$3,0,0,'Données projet'!$E$14+1,1))</f>
        <v>474.59791006623266</v>
      </c>
      <c r="DU75" s="60">
        <f t="shared" si="98"/>
        <v>295.01432800690293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-5.6843418860808015E-14</v>
      </c>
      <c r="EK75" s="18">
        <f>EJ75*VLOOKUP('Données projet'!$B$15,Paramètres!$A$1:$I$89,3,0)*VLOOKUP('Données projet'!$B$15,Paramètres!$A$1:$I$89,5,0)</f>
        <v>-4.9658410716801891E-14</v>
      </c>
      <c r="EL75" s="14" t="e">
        <f t="shared" si="99"/>
        <v>#NUM!</v>
      </c>
      <c r="EM75" s="22" t="e">
        <f t="shared" si="73"/>
        <v>#NUM!</v>
      </c>
      <c r="EN75" s="60" t="e">
        <f t="shared" si="74"/>
        <v>#NUM!</v>
      </c>
      <c r="EO75" s="60">
        <f ca="1">AVERAGE(OFFSET($EN$3,0,0,'Données projet'!$E$15+1,1))-AVERAGE(OFFSET($H$3,0,0,'Données projet'!$E$15+1,1))</f>
        <v>334.73467807584336</v>
      </c>
      <c r="EP75" s="60">
        <f t="shared" si="100"/>
        <v>463.8772059551726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3.6874179372747706</v>
      </c>
      <c r="EW75" s="23">
        <f>EXP(-LN(2)/25)*EW74+(1-EXP(-LN(2)/25))/(LN(2)/25)*Calculateur!ER75*Calculateur!ET75*VLOOKUP('Données projet'!$B$15,Paramètres!$A$1:$I$89,3,0)*0.475*44/12</f>
        <v>5.9491344155075625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9.6365523527823331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135.66666666666666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0">
        <f t="shared" si="55"/>
        <v>254.49649864750967</v>
      </c>
      <c r="S76" s="60">
        <f ca="1">AVERAGE(OFFSET($R$3,0,0,'Données projet'!$E$9+1,1))-AVERAGE(OFFSET($H$3,0,0,'Données projet'!$E$9+1,1))</f>
        <v>199.65420589615553</v>
      </c>
      <c r="T76" s="60">
        <f t="shared" si="88"/>
        <v>477.85821088970999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0">
        <f t="shared" si="59"/>
        <v>254.49649864750967</v>
      </c>
      <c r="AN76" s="60">
        <f ca="1">AVERAGE(OFFSET($AM$3,0,0,'Données projet'!$E$10+1,1))-AVERAGE(OFFSET($H$3,0,0,'Données projet'!$E$10+1,1))</f>
        <v>199.65420589615553</v>
      </c>
      <c r="AO76" s="60">
        <f t="shared" si="90"/>
        <v>477.85821088970999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15.142857142857142</v>
      </c>
      <c r="BD76" s="13">
        <f>IF('Données projet'!$A$88&gt;35,BD75+BC76-BL75,IF(A76&lt;'Données projet'!$A$88,$BA$205^A76,IF(A76='Données projet'!$A$88,'Données projet'!$B$88,BD75+BC76-BL75)))</f>
        <v>405.14285714285734</v>
      </c>
      <c r="BE76" s="14">
        <f>BD76*VLOOKUP('Données projet'!$B$11,Paramètres!$A$1:$I$89,3,0)*VLOOKUP('Données projet'!$B$11,Paramètres!$A$1:$I$89,5,0)</f>
        <v>189.60685714285725</v>
      </c>
      <c r="BF76" s="14">
        <f t="shared" si="91"/>
        <v>47.453024072159629</v>
      </c>
      <c r="BG76" s="22">
        <f t="shared" si="61"/>
        <v>412.87929311615432</v>
      </c>
      <c r="BH76" s="60">
        <f t="shared" si="62"/>
        <v>667.37579176366194</v>
      </c>
      <c r="BI76" s="60">
        <f ca="1">AVERAGE(OFFSET($BH$3,0,0,'Données projet'!$E$11+1,1))-AVERAGE(OFFSET($H$3,0,0,'Données projet'!$E$11+1,1))</f>
        <v>374.62597460242665</v>
      </c>
      <c r="BJ76" s="60">
        <f t="shared" si="92"/>
        <v>277.50105097454616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6.4</v>
      </c>
      <c r="BY76" s="13">
        <f>IF('Données projet'!$A$114&gt;35,BY75+BX76-CG75,IF(A76&lt;'Données projet'!$A$114,$BV$205^A76,IF(A76='Données projet'!$A$114,'Données projet'!$B$114,BY75+BX76-CG75)))</f>
        <v>240.2000000000001</v>
      </c>
      <c r="BZ76" s="14">
        <f>BY76*VLOOKUP('Données projet'!$B$12,Paramètres!$A$1:$I$89,3,0)*VLOOKUP('Données projet'!$B$12,Paramètres!$A$1:$I$89,5,0)</f>
        <v>217.3329600000001</v>
      </c>
      <c r="CA76" s="14">
        <f t="shared" si="93"/>
        <v>53.53480691026855</v>
      </c>
      <c r="CB76" s="22">
        <f t="shared" si="64"/>
        <v>471.76136070205121</v>
      </c>
      <c r="CC76" s="60">
        <f t="shared" si="65"/>
        <v>726.25785934955888</v>
      </c>
      <c r="CD76" s="60">
        <f ca="1">AVERAGE(OFFSET($CC$3,0,0,'Données projet'!$E$12+1,1))-AVERAGE(OFFSET($H$3,0,0,'Données projet'!$E$12+1,1))</f>
        <v>434.56763649859136</v>
      </c>
      <c r="CE76" s="60">
        <f t="shared" si="94"/>
        <v>271.90302066766264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6.4</v>
      </c>
      <c r="CT76" s="13">
        <f>IF('Données projet'!$A$140&gt;35,CT75+CS76-DB75,IF(A76&lt;'Données projet'!$A$140,$CQ$205^A76,IF(A76='Données projet'!$A$140,'Données projet'!$B$140,CT75+CS76-DB75)))</f>
        <v>240.2000000000001</v>
      </c>
      <c r="CU76" s="18">
        <f>CT76*VLOOKUP('Données projet'!$B$13,Paramètres!$A$1:$I$89,3,0)*VLOOKUP('Données projet'!$B$13,Paramètres!$A$1:$I$89,5,0)</f>
        <v>202.34448000000009</v>
      </c>
      <c r="CV76" s="14">
        <f t="shared" si="95"/>
        <v>50.259063469885916</v>
      </c>
      <c r="CW76" s="22">
        <f t="shared" si="67"/>
        <v>439.95117154338482</v>
      </c>
      <c r="CX76" s="60">
        <f t="shared" si="68"/>
        <v>694.4476701908925</v>
      </c>
      <c r="CY76" s="60">
        <f ca="1">AVERAGE(OFFSET($CX$3,0,0,'Données projet'!$E$13+1,1))-AVERAGE(OFFSET($H$3,0,0,'Données projet'!$E$13+1,1))</f>
        <v>411.64829629901465</v>
      </c>
      <c r="CZ76" s="60">
        <f t="shared" si="96"/>
        <v>258.66864562757917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6.4</v>
      </c>
      <c r="DO76" s="13">
        <f>IF('Données projet'!$A$166&gt;35,DO75+DN76-DW75,IF(A76&lt;'Données projet'!$A$166,$DL$205^A76,IF(A76='Données projet'!$A$166,'Données projet'!$B$166,DO75+DN76-DW75)))</f>
        <v>240.2000000000001</v>
      </c>
      <c r="DP76" s="18">
        <f>DO76*VLOOKUP('Données projet'!$B$14,Paramètres!$A$1:$I$89,3,0)*VLOOKUP('Données projet'!$B$14,Paramètres!$A$1:$I$89,5,0)</f>
        <v>243.56280000000012</v>
      </c>
      <c r="DQ76" s="14">
        <f t="shared" si="97"/>
        <v>59.205425601852873</v>
      </c>
      <c r="DR76" s="22">
        <f t="shared" si="70"/>
        <v>527.32132625656061</v>
      </c>
      <c r="DS76" s="60">
        <f t="shared" si="71"/>
        <v>781.81782490406829</v>
      </c>
      <c r="DT76" s="60">
        <f ca="1">AVERAGE(OFFSET($DS$3,0,0,'Données projet'!$E$14+1,1))-AVERAGE(OFFSET($H$3,0,0,'Données projet'!$E$14+1,1))</f>
        <v>474.59791006623266</v>
      </c>
      <c r="DU76" s="60">
        <f t="shared" si="98"/>
        <v>295.01432800690293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-5.6843418860808015E-14</v>
      </c>
      <c r="EK76" s="18">
        <f>EJ76*VLOOKUP('Données projet'!$B$15,Paramètres!$A$1:$I$89,3,0)*VLOOKUP('Données projet'!$B$15,Paramètres!$A$1:$I$89,5,0)</f>
        <v>-4.9658410716801891E-14</v>
      </c>
      <c r="EL76" s="14" t="e">
        <f t="shared" si="99"/>
        <v>#NUM!</v>
      </c>
      <c r="EM76" s="22" t="e">
        <f t="shared" si="73"/>
        <v>#NUM!</v>
      </c>
      <c r="EN76" s="60" t="e">
        <f t="shared" si="74"/>
        <v>#NUM!</v>
      </c>
      <c r="EO76" s="60">
        <f ca="1">AVERAGE(OFFSET($EN$3,0,0,'Données projet'!$E$15+1,1))-AVERAGE(OFFSET($H$3,0,0,'Données projet'!$E$15+1,1))</f>
        <v>334.73467807584336</v>
      </c>
      <c r="EP76" s="60">
        <f t="shared" si="100"/>
        <v>463.8772059551726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3.6151099206276736</v>
      </c>
      <c r="EW76" s="23">
        <f>EXP(-LN(2)/25)*EW75+(1-EXP(-LN(2)/25))/(LN(2)/25)*Calculateur!ER76*Calculateur!ET76*VLOOKUP('Données projet'!$B$15,Paramètres!$A$1:$I$89,3,0)*0.475*44/12</f>
        <v>5.7864550220641267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9.4015649426918007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135.66666666666666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0">
        <f t="shared" si="55"/>
        <v>255.17023090315394</v>
      </c>
      <c r="S77" s="60">
        <f ca="1">AVERAGE(OFFSET($R$3,0,0,'Données projet'!$E$9+1,1))-AVERAGE(OFFSET($H$3,0,0,'Données projet'!$E$9+1,1))</f>
        <v>199.65420589615553</v>
      </c>
      <c r="T77" s="60">
        <f t="shared" si="88"/>
        <v>477.85821088970999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0">
        <f t="shared" si="59"/>
        <v>255.17023090315394</v>
      </c>
      <c r="AN77" s="60">
        <f ca="1">AVERAGE(OFFSET($AM$3,0,0,'Données projet'!$E$10+1,1))-AVERAGE(OFFSET($H$3,0,0,'Données projet'!$E$10+1,1))</f>
        <v>199.65420589615553</v>
      </c>
      <c r="AO77" s="60">
        <f t="shared" si="90"/>
        <v>477.85821088970999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15.142857142857142</v>
      </c>
      <c r="BD77" s="13">
        <f>IF('Données projet'!$A$88&gt;35,BD76+BC77-BL76,IF(A77&lt;'Données projet'!$A$88,$BA$205^A77,IF(A77='Données projet'!$A$88,'Données projet'!$B$88,BD76+BC77-BL76)))</f>
        <v>420.2857142857145</v>
      </c>
      <c r="BE77" s="14">
        <f>BD77*VLOOKUP('Données projet'!$B$11,Paramètres!$A$1:$I$89,3,0)*VLOOKUP('Données projet'!$B$11,Paramètres!$A$1:$I$89,5,0)</f>
        <v>196.69371428571441</v>
      </c>
      <c r="BF77" s="14">
        <f t="shared" si="91"/>
        <v>49.016842754125221</v>
      </c>
      <c r="BG77" s="22">
        <f t="shared" si="61"/>
        <v>427.9458868443873</v>
      </c>
      <c r="BH77" s="60">
        <f t="shared" si="62"/>
        <v>683.11611774753919</v>
      </c>
      <c r="BI77" s="60">
        <f ca="1">AVERAGE(OFFSET($BH$3,0,0,'Données projet'!$E$11+1,1))-AVERAGE(OFFSET($H$3,0,0,'Données projet'!$E$11+1,1))</f>
        <v>374.62597460242665</v>
      </c>
      <c r="BJ77" s="60">
        <f t="shared" si="92"/>
        <v>277.50105097454616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6.4</v>
      </c>
      <c r="BY77" s="13">
        <f>IF('Données projet'!$A$114&gt;35,BY76+BX77-CG76,IF(A77&lt;'Données projet'!$A$114,$BV$205^A77,IF(A77='Données projet'!$A$114,'Données projet'!$B$114,BY76+BX77-CG76)))</f>
        <v>246.60000000000011</v>
      </c>
      <c r="BZ77" s="14">
        <f>BY77*VLOOKUP('Données projet'!$B$12,Paramètres!$A$1:$I$89,3,0)*VLOOKUP('Données projet'!$B$12,Paramètres!$A$1:$I$89,5,0)</f>
        <v>223.12368000000009</v>
      </c>
      <c r="CA77" s="14">
        <f t="shared" si="93"/>
        <v>54.793244051140647</v>
      </c>
      <c r="CB77" s="22">
        <f t="shared" si="64"/>
        <v>484.03864272240349</v>
      </c>
      <c r="CC77" s="60">
        <f t="shared" si="65"/>
        <v>739.2088736255555</v>
      </c>
      <c r="CD77" s="60">
        <f ca="1">AVERAGE(OFFSET($CC$3,0,0,'Données projet'!$E$12+1,1))-AVERAGE(OFFSET($H$3,0,0,'Données projet'!$E$12+1,1))</f>
        <v>434.56763649859136</v>
      </c>
      <c r="CE77" s="60">
        <f t="shared" si="94"/>
        <v>271.90302066766264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6.4</v>
      </c>
      <c r="CT77" s="13">
        <f>IF('Données projet'!$A$140&gt;35,CT76+CS77-DB76,IF(A77&lt;'Données projet'!$A$140,$CQ$205^A77,IF(A77='Données projet'!$A$140,'Données projet'!$B$140,CT76+CS77-DB76)))</f>
        <v>246.60000000000011</v>
      </c>
      <c r="CU77" s="18">
        <f>CT77*VLOOKUP('Données projet'!$B$13,Paramètres!$A$1:$I$89,3,0)*VLOOKUP('Données projet'!$B$13,Paramètres!$A$1:$I$89,5,0)</f>
        <v>207.73584000000011</v>
      </c>
      <c r="CV77" s="14">
        <f t="shared" si="95"/>
        <v>51.440498050232243</v>
      </c>
      <c r="CW77" s="22">
        <f t="shared" si="67"/>
        <v>451.39878877082128</v>
      </c>
      <c r="CX77" s="60">
        <f t="shared" si="68"/>
        <v>706.56901967397323</v>
      </c>
      <c r="CY77" s="60">
        <f ca="1">AVERAGE(OFFSET($CX$3,0,0,'Données projet'!$E$13+1,1))-AVERAGE(OFFSET($H$3,0,0,'Données projet'!$E$13+1,1))</f>
        <v>411.64829629901465</v>
      </c>
      <c r="CZ77" s="60">
        <f t="shared" si="96"/>
        <v>258.66864562757917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6.4</v>
      </c>
      <c r="DO77" s="13">
        <f>IF('Données projet'!$A$166&gt;35,DO76+DN77-DW76,IF(A77&lt;'Données projet'!$A$166,$DL$205^A77,IF(A77='Données projet'!$A$166,'Données projet'!$B$166,DO76+DN77-DW76)))</f>
        <v>246.60000000000011</v>
      </c>
      <c r="DP77" s="18">
        <f>DO77*VLOOKUP('Données projet'!$B$14,Paramètres!$A$1:$I$89,3,0)*VLOOKUP('Données projet'!$B$14,Paramètres!$A$1:$I$89,5,0)</f>
        <v>250.05240000000012</v>
      </c>
      <c r="DQ77" s="14">
        <f t="shared" si="97"/>
        <v>60.597161386823522</v>
      </c>
      <c r="DR77" s="22">
        <f t="shared" si="70"/>
        <v>541.04798608205112</v>
      </c>
      <c r="DS77" s="60">
        <f t="shared" si="71"/>
        <v>796.21821698520307</v>
      </c>
      <c r="DT77" s="60">
        <f ca="1">AVERAGE(OFFSET($DS$3,0,0,'Données projet'!$E$14+1,1))-AVERAGE(OFFSET($H$3,0,0,'Données projet'!$E$14+1,1))</f>
        <v>474.59791006623266</v>
      </c>
      <c r="DU77" s="60">
        <f t="shared" si="98"/>
        <v>295.01432800690293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-5.6843418860808015E-14</v>
      </c>
      <c r="EK77" s="18">
        <f>EJ77*VLOOKUP('Données projet'!$B$15,Paramètres!$A$1:$I$89,3,0)*VLOOKUP('Données projet'!$B$15,Paramètres!$A$1:$I$89,5,0)</f>
        <v>-4.9658410716801891E-14</v>
      </c>
      <c r="EL77" s="14" t="e">
        <f t="shared" si="99"/>
        <v>#NUM!</v>
      </c>
      <c r="EM77" s="22" t="e">
        <f t="shared" si="73"/>
        <v>#NUM!</v>
      </c>
      <c r="EN77" s="60" t="e">
        <f t="shared" si="74"/>
        <v>#NUM!</v>
      </c>
      <c r="EO77" s="60">
        <f ca="1">AVERAGE(OFFSET($EN$3,0,0,'Données projet'!$E$15+1,1))-AVERAGE(OFFSET($H$3,0,0,'Données projet'!$E$15+1,1))</f>
        <v>334.73467807584336</v>
      </c>
      <c r="EP77" s="60">
        <f t="shared" si="100"/>
        <v>463.8772059551726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3.5442198200834909</v>
      </c>
      <c r="EW77" s="23">
        <f>EXP(-LN(2)/25)*EW76+(1-EXP(-LN(2)/25))/(LN(2)/25)*Calculateur!ER77*Calculateur!ET77*VLOOKUP('Données projet'!$B$15,Paramètres!$A$1:$I$89,3,0)*0.475*44/12</f>
        <v>5.6282241051893385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9.1724439252728303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135.66666666666666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0">
        <f t="shared" si="55"/>
        <v>255.83227541040236</v>
      </c>
      <c r="S78" s="60">
        <f ca="1">AVERAGE(OFFSET($R$3,0,0,'Données projet'!$E$9+1,1))-AVERAGE(OFFSET($H$3,0,0,'Données projet'!$E$9+1,1))</f>
        <v>199.65420589615553</v>
      </c>
      <c r="T78" s="60">
        <f t="shared" si="88"/>
        <v>477.85821088970999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0">
        <f t="shared" si="59"/>
        <v>255.83227541040236</v>
      </c>
      <c r="AN78" s="60">
        <f ca="1">AVERAGE(OFFSET($AM$3,0,0,'Données projet'!$E$10+1,1))-AVERAGE(OFFSET($H$3,0,0,'Données projet'!$E$10+1,1))</f>
        <v>199.65420589615553</v>
      </c>
      <c r="AO78" s="60">
        <f t="shared" si="90"/>
        <v>477.85821088970999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15.142857142857142</v>
      </c>
      <c r="BD78" s="13">
        <f>IF('Données projet'!$A$88&gt;35,BD77+BC78-BL77,IF(A78&lt;'Données projet'!$A$88,$BA$205^A78,IF(A78='Données projet'!$A$88,'Données projet'!$B$88,BD77+BC78-BL77)))</f>
        <v>435.42857142857167</v>
      </c>
      <c r="BE78" s="14">
        <f>BD78*VLOOKUP('Données projet'!$B$11,Paramètres!$A$1:$I$89,3,0)*VLOOKUP('Données projet'!$B$11,Paramètres!$A$1:$I$89,5,0)</f>
        <v>203.78057142857153</v>
      </c>
      <c r="BF78" s="14">
        <f t="shared" si="91"/>
        <v>50.574115202939069</v>
      </c>
      <c r="BG78" s="22">
        <f t="shared" si="61"/>
        <v>443.00107921654762</v>
      </c>
      <c r="BH78" s="60">
        <f t="shared" si="62"/>
        <v>698.83335462694799</v>
      </c>
      <c r="BI78" s="60">
        <f ca="1">AVERAGE(OFFSET($BH$3,0,0,'Données projet'!$E$11+1,1))-AVERAGE(OFFSET($H$3,0,0,'Données projet'!$E$11+1,1))</f>
        <v>374.62597460242665</v>
      </c>
      <c r="BJ78" s="60">
        <f t="shared" si="92"/>
        <v>277.50105097454616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253</v>
      </c>
      <c r="BW78" s="13">
        <f>VLOOKUP(A78,'Données projet'!$A$113:$I$133,9,0)</f>
        <v>6.4</v>
      </c>
      <c r="BX78" s="13">
        <f t="array" ref="BX78">INDEX(BW:BW,MIN(IF(ISNUMBER(BW78:BW274),ROW(BW78:BW274),"")))</f>
        <v>6.4</v>
      </c>
      <c r="BY78" s="13">
        <f>IF('Données projet'!$A$114&gt;35,BY77+BX78-CG77,IF(A78&lt;'Données projet'!$A$114,$BV$205^A78,IF(A78='Données projet'!$A$114,'Données projet'!$B$114,BY77+BX78-CG77)))</f>
        <v>253.00000000000011</v>
      </c>
      <c r="BZ78" s="14">
        <f>BY78*VLOOKUP('Données projet'!$B$12,Paramètres!$A$1:$I$89,3,0)*VLOOKUP('Données projet'!$B$12,Paramètres!$A$1:$I$89,5,0)</f>
        <v>228.91440000000011</v>
      </c>
      <c r="CA78" s="14">
        <f t="shared" si="93"/>
        <v>56.047884834417474</v>
      </c>
      <c r="CB78" s="22">
        <f t="shared" si="64"/>
        <v>496.30931275327725</v>
      </c>
      <c r="CC78" s="60">
        <f t="shared" si="65"/>
        <v>752.14158816367762</v>
      </c>
      <c r="CD78" s="60">
        <f ca="1">AVERAGE(OFFSET($CC$3,0,0,'Données projet'!$E$12+1,1))-AVERAGE(OFFSET($H$3,0,0,'Données projet'!$E$12+1,1))</f>
        <v>434.56763649859136</v>
      </c>
      <c r="CE78" s="60">
        <f t="shared" si="94"/>
        <v>271.90302066766264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253</v>
      </c>
      <c r="CR78" s="13">
        <f>VLOOKUP(A78,'Données projet'!$A$139:$I$159,9,0)</f>
        <v>6.4</v>
      </c>
      <c r="CS78" s="13">
        <f t="array" ref="CS78">INDEX(CR:CR,MIN(IF(ISNUMBER(CR78:CR274),ROW(CR78:CR274),"")))</f>
        <v>6.4</v>
      </c>
      <c r="CT78" s="13">
        <f>IF('Données projet'!$A$140&gt;35,CT77+CS78-DB77,IF(A78&lt;'Données projet'!$A$140,$CQ$205^A78,IF(A78='Données projet'!$A$140,'Données projet'!$B$140,CT77+CS78-DB77)))</f>
        <v>253.00000000000011</v>
      </c>
      <c r="CU78" s="18">
        <f>CT78*VLOOKUP('Données projet'!$B$13,Paramètres!$A$1:$I$89,3,0)*VLOOKUP('Données projet'!$B$13,Paramètres!$A$1:$I$89,5,0)</f>
        <v>213.1272000000001</v>
      </c>
      <c r="CV78" s="14">
        <f t="shared" si="95"/>
        <v>52.618368568459893</v>
      </c>
      <c r="CW78" s="22">
        <f t="shared" si="67"/>
        <v>462.84019859006776</v>
      </c>
      <c r="CX78" s="60">
        <f t="shared" si="68"/>
        <v>718.67247400046813</v>
      </c>
      <c r="CY78" s="60">
        <f ca="1">AVERAGE(OFFSET($CX$3,0,0,'Données projet'!$E$13+1,1))-AVERAGE(OFFSET($H$3,0,0,'Données projet'!$E$13+1,1))</f>
        <v>411.64829629901465</v>
      </c>
      <c r="CZ78" s="60">
        <f t="shared" si="96"/>
        <v>258.66864562757917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21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253</v>
      </c>
      <c r="DM78" s="13">
        <f>VLOOKUP(A78,'Données projet'!$A$165:$I$185,9,0)</f>
        <v>6.4</v>
      </c>
      <c r="DN78" s="13">
        <f t="array" ref="DN78">INDEX(DM:DM,MIN(IF(ISNUMBER(DM78:DM274),ROW(DM78:DM274),"")))</f>
        <v>6.4</v>
      </c>
      <c r="DO78" s="13">
        <f>IF('Données projet'!$A$166&gt;35,DO77+DN78-DW77,IF(A78&lt;'Données projet'!$A$166,$DL$205^A78,IF(A78='Données projet'!$A$166,'Données projet'!$B$166,DO77+DN78-DW77)))</f>
        <v>253.00000000000011</v>
      </c>
      <c r="DP78" s="18">
        <f>DO78*VLOOKUP('Données projet'!$B$14,Paramètres!$A$1:$I$89,3,0)*VLOOKUP('Données projet'!$B$14,Paramètres!$A$1:$I$89,5,0)</f>
        <v>256.54200000000014</v>
      </c>
      <c r="DQ78" s="14">
        <f t="shared" si="97"/>
        <v>61.984698688972557</v>
      </c>
      <c r="DR78" s="22">
        <f t="shared" si="70"/>
        <v>554.76733354996077</v>
      </c>
      <c r="DS78" s="60">
        <f t="shared" si="71"/>
        <v>810.59960896036114</v>
      </c>
      <c r="DT78" s="60">
        <f ca="1">AVERAGE(OFFSET($DS$3,0,0,'Données projet'!$E$14+1,1))-AVERAGE(OFFSET($H$3,0,0,'Données projet'!$E$14+1,1))</f>
        <v>474.59791006623266</v>
      </c>
      <c r="DU78" s="60">
        <f t="shared" si="98"/>
        <v>295.01432800690293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-5.6843418860808015E-14</v>
      </c>
      <c r="EK78" s="18">
        <f>EJ78*VLOOKUP('Données projet'!$B$15,Paramètres!$A$1:$I$89,3,0)*VLOOKUP('Données projet'!$B$15,Paramètres!$A$1:$I$89,5,0)</f>
        <v>-4.9658410716801891E-14</v>
      </c>
      <c r="EL78" s="14" t="e">
        <f t="shared" si="99"/>
        <v>#NUM!</v>
      </c>
      <c r="EM78" s="22" t="e">
        <f t="shared" si="73"/>
        <v>#NUM!</v>
      </c>
      <c r="EN78" s="60" t="e">
        <f t="shared" si="74"/>
        <v>#NUM!</v>
      </c>
      <c r="EO78" s="60">
        <f ca="1">AVERAGE(OFFSET($EN$3,0,0,'Données projet'!$E$15+1,1))-AVERAGE(OFFSET($H$3,0,0,'Données projet'!$E$15+1,1))</f>
        <v>334.73467807584336</v>
      </c>
      <c r="EP78" s="60">
        <f t="shared" si="100"/>
        <v>463.8772059551726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3.4747198311722878</v>
      </c>
      <c r="EW78" s="23">
        <f>EXP(-LN(2)/25)*EW77+(1-EXP(-LN(2)/25))/(LN(2)/25)*Calculateur!ER78*Calculateur!ET78*VLOOKUP('Données projet'!$B$15,Paramètres!$A$1:$I$89,3,0)*0.475*44/12</f>
        <v>5.474320021057494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8.9490398522297809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135.66666666666666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0">
        <f t="shared" si="55"/>
        <v>256.48283492555987</v>
      </c>
      <c r="S79" s="60">
        <f ca="1">AVERAGE(OFFSET($R$3,0,0,'Données projet'!$E$9+1,1))-AVERAGE(OFFSET($H$3,0,0,'Données projet'!$E$9+1,1))</f>
        <v>199.65420589615553</v>
      </c>
      <c r="T79" s="60">
        <f t="shared" si="88"/>
        <v>477.85821088970999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0">
        <f t="shared" si="59"/>
        <v>256.48283492555987</v>
      </c>
      <c r="AN79" s="60">
        <f ca="1">AVERAGE(OFFSET($AM$3,0,0,'Données projet'!$E$10+1,1))-AVERAGE(OFFSET($H$3,0,0,'Données projet'!$E$10+1,1))</f>
        <v>199.65420589615553</v>
      </c>
      <c r="AO79" s="60">
        <f t="shared" si="90"/>
        <v>477.85821088970999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15.142857142857142</v>
      </c>
      <c r="BD79" s="13">
        <f>IF('Données projet'!$A$88&gt;35,BD78+BC79-BL78,IF(A79&lt;'Données projet'!$A$88,$BA$205^A79,IF(A79='Données projet'!$A$88,'Données projet'!$B$88,BD78+BC79-BL78)))</f>
        <v>450.57142857142884</v>
      </c>
      <c r="BE79" s="14">
        <f>BD79*VLOOKUP('Données projet'!$B$11,Paramètres!$A$1:$I$89,3,0)*VLOOKUP('Données projet'!$B$11,Paramètres!$A$1:$I$89,5,0)</f>
        <v>210.86742857142869</v>
      </c>
      <c r="BF79" s="14">
        <f t="shared" si="91"/>
        <v>52.125095165913116</v>
      </c>
      <c r="BG79" s="22">
        <f t="shared" si="61"/>
        <v>458.04531217587032</v>
      </c>
      <c r="BH79" s="60">
        <f t="shared" si="62"/>
        <v>714.5281471014282</v>
      </c>
      <c r="BI79" s="60">
        <f ca="1">AVERAGE(OFFSET($BH$3,0,0,'Données projet'!$E$11+1,1))-AVERAGE(OFFSET($H$3,0,0,'Données projet'!$E$11+1,1))</f>
        <v>374.62597460242665</v>
      </c>
      <c r="BJ79" s="60">
        <f t="shared" si="92"/>
        <v>277.50105097454616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238.00000000000011</v>
      </c>
      <c r="BZ79" s="14">
        <f>BY79*VLOOKUP('Données projet'!$B$12,Paramètres!$A$1:$I$89,3,0)*VLOOKUP('Données projet'!$B$12,Paramètres!$A$1:$I$89,5,0)</f>
        <v>215.34240000000008</v>
      </c>
      <c r="CA79" s="14">
        <f t="shared" si="93"/>
        <v>53.101322124397257</v>
      </c>
      <c r="CB79" s="22">
        <f t="shared" si="64"/>
        <v>467.53948269999205</v>
      </c>
      <c r="CC79" s="60">
        <f t="shared" si="65"/>
        <v>724.02231762554993</v>
      </c>
      <c r="CD79" s="60">
        <f ca="1">AVERAGE(OFFSET($CC$3,0,0,'Données projet'!$E$12+1,1))-AVERAGE(OFFSET($H$3,0,0,'Données projet'!$E$12+1,1))</f>
        <v>434.56763649859136</v>
      </c>
      <c r="CE79" s="60">
        <f t="shared" si="94"/>
        <v>271.90302066766264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238.00000000000011</v>
      </c>
      <c r="CU79" s="18">
        <f>CT79*VLOOKUP('Données projet'!$B$13,Paramètres!$A$1:$I$89,3,0)*VLOOKUP('Données projet'!$B$13,Paramètres!$A$1:$I$89,5,0)</f>
        <v>200.49120000000011</v>
      </c>
      <c r="CV79" s="14">
        <f t="shared" si="95"/>
        <v>49.852103201908299</v>
      </c>
      <c r="CW79" s="22">
        <f t="shared" si="67"/>
        <v>436.01458640999044</v>
      </c>
      <c r="CX79" s="60">
        <f t="shared" si="68"/>
        <v>692.49742133554832</v>
      </c>
      <c r="CY79" s="60">
        <f ca="1">AVERAGE(OFFSET($CX$3,0,0,'Données projet'!$E$13+1,1))-AVERAGE(OFFSET($H$3,0,0,'Données projet'!$E$13+1,1))</f>
        <v>411.64829629901465</v>
      </c>
      <c r="CZ79" s="60">
        <f t="shared" si="96"/>
        <v>258.66864562757917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238.00000000000011</v>
      </c>
      <c r="DP79" s="18">
        <f>DO79*VLOOKUP('Données projet'!$B$14,Paramètres!$A$1:$I$89,3,0)*VLOOKUP('Données projet'!$B$14,Paramètres!$A$1:$I$89,5,0)</f>
        <v>241.33200000000014</v>
      </c>
      <c r="DQ79" s="14">
        <f t="shared" si="97"/>
        <v>58.726024391301159</v>
      </c>
      <c r="DR79" s="22">
        <f t="shared" si="70"/>
        <v>522.60105914818303</v>
      </c>
      <c r="DS79" s="60">
        <f t="shared" si="71"/>
        <v>779.08389407374091</v>
      </c>
      <c r="DT79" s="60">
        <f ca="1">AVERAGE(OFFSET($DS$3,0,0,'Données projet'!$E$14+1,1))-AVERAGE(OFFSET($H$3,0,0,'Données projet'!$E$14+1,1))</f>
        <v>474.59791006623266</v>
      </c>
      <c r="DU79" s="60">
        <f t="shared" si="98"/>
        <v>295.01432800690293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-5.6843418860808015E-14</v>
      </c>
      <c r="EK79" s="18">
        <f>EJ79*VLOOKUP('Données projet'!$B$15,Paramètres!$A$1:$I$89,3,0)*VLOOKUP('Données projet'!$B$15,Paramètres!$A$1:$I$89,5,0)</f>
        <v>-4.9658410716801891E-14</v>
      </c>
      <c r="EL79" s="14" t="e">
        <f t="shared" si="99"/>
        <v>#NUM!</v>
      </c>
      <c r="EM79" s="22" t="e">
        <f t="shared" si="73"/>
        <v>#NUM!</v>
      </c>
      <c r="EN79" s="60" t="e">
        <f t="shared" si="74"/>
        <v>#NUM!</v>
      </c>
      <c r="EO79" s="60">
        <f ca="1">AVERAGE(OFFSET($EN$3,0,0,'Données projet'!$E$15+1,1))-AVERAGE(OFFSET($H$3,0,0,'Données projet'!$E$15+1,1))</f>
        <v>334.73467807584336</v>
      </c>
      <c r="EP79" s="60">
        <f t="shared" si="100"/>
        <v>463.8772059551726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3.4065826946528257</v>
      </c>
      <c r="EW79" s="23">
        <f>EXP(-LN(2)/25)*EW78+(1-EXP(-LN(2)/25))/(LN(2)/25)*Calculateur!ER79*Calculateur!ET79*VLOOKUP('Données projet'!$B$15,Paramètres!$A$1:$I$89,3,0)*0.475*44/12</f>
        <v>5.324624452199699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8.7312071468525243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135.66666666666666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0">
        <f t="shared" si="55"/>
        <v>257.12210868756256</v>
      </c>
      <c r="S80" s="60">
        <f ca="1">AVERAGE(OFFSET($R$3,0,0,'Données projet'!$E$9+1,1))-AVERAGE(OFFSET($H$3,0,0,'Données projet'!$E$9+1,1))</f>
        <v>199.65420589615553</v>
      </c>
      <c r="T80" s="60">
        <f t="shared" si="88"/>
        <v>477.85821088970999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0">
        <f t="shared" si="59"/>
        <v>257.12210868756256</v>
      </c>
      <c r="AN80" s="60">
        <f ca="1">AVERAGE(OFFSET($AM$3,0,0,'Données projet'!$E$10+1,1))-AVERAGE(OFFSET($H$3,0,0,'Données projet'!$E$10+1,1))</f>
        <v>199.65420589615553</v>
      </c>
      <c r="AO80" s="60">
        <f t="shared" si="90"/>
        <v>477.85821088970999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15.142857142857142</v>
      </c>
      <c r="BD80" s="13">
        <f>IF('Données projet'!$A$88&gt;35,BD79+BC80-BL79,IF(A80&lt;'Données projet'!$A$88,$BA$205^A80,IF(A80='Données projet'!$A$88,'Données projet'!$B$88,BD79+BC80-BL79)))</f>
        <v>465.71428571428601</v>
      </c>
      <c r="BE80" s="14">
        <f>BD80*VLOOKUP('Données projet'!$B$11,Paramètres!$A$1:$I$89,3,0)*VLOOKUP('Données projet'!$B$11,Paramètres!$A$1:$I$89,5,0)</f>
        <v>217.95428571428585</v>
      </c>
      <c r="BF80" s="14">
        <f t="shared" si="91"/>
        <v>53.670018366701875</v>
      </c>
      <c r="BG80" s="22">
        <f t="shared" si="61"/>
        <v>473.07899627438695</v>
      </c>
      <c r="BH80" s="60">
        <f t="shared" si="62"/>
        <v>730.20110496194752</v>
      </c>
      <c r="BI80" s="60">
        <f ca="1">AVERAGE(OFFSET($BH$3,0,0,'Données projet'!$E$11+1,1))-AVERAGE(OFFSET($H$3,0,0,'Données projet'!$E$11+1,1))</f>
        <v>374.62597460242665</v>
      </c>
      <c r="BJ80" s="60">
        <f t="shared" si="92"/>
        <v>277.50105097454616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244.00000000000011</v>
      </c>
      <c r="BZ80" s="14">
        <f>BY80*VLOOKUP('Données projet'!$B$12,Paramètres!$A$1:$I$89,3,0)*VLOOKUP('Données projet'!$B$12,Paramètres!$A$1:$I$89,5,0)</f>
        <v>220.77120000000011</v>
      </c>
      <c r="CA80" s="14">
        <f t="shared" si="93"/>
        <v>54.28246807807983</v>
      </c>
      <c r="CB80" s="22">
        <f t="shared" si="64"/>
        <v>479.05180523598909</v>
      </c>
      <c r="CC80" s="60">
        <f t="shared" si="65"/>
        <v>736.17391392354966</v>
      </c>
      <c r="CD80" s="60">
        <f ca="1">AVERAGE(OFFSET($CC$3,0,0,'Données projet'!$E$12+1,1))-AVERAGE(OFFSET($H$3,0,0,'Données projet'!$E$12+1,1))</f>
        <v>434.56763649859136</v>
      </c>
      <c r="CE80" s="60">
        <f t="shared" si="94"/>
        <v>271.90302066766264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244.00000000000011</v>
      </c>
      <c r="CU80" s="18">
        <f>CT80*VLOOKUP('Données projet'!$B$13,Paramètres!$A$1:$I$89,3,0)*VLOOKUP('Données projet'!$B$13,Paramètres!$A$1:$I$89,5,0)</f>
        <v>205.54560000000012</v>
      </c>
      <c r="CV80" s="14">
        <f t="shared" si="95"/>
        <v>50.960975968608146</v>
      </c>
      <c r="CW80" s="22">
        <f t="shared" si="67"/>
        <v>446.74895314532608</v>
      </c>
      <c r="CX80" s="60">
        <f t="shared" si="68"/>
        <v>703.87106183288665</v>
      </c>
      <c r="CY80" s="60">
        <f ca="1">AVERAGE(OFFSET($CX$3,0,0,'Données projet'!$E$13+1,1))-AVERAGE(OFFSET($H$3,0,0,'Données projet'!$E$13+1,1))</f>
        <v>411.64829629901465</v>
      </c>
      <c r="CZ80" s="60">
        <f t="shared" si="96"/>
        <v>258.66864562757917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244.00000000000011</v>
      </c>
      <c r="DP80" s="18">
        <f>DO80*VLOOKUP('Données projet'!$B$14,Paramètres!$A$1:$I$89,3,0)*VLOOKUP('Données projet'!$B$14,Paramètres!$A$1:$I$89,5,0)</f>
        <v>247.41600000000014</v>
      </c>
      <c r="DQ80" s="14">
        <f t="shared" si="97"/>
        <v>60.032282000540242</v>
      </c>
      <c r="DR80" s="22">
        <f t="shared" si="70"/>
        <v>535.47242448427448</v>
      </c>
      <c r="DS80" s="60">
        <f t="shared" si="71"/>
        <v>792.59453317183511</v>
      </c>
      <c r="DT80" s="60">
        <f ca="1">AVERAGE(OFFSET($DS$3,0,0,'Données projet'!$E$14+1,1))-AVERAGE(OFFSET($H$3,0,0,'Données projet'!$E$14+1,1))</f>
        <v>474.59791006623266</v>
      </c>
      <c r="DU80" s="60">
        <f t="shared" si="98"/>
        <v>295.01432800690293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-5.6843418860808015E-14</v>
      </c>
      <c r="EK80" s="18">
        <f>EJ80*VLOOKUP('Données projet'!$B$15,Paramètres!$A$1:$I$89,3,0)*VLOOKUP('Données projet'!$B$15,Paramètres!$A$1:$I$89,5,0)</f>
        <v>-4.9658410716801891E-14</v>
      </c>
      <c r="EL80" s="14" t="e">
        <f t="shared" si="99"/>
        <v>#NUM!</v>
      </c>
      <c r="EM80" s="22" t="e">
        <f t="shared" si="73"/>
        <v>#NUM!</v>
      </c>
      <c r="EN80" s="60" t="e">
        <f t="shared" si="74"/>
        <v>#NUM!</v>
      </c>
      <c r="EO80" s="60">
        <f ca="1">AVERAGE(OFFSET($EN$3,0,0,'Données projet'!$E$15+1,1))-AVERAGE(OFFSET($H$3,0,0,'Données projet'!$E$15+1,1))</f>
        <v>334.73467807584336</v>
      </c>
      <c r="EP80" s="60">
        <f t="shared" si="100"/>
        <v>463.8772059551726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3.3397816858209608</v>
      </c>
      <c r="EW80" s="23">
        <f>EXP(-LN(2)/25)*EW79+(1-EXP(-LN(2)/25))/(LN(2)/25)*Calculateur!ER80*Calculateur!ET80*VLOOKUP('Données projet'!$B$15,Paramètres!$A$1:$I$89,3,0)*0.475*44/12</f>
        <v>5.1790223165444678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8.5188040023654281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135.66666666666666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0">
        <f t="shared" si="55"/>
        <v>257.75029247899647</v>
      </c>
      <c r="S81" s="60">
        <f ca="1">AVERAGE(OFFSET($R$3,0,0,'Données projet'!$E$9+1,1))-AVERAGE(OFFSET($H$3,0,0,'Données projet'!$E$9+1,1))</f>
        <v>199.65420589615553</v>
      </c>
      <c r="T81" s="60">
        <f t="shared" si="88"/>
        <v>477.85821088970999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0">
        <f t="shared" si="59"/>
        <v>257.75029247899647</v>
      </c>
      <c r="AN81" s="60">
        <f ca="1">AVERAGE(OFFSET($AM$3,0,0,'Données projet'!$E$10+1,1))-AVERAGE(OFFSET($H$3,0,0,'Données projet'!$E$10+1,1))</f>
        <v>199.65420589615553</v>
      </c>
      <c r="AO81" s="60">
        <f t="shared" si="90"/>
        <v>477.85821088970999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15.142857142857142</v>
      </c>
      <c r="BD81" s="13">
        <f>IF('Données projet'!$A$88&gt;35,BD80+BC81-BL80,IF(A81&lt;'Données projet'!$A$88,$BA$205^A81,IF(A81='Données projet'!$A$88,'Données projet'!$B$88,BD80+BC81-BL80)))</f>
        <v>480.85714285714317</v>
      </c>
      <c r="BE81" s="14">
        <f>BD81*VLOOKUP('Données projet'!$B$11,Paramètres!$A$1:$I$89,3,0)*VLOOKUP('Données projet'!$B$11,Paramètres!$A$1:$I$89,5,0)</f>
        <v>225.041142857143</v>
      </c>
      <c r="BF81" s="14">
        <f t="shared" si="91"/>
        <v>55.209104329514197</v>
      </c>
      <c r="BG81" s="22">
        <f t="shared" si="61"/>
        <v>488.10251385009468</v>
      </c>
      <c r="BH81" s="60">
        <f t="shared" si="62"/>
        <v>745.85280632908916</v>
      </c>
      <c r="BI81" s="60">
        <f ca="1">AVERAGE(OFFSET($BH$3,0,0,'Données projet'!$E$11+1,1))-AVERAGE(OFFSET($H$3,0,0,'Données projet'!$E$11+1,1))</f>
        <v>374.62597460242665</v>
      </c>
      <c r="BJ81" s="60">
        <f t="shared" si="92"/>
        <v>277.50105097454616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250.00000000000011</v>
      </c>
      <c r="BZ81" s="14">
        <f>BY81*VLOOKUP('Données projet'!$B$12,Paramètres!$A$1:$I$89,3,0)*VLOOKUP('Données projet'!$B$12,Paramètres!$A$1:$I$89,5,0)</f>
        <v>226.2000000000001</v>
      </c>
      <c r="CA81" s="14">
        <f t="shared" si="93"/>
        <v>55.460237717698156</v>
      </c>
      <c r="CB81" s="22">
        <f t="shared" si="64"/>
        <v>490.55824735832448</v>
      </c>
      <c r="CC81" s="60">
        <f t="shared" si="65"/>
        <v>748.3085398373189</v>
      </c>
      <c r="CD81" s="60">
        <f ca="1">AVERAGE(OFFSET($CC$3,0,0,'Données projet'!$E$12+1,1))-AVERAGE(OFFSET($H$3,0,0,'Données projet'!$E$12+1,1))</f>
        <v>434.56763649859136</v>
      </c>
      <c r="CE81" s="60">
        <f t="shared" si="94"/>
        <v>271.90302066766264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250.00000000000011</v>
      </c>
      <c r="CU81" s="18">
        <f>CT81*VLOOKUP('Données projet'!$B$13,Paramètres!$A$1:$I$89,3,0)*VLOOKUP('Données projet'!$B$13,Paramètres!$A$1:$I$89,5,0)</f>
        <v>210.60000000000011</v>
      </c>
      <c r="CV81" s="14">
        <f t="shared" si="95"/>
        <v>52.066679014660011</v>
      </c>
      <c r="CW81" s="22">
        <f t="shared" si="67"/>
        <v>457.47779928386632</v>
      </c>
      <c r="CX81" s="60">
        <f t="shared" si="68"/>
        <v>715.2280917628608</v>
      </c>
      <c r="CY81" s="60">
        <f ca="1">AVERAGE(OFFSET($CX$3,0,0,'Données projet'!$E$13+1,1))-AVERAGE(OFFSET($H$3,0,0,'Données projet'!$E$13+1,1))</f>
        <v>411.64829629901465</v>
      </c>
      <c r="CZ81" s="60">
        <f t="shared" si="96"/>
        <v>258.66864562757917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250.00000000000011</v>
      </c>
      <c r="DP81" s="18">
        <f>DO81*VLOOKUP('Données projet'!$B$14,Paramètres!$A$1:$I$89,3,0)*VLOOKUP('Données projet'!$B$14,Paramètres!$A$1:$I$89,5,0)</f>
        <v>253.50000000000014</v>
      </c>
      <c r="DQ81" s="14">
        <f t="shared" si="97"/>
        <v>61.334805663162555</v>
      </c>
      <c r="DR81" s="22">
        <f t="shared" si="70"/>
        <v>548.33728653000833</v>
      </c>
      <c r="DS81" s="60">
        <f t="shared" si="71"/>
        <v>806.08757900900287</v>
      </c>
      <c r="DT81" s="60">
        <f ca="1">AVERAGE(OFFSET($DS$3,0,0,'Données projet'!$E$14+1,1))-AVERAGE(OFFSET($H$3,0,0,'Données projet'!$E$14+1,1))</f>
        <v>474.59791006623266</v>
      </c>
      <c r="DU81" s="60">
        <f t="shared" si="98"/>
        <v>295.01432800690293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-5.6843418860808015E-14</v>
      </c>
      <c r="EK81" s="18">
        <f>EJ81*VLOOKUP('Données projet'!$B$15,Paramètres!$A$1:$I$89,3,0)*VLOOKUP('Données projet'!$B$15,Paramètres!$A$1:$I$89,5,0)</f>
        <v>-4.9658410716801891E-14</v>
      </c>
      <c r="EL81" s="14" t="e">
        <f t="shared" si="99"/>
        <v>#NUM!</v>
      </c>
      <c r="EM81" s="22" t="e">
        <f t="shared" si="73"/>
        <v>#NUM!</v>
      </c>
      <c r="EN81" s="60" t="e">
        <f t="shared" si="74"/>
        <v>#NUM!</v>
      </c>
      <c r="EO81" s="60">
        <f ca="1">AVERAGE(OFFSET($EN$3,0,0,'Données projet'!$E$15+1,1))-AVERAGE(OFFSET($H$3,0,0,'Données projet'!$E$15+1,1))</f>
        <v>334.73467807584336</v>
      </c>
      <c r="EP81" s="60">
        <f t="shared" si="100"/>
        <v>463.8772059551726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3.2742906040276964</v>
      </c>
      <c r="EW81" s="23">
        <f>EXP(-LN(2)/25)*EW80+(1-EXP(-LN(2)/25))/(LN(2)/25)*Calculateur!ER81*Calculateur!ET81*VLOOKUP('Données projet'!$B$15,Paramètres!$A$1:$I$89,3,0)*0.475*44/12</f>
        <v>5.0374016789456126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8.3116922829733095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135.66666666666666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0">
        <f t="shared" si="55"/>
        <v>258.36757868605764</v>
      </c>
      <c r="S82" s="60">
        <f ca="1">AVERAGE(OFFSET($R$3,0,0,'Données projet'!$E$9+1,1))-AVERAGE(OFFSET($H$3,0,0,'Données projet'!$E$9+1,1))</f>
        <v>199.65420589615553</v>
      </c>
      <c r="T82" s="60">
        <f t="shared" si="88"/>
        <v>477.85821088970999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0">
        <f t="shared" si="59"/>
        <v>258.36757868605764</v>
      </c>
      <c r="AN82" s="60">
        <f ca="1">AVERAGE(OFFSET($AM$3,0,0,'Données projet'!$E$10+1,1))-AVERAGE(OFFSET($H$3,0,0,'Données projet'!$E$10+1,1))</f>
        <v>199.65420589615553</v>
      </c>
      <c r="AO82" s="60">
        <f t="shared" si="90"/>
        <v>477.85821088970999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>
        <f>VLOOKUP(A82,'Données projet'!$A$87:$I$107,2,0)</f>
        <v>496</v>
      </c>
      <c r="BB82" s="13">
        <f>VLOOKUP(A82,'Données projet'!$A$87:$I$107,9,0)</f>
        <v>15.142857142857142</v>
      </c>
      <c r="BC82" s="13">
        <f t="array" ref="BC82">INDEX(BB:BB,MIN(IF(ISNUMBER(BB82:BB278),ROW(BB82:BB278),"")))</f>
        <v>15.142857142857142</v>
      </c>
      <c r="BD82" s="13">
        <f>IF('Données projet'!$A$88&gt;35,BD81+BC82-BL81,IF(A82&lt;'Données projet'!$A$88,$BA$205^A82,IF(A82='Données projet'!$A$88,'Données projet'!$B$88,BD81+BC82-BL81)))</f>
        <v>496.00000000000034</v>
      </c>
      <c r="BE82" s="14">
        <f>BD82*VLOOKUP('Données projet'!$B$11,Paramètres!$A$1:$I$89,3,0)*VLOOKUP('Données projet'!$B$11,Paramètres!$A$1:$I$89,5,0)</f>
        <v>232.12800000000016</v>
      </c>
      <c r="BF82" s="14">
        <f t="shared" si="91"/>
        <v>56.742557967082448</v>
      </c>
      <c r="BG82" s="22">
        <f t="shared" si="61"/>
        <v>503.11622179266891</v>
      </c>
      <c r="BH82" s="60">
        <f t="shared" si="62"/>
        <v>761.48380047872456</v>
      </c>
      <c r="BI82" s="60">
        <f ca="1">AVERAGE(OFFSET($BH$3,0,0,'Données projet'!$E$11+1,1))-AVERAGE(OFFSET($H$3,0,0,'Données projet'!$E$11+1,1))</f>
        <v>374.62597460242665</v>
      </c>
      <c r="BJ82" s="60">
        <f t="shared" si="92"/>
        <v>277.50105097454616</v>
      </c>
      <c r="BK82" s="16">
        <f>IF(ISNA(VLOOKUP(A82,'Données projet'!$A$87:$I$107,3,0)),0,VLOOKUP(A82,'Données projet'!$A$87:$I$107,3,0))</f>
        <v>13</v>
      </c>
      <c r="BL82" s="16">
        <f>IF(ISNA(VLOOKUP(A82,'Données projet'!$A$87:$I$107,4,0)),0,VLOOKUP(A82,'Données projet'!$A$87:$I$107,4,0))</f>
        <v>88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256.00000000000011</v>
      </c>
      <c r="BZ82" s="14">
        <f>BY82*VLOOKUP('Données projet'!$B$12,Paramètres!$A$1:$I$89,3,0)*VLOOKUP('Données projet'!$B$12,Paramètres!$A$1:$I$89,5,0)</f>
        <v>231.62880000000007</v>
      </c>
      <c r="CA82" s="14">
        <f t="shared" si="93"/>
        <v>56.63472139815827</v>
      </c>
      <c r="CB82" s="22">
        <f t="shared" si="64"/>
        <v>502.05896643512574</v>
      </c>
      <c r="CC82" s="60">
        <f t="shared" si="65"/>
        <v>760.42654512118133</v>
      </c>
      <c r="CD82" s="60">
        <f ca="1">AVERAGE(OFFSET($CC$3,0,0,'Données projet'!$E$12+1,1))-AVERAGE(OFFSET($H$3,0,0,'Données projet'!$E$12+1,1))</f>
        <v>434.56763649859136</v>
      </c>
      <c r="CE82" s="60">
        <f t="shared" si="94"/>
        <v>271.90302066766264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256.00000000000011</v>
      </c>
      <c r="CU82" s="18">
        <f>CT82*VLOOKUP('Données projet'!$B$13,Paramètres!$A$1:$I$89,3,0)*VLOOKUP('Données projet'!$B$13,Paramètres!$A$1:$I$89,5,0)</f>
        <v>215.65440000000012</v>
      </c>
      <c r="CV82" s="14">
        <f t="shared" si="95"/>
        <v>53.169297166239964</v>
      </c>
      <c r="CW82" s="22">
        <f t="shared" si="67"/>
        <v>468.2012725645348</v>
      </c>
      <c r="CX82" s="60">
        <f t="shared" si="68"/>
        <v>726.56885125059046</v>
      </c>
      <c r="CY82" s="60">
        <f ca="1">AVERAGE(OFFSET($CX$3,0,0,'Données projet'!$E$13+1,1))-AVERAGE(OFFSET($H$3,0,0,'Données projet'!$E$13+1,1))</f>
        <v>411.64829629901465</v>
      </c>
      <c r="CZ82" s="60">
        <f t="shared" si="96"/>
        <v>258.66864562757917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256.00000000000011</v>
      </c>
      <c r="DP82" s="18">
        <f>DO82*VLOOKUP('Données projet'!$B$14,Paramètres!$A$1:$I$89,3,0)*VLOOKUP('Données projet'!$B$14,Paramètres!$A$1:$I$89,5,0)</f>
        <v>259.58400000000017</v>
      </c>
      <c r="DQ82" s="14">
        <f t="shared" si="97"/>
        <v>62.63369530482359</v>
      </c>
      <c r="DR82" s="22">
        <f t="shared" si="70"/>
        <v>561.19581932256801</v>
      </c>
      <c r="DS82" s="60">
        <f t="shared" si="71"/>
        <v>819.56339800862361</v>
      </c>
      <c r="DT82" s="60">
        <f ca="1">AVERAGE(OFFSET($DS$3,0,0,'Données projet'!$E$14+1,1))-AVERAGE(OFFSET($H$3,0,0,'Données projet'!$E$14+1,1))</f>
        <v>474.59791006623266</v>
      </c>
      <c r="DU82" s="60">
        <f t="shared" si="98"/>
        <v>295.01432800690293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-5.6843418860808015E-14</v>
      </c>
      <c r="EK82" s="18">
        <f>EJ82*VLOOKUP('Données projet'!$B$15,Paramètres!$A$1:$I$89,3,0)*VLOOKUP('Données projet'!$B$15,Paramètres!$A$1:$I$89,5,0)</f>
        <v>-4.9658410716801891E-14</v>
      </c>
      <c r="EL82" s="14" t="e">
        <f t="shared" si="99"/>
        <v>#NUM!</v>
      </c>
      <c r="EM82" s="22" t="e">
        <f t="shared" si="73"/>
        <v>#NUM!</v>
      </c>
      <c r="EN82" s="60" t="e">
        <f t="shared" si="74"/>
        <v>#NUM!</v>
      </c>
      <c r="EO82" s="60">
        <f ca="1">AVERAGE(OFFSET($EN$3,0,0,'Données projet'!$E$15+1,1))-AVERAGE(OFFSET($H$3,0,0,'Données projet'!$E$15+1,1))</f>
        <v>334.73467807584336</v>
      </c>
      <c r="EP82" s="60">
        <f t="shared" si="100"/>
        <v>463.8772059551726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3.2100837624027827</v>
      </c>
      <c r="EW82" s="23">
        <f>EXP(-LN(2)/25)*EW81+(1-EXP(-LN(2)/25))/(LN(2)/25)*Calculateur!ER82*Calculateur!ET82*VLOOKUP('Données projet'!$B$15,Paramètres!$A$1:$I$89,3,0)*0.475*44/12</f>
        <v>4.8996536651294038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8.1097374275321865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135.66666666666666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0">
        <f t="shared" si="55"/>
        <v>258.97415635747154</v>
      </c>
      <c r="S83" s="60">
        <f ca="1">AVERAGE(OFFSET($R$3,0,0,'Données projet'!$E$9+1,1))-AVERAGE(OFFSET($H$3,0,0,'Données projet'!$E$9+1,1))</f>
        <v>199.65420589615553</v>
      </c>
      <c r="T83" s="60">
        <f t="shared" si="88"/>
        <v>477.85821088970999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0">
        <f t="shared" si="59"/>
        <v>258.97415635747154</v>
      </c>
      <c r="AN83" s="60">
        <f ca="1">AVERAGE(OFFSET($AM$3,0,0,'Données projet'!$E$10+1,1))-AVERAGE(OFFSET($H$3,0,0,'Données projet'!$E$10+1,1))</f>
        <v>199.65420589615553</v>
      </c>
      <c r="AO83" s="60">
        <f t="shared" si="90"/>
        <v>477.85821088970999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423</v>
      </c>
      <c r="BB83" s="13">
        <f>VLOOKUP(A83,'Données projet'!$A$87:$I$107,9,0)</f>
        <v>15</v>
      </c>
      <c r="BC83" s="13">
        <f t="array" ref="BC83">INDEX(BB:BB,MIN(IF(ISNUMBER(BB83:BB279),ROW(BB83:BB279),"")))</f>
        <v>15</v>
      </c>
      <c r="BD83" s="13">
        <f>IF('Données projet'!$A$88&gt;35,BD82+BC83-BL82,IF(A83&lt;'Données projet'!$A$88,$BA$205^A83,IF(A83='Données projet'!$A$88,'Données projet'!$B$88,BD82+BC83-BL82)))</f>
        <v>423.00000000000034</v>
      </c>
      <c r="BE83" s="14">
        <f>BD83*VLOOKUP('Données projet'!$B$11,Paramètres!$A$1:$I$89,3,0)*VLOOKUP('Données projet'!$B$11,Paramètres!$A$1:$I$89,5,0)</f>
        <v>197.96400000000017</v>
      </c>
      <c r="BF83" s="14">
        <f t="shared" si="91"/>
        <v>49.296450435147804</v>
      </c>
      <c r="BG83" s="22">
        <f t="shared" si="61"/>
        <v>430.64528450788265</v>
      </c>
      <c r="BH83" s="60">
        <f t="shared" si="62"/>
        <v>689.6194408653522</v>
      </c>
      <c r="BI83" s="60">
        <f ca="1">AVERAGE(OFFSET($BH$3,0,0,'Données projet'!$E$11+1,1))-AVERAGE(OFFSET($H$3,0,0,'Données projet'!$E$11+1,1))</f>
        <v>374.62597460242665</v>
      </c>
      <c r="BJ83" s="60">
        <f t="shared" si="92"/>
        <v>277.50105097454616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262.00000000000011</v>
      </c>
      <c r="BZ83" s="14">
        <f>BY83*VLOOKUP('Données projet'!$B$12,Paramètres!$A$1:$I$89,3,0)*VLOOKUP('Données projet'!$B$12,Paramètres!$A$1:$I$89,5,0)</f>
        <v>237.05760000000012</v>
      </c>
      <c r="CA83" s="14">
        <f t="shared" si="93"/>
        <v>57.806004997354698</v>
      </c>
      <c r="CB83" s="22">
        <f t="shared" si="64"/>
        <v>513.55411203705955</v>
      </c>
      <c r="CC83" s="60">
        <f t="shared" si="65"/>
        <v>772.52826839452905</v>
      </c>
      <c r="CD83" s="60">
        <f ca="1">AVERAGE(OFFSET($CC$3,0,0,'Données projet'!$E$12+1,1))-AVERAGE(OFFSET($H$3,0,0,'Données projet'!$E$12+1,1))</f>
        <v>434.56763649859136</v>
      </c>
      <c r="CE83" s="60">
        <f t="shared" si="94"/>
        <v>271.90302066766264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262.00000000000011</v>
      </c>
      <c r="CU83" s="18">
        <f>CT83*VLOOKUP('Données projet'!$B$13,Paramètres!$A$1:$I$89,3,0)*VLOOKUP('Données projet'!$B$13,Paramètres!$A$1:$I$89,5,0)</f>
        <v>220.70880000000014</v>
      </c>
      <c r="CV83" s="14">
        <f t="shared" si="95"/>
        <v>54.268911046456608</v>
      </c>
      <c r="CW83" s="22">
        <f t="shared" si="67"/>
        <v>478.91951340591214</v>
      </c>
      <c r="CX83" s="60">
        <f t="shared" si="68"/>
        <v>737.89366976338169</v>
      </c>
      <c r="CY83" s="60">
        <f ca="1">AVERAGE(OFFSET($CX$3,0,0,'Données projet'!$E$13+1,1))-AVERAGE(OFFSET($H$3,0,0,'Données projet'!$E$13+1,1))</f>
        <v>411.64829629901465</v>
      </c>
      <c r="CZ83" s="60">
        <f t="shared" si="96"/>
        <v>258.66864562757917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21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262.00000000000011</v>
      </c>
      <c r="DP83" s="18">
        <f>DO83*VLOOKUP('Données projet'!$B$14,Paramètres!$A$1:$I$89,3,0)*VLOOKUP('Données projet'!$B$14,Paramètres!$A$1:$I$89,5,0)</f>
        <v>265.66800000000012</v>
      </c>
      <c r="DQ83" s="14">
        <f t="shared" si="97"/>
        <v>63.929045899944406</v>
      </c>
      <c r="DR83" s="22">
        <f t="shared" si="70"/>
        <v>574.04818827573672</v>
      </c>
      <c r="DS83" s="60">
        <f t="shared" si="71"/>
        <v>833.02234463320633</v>
      </c>
      <c r="DT83" s="60">
        <f ca="1">AVERAGE(OFFSET($DS$3,0,0,'Données projet'!$E$14+1,1))-AVERAGE(OFFSET($H$3,0,0,'Données projet'!$E$14+1,1))</f>
        <v>474.59791006623266</v>
      </c>
      <c r="DU83" s="60">
        <f t="shared" si="98"/>
        <v>295.01432800690293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21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-5.6843418860808015E-14</v>
      </c>
      <c r="EK83" s="18">
        <f>EJ83*VLOOKUP('Données projet'!$B$15,Paramètres!$A$1:$I$89,3,0)*VLOOKUP('Données projet'!$B$15,Paramètres!$A$1:$I$89,5,0)</f>
        <v>-4.9658410716801891E-14</v>
      </c>
      <c r="EL83" s="14" t="e">
        <f t="shared" si="99"/>
        <v>#NUM!</v>
      </c>
      <c r="EM83" s="22" t="e">
        <f t="shared" si="73"/>
        <v>#NUM!</v>
      </c>
      <c r="EN83" s="60" t="e">
        <f t="shared" si="74"/>
        <v>#NUM!</v>
      </c>
      <c r="EO83" s="60">
        <f ca="1">AVERAGE(OFFSET($EN$3,0,0,'Données projet'!$E$15+1,1))-AVERAGE(OFFSET($H$3,0,0,'Données projet'!$E$15+1,1))</f>
        <v>334.73467807584336</v>
      </c>
      <c r="EP83" s="60">
        <f t="shared" si="100"/>
        <v>463.8772059551726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3.1471359777798269</v>
      </c>
      <c r="EW83" s="23">
        <f>EXP(-LN(2)/25)*EW82+(1-EXP(-LN(2)/25))/(LN(2)/25)*Calculateur!ER83*Calculateur!ET83*VLOOKUP('Données projet'!$B$15,Paramètres!$A$1:$I$89,3,0)*0.475*44/12</f>
        <v>4.7656723779948527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7.9128083557746791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135.66666666666666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0">
        <f t="shared" si="55"/>
        <v>259.57021126239079</v>
      </c>
      <c r="S84" s="60">
        <f ca="1">AVERAGE(OFFSET($R$3,0,0,'Données projet'!$E$9+1,1))-AVERAGE(OFFSET($H$3,0,0,'Données projet'!$E$9+1,1))</f>
        <v>199.65420589615553</v>
      </c>
      <c r="T84" s="60">
        <f t="shared" si="88"/>
        <v>477.85821088970999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0">
        <f t="shared" si="59"/>
        <v>259.57021126239079</v>
      </c>
      <c r="AN84" s="60">
        <f ca="1">AVERAGE(OFFSET($AM$3,0,0,'Données projet'!$E$10+1,1))-AVERAGE(OFFSET($H$3,0,0,'Données projet'!$E$10+1,1))</f>
        <v>199.65420589615553</v>
      </c>
      <c r="AO84" s="60">
        <f t="shared" si="90"/>
        <v>477.85821088970999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14.142857142857142</v>
      </c>
      <c r="BD84" s="13">
        <f>IF('Données projet'!$A$88&gt;35,BD83+BC84-BL83,IF(A84&lt;'Données projet'!$A$88,$BA$205^A84,IF(A84='Données projet'!$A$88,'Données projet'!$B$88,BD83+BC84-BL83)))</f>
        <v>437.14285714285751</v>
      </c>
      <c r="BE84" s="14">
        <f>BD84*VLOOKUP('Données projet'!$B$11,Paramètres!$A$1:$I$89,3,0)*VLOOKUP('Données projet'!$B$11,Paramètres!$A$1:$I$89,5,0)</f>
        <v>204.58285714285734</v>
      </c>
      <c r="BF84" s="14">
        <f t="shared" si="91"/>
        <v>50.750009154879976</v>
      </c>
      <c r="BG84" s="22">
        <f t="shared" si="61"/>
        <v>444.70474213522584</v>
      </c>
      <c r="BH84" s="60">
        <f t="shared" si="62"/>
        <v>704.27495339761458</v>
      </c>
      <c r="BI84" s="60">
        <f ca="1">AVERAGE(OFFSET($BH$3,0,0,'Données projet'!$E$11+1,1))-AVERAGE(OFFSET($H$3,0,0,'Données projet'!$E$11+1,1))</f>
        <v>374.62597460242665</v>
      </c>
      <c r="BJ84" s="60">
        <f t="shared" si="92"/>
        <v>277.50105097454616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246.60000000000014</v>
      </c>
      <c r="BZ84" s="14">
        <f>BY84*VLOOKUP('Données projet'!$B$12,Paramètres!$A$1:$I$89,3,0)*VLOOKUP('Données projet'!$B$12,Paramètres!$A$1:$I$89,5,0)</f>
        <v>223.12368000000012</v>
      </c>
      <c r="CA84" s="14">
        <f t="shared" si="93"/>
        <v>54.793244051140647</v>
      </c>
      <c r="CB84" s="22">
        <f t="shared" si="64"/>
        <v>484.03864272240349</v>
      </c>
      <c r="CC84" s="60">
        <f t="shared" si="65"/>
        <v>743.60885398479229</v>
      </c>
      <c r="CD84" s="60">
        <f ca="1">AVERAGE(OFFSET($CC$3,0,0,'Données projet'!$E$12+1,1))-AVERAGE(OFFSET($H$3,0,0,'Données projet'!$E$12+1,1))</f>
        <v>434.56763649859136</v>
      </c>
      <c r="CE84" s="60">
        <f t="shared" si="94"/>
        <v>271.90302066766264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246.60000000000014</v>
      </c>
      <c r="CU84" s="18">
        <f>CT84*VLOOKUP('Données projet'!$B$13,Paramètres!$A$1:$I$89,3,0)*VLOOKUP('Données projet'!$B$13,Paramètres!$A$1:$I$89,5,0)</f>
        <v>207.73584000000011</v>
      </c>
      <c r="CV84" s="14">
        <f t="shared" si="95"/>
        <v>51.440498050232243</v>
      </c>
      <c r="CW84" s="22">
        <f t="shared" si="67"/>
        <v>451.39878877082128</v>
      </c>
      <c r="CX84" s="60">
        <f t="shared" si="68"/>
        <v>710.96900003321002</v>
      </c>
      <c r="CY84" s="60">
        <f ca="1">AVERAGE(OFFSET($CX$3,0,0,'Données projet'!$E$13+1,1))-AVERAGE(OFFSET($H$3,0,0,'Données projet'!$E$13+1,1))</f>
        <v>411.64829629901465</v>
      </c>
      <c r="CZ84" s="60">
        <f t="shared" si="96"/>
        <v>258.66864562757917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246.60000000000014</v>
      </c>
      <c r="DP84" s="18">
        <f>DO84*VLOOKUP('Données projet'!$B$14,Paramètres!$A$1:$I$89,3,0)*VLOOKUP('Données projet'!$B$14,Paramètres!$A$1:$I$89,5,0)</f>
        <v>250.05240000000018</v>
      </c>
      <c r="DQ84" s="14">
        <f t="shared" si="97"/>
        <v>60.597161386823522</v>
      </c>
      <c r="DR84" s="22">
        <f t="shared" si="70"/>
        <v>541.04798608205112</v>
      </c>
      <c r="DS84" s="60">
        <f t="shared" si="71"/>
        <v>800.61819734443998</v>
      </c>
      <c r="DT84" s="60">
        <f ca="1">AVERAGE(OFFSET($DS$3,0,0,'Données projet'!$E$14+1,1))-AVERAGE(OFFSET($H$3,0,0,'Données projet'!$E$14+1,1))</f>
        <v>474.59791006623266</v>
      </c>
      <c r="DU84" s="60">
        <f t="shared" si="98"/>
        <v>295.01432800690293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-4.9658410716801891E-14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334.73467807584336</v>
      </c>
      <c r="EP84" s="60">
        <f t="shared" si="100"/>
        <v>463.8772059551726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3.0854225608189698</v>
      </c>
      <c r="EW84" s="23">
        <f>EXP(-LN(2)/25)*EW83+(1-EXP(-LN(2)/25))/(LN(2)/25)*Calculateur!ER84*Calculateur!ET84*VLOOKUP('Données projet'!$B$15,Paramètres!$A$1:$I$89,3,0)*0.475*44/12</f>
        <v>4.6353548162027653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7.7207773770217347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135.66666666666666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0">
        <f t="shared" si="55"/>
        <v>260.15592594728895</v>
      </c>
      <c r="S85" s="60">
        <f ca="1">AVERAGE(OFFSET($R$3,0,0,'Données projet'!$E$9+1,1))-AVERAGE(OFFSET($H$3,0,0,'Données projet'!$E$9+1,1))</f>
        <v>199.65420589615553</v>
      </c>
      <c r="T85" s="60">
        <f t="shared" si="88"/>
        <v>477.85821088970999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0">
        <f t="shared" si="59"/>
        <v>260.15592594728895</v>
      </c>
      <c r="AN85" s="60">
        <f ca="1">AVERAGE(OFFSET($AM$3,0,0,'Données projet'!$E$10+1,1))-AVERAGE(OFFSET($H$3,0,0,'Données projet'!$E$10+1,1))</f>
        <v>199.65420589615553</v>
      </c>
      <c r="AO85" s="60">
        <f t="shared" si="90"/>
        <v>477.85821088970999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14.142857142857142</v>
      </c>
      <c r="BD85" s="13">
        <f>IF('Données projet'!$A$88&gt;35,BD84+BC85-BL84,IF(A85&lt;'Données projet'!$A$88,$BA$205^A85,IF(A85='Données projet'!$A$88,'Données projet'!$B$88,BD84+BC85-BL84)))</f>
        <v>451.28571428571468</v>
      </c>
      <c r="BE85" s="14">
        <f>BD85*VLOOKUP('Données projet'!$B$11,Paramètres!$A$1:$I$89,3,0)*VLOOKUP('Données projet'!$B$11,Paramètres!$A$1:$I$89,5,0)</f>
        <v>211.20171428571447</v>
      </c>
      <c r="BF85" s="14">
        <f t="shared" si="91"/>
        <v>52.198103230485451</v>
      </c>
      <c r="BG85" s="22">
        <f t="shared" si="61"/>
        <v>458.75468217404813</v>
      </c>
      <c r="BH85" s="60">
        <f t="shared" si="62"/>
        <v>718.91060812133514</v>
      </c>
      <c r="BI85" s="60">
        <f ca="1">AVERAGE(OFFSET($BH$3,0,0,'Données projet'!$E$11+1,1))-AVERAGE(OFFSET($H$3,0,0,'Données projet'!$E$11+1,1))</f>
        <v>374.62597460242665</v>
      </c>
      <c r="BJ85" s="60">
        <f t="shared" si="92"/>
        <v>277.50105097454616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252.20000000000013</v>
      </c>
      <c r="BZ85" s="14">
        <f>BY85*VLOOKUP('Données projet'!$B$12,Paramètres!$A$1:$I$89,3,0)*VLOOKUP('Données projet'!$B$12,Paramètres!$A$1:$I$89,5,0)</f>
        <v>228.19056000000012</v>
      </c>
      <c r="CA85" s="14">
        <f t="shared" si="93"/>
        <v>55.891258634424609</v>
      </c>
      <c r="CB85" s="22">
        <f t="shared" si="64"/>
        <v>494.77583412162312</v>
      </c>
      <c r="CC85" s="60">
        <f t="shared" si="65"/>
        <v>754.93176006891008</v>
      </c>
      <c r="CD85" s="60">
        <f ca="1">AVERAGE(OFFSET($CC$3,0,0,'Données projet'!$E$12+1,1))-AVERAGE(OFFSET($H$3,0,0,'Données projet'!$E$12+1,1))</f>
        <v>434.56763649859136</v>
      </c>
      <c r="CE85" s="60">
        <f t="shared" si="94"/>
        <v>271.90302066766264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252.20000000000013</v>
      </c>
      <c r="CU85" s="18">
        <f>CT85*VLOOKUP('Données projet'!$B$13,Paramètres!$A$1:$I$89,3,0)*VLOOKUP('Données projet'!$B$13,Paramètres!$A$1:$I$89,5,0)</f>
        <v>212.45328000000012</v>
      </c>
      <c r="CV85" s="14">
        <f t="shared" si="95"/>
        <v>52.471326175280439</v>
      </c>
      <c r="CW85" s="22">
        <f t="shared" si="67"/>
        <v>461.41035575528031</v>
      </c>
      <c r="CX85" s="60">
        <f t="shared" si="68"/>
        <v>721.56628170256727</v>
      </c>
      <c r="CY85" s="60">
        <f ca="1">AVERAGE(OFFSET($CX$3,0,0,'Données projet'!$E$13+1,1))-AVERAGE(OFFSET($H$3,0,0,'Données projet'!$E$13+1,1))</f>
        <v>411.64829629901465</v>
      </c>
      <c r="CZ85" s="60">
        <f t="shared" si="96"/>
        <v>258.66864562757917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252.20000000000013</v>
      </c>
      <c r="DP85" s="18">
        <f>DO85*VLOOKUP('Données projet'!$B$14,Paramètres!$A$1:$I$89,3,0)*VLOOKUP('Données projet'!$B$14,Paramètres!$A$1:$I$89,5,0)</f>
        <v>255.73080000000016</v>
      </c>
      <c r="DQ85" s="14">
        <f t="shared" si="97"/>
        <v>61.811482021795285</v>
      </c>
      <c r="DR85" s="22">
        <f t="shared" si="70"/>
        <v>553.05280785462708</v>
      </c>
      <c r="DS85" s="60">
        <f t="shared" si="71"/>
        <v>813.20873380191404</v>
      </c>
      <c r="DT85" s="60">
        <f ca="1">AVERAGE(OFFSET($DS$3,0,0,'Données projet'!$E$14+1,1))-AVERAGE(OFFSET($H$3,0,0,'Données projet'!$E$14+1,1))</f>
        <v>474.59791006623266</v>
      </c>
      <c r="DU85" s="60">
        <f t="shared" si="98"/>
        <v>295.01432800690293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-4.9658410716801891E-14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334.73467807584336</v>
      </c>
      <c r="EP85" s="60">
        <f t="shared" si="100"/>
        <v>463.8772059551726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3.0249193063232473</v>
      </c>
      <c r="EW85" s="23">
        <f>EXP(-LN(2)/25)*EW84+(1-EXP(-LN(2)/25))/(LN(2)/25)*Calculateur!ER85*Calculateur!ET85*VLOOKUP('Données projet'!$B$15,Paramètres!$A$1:$I$89,3,0)*0.475*44/12</f>
        <v>4.5086007949909854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7.5335201013142328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135.66666666666666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0">
        <f t="shared" si="55"/>
        <v>260.73147979186592</v>
      </c>
      <c r="S86" s="60">
        <f ca="1">AVERAGE(OFFSET($R$3,0,0,'Données projet'!$E$9+1,1))-AVERAGE(OFFSET($H$3,0,0,'Données projet'!$E$9+1,1))</f>
        <v>199.65420589615553</v>
      </c>
      <c r="T86" s="60">
        <f t="shared" si="88"/>
        <v>477.85821088970999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0">
        <f t="shared" si="59"/>
        <v>260.73147979186592</v>
      </c>
      <c r="AN86" s="60">
        <f ca="1">AVERAGE(OFFSET($AM$3,0,0,'Données projet'!$E$10+1,1))-AVERAGE(OFFSET($H$3,0,0,'Données projet'!$E$10+1,1))</f>
        <v>199.65420589615553</v>
      </c>
      <c r="AO86" s="60">
        <f t="shared" si="90"/>
        <v>477.85821088970999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14.142857142857142</v>
      </c>
      <c r="BD86" s="13">
        <f>IF('Données projet'!$A$88&gt;35,BD85+BC86-BL85,IF(A86&lt;'Données projet'!$A$88,$BA$205^A86,IF(A86='Données projet'!$A$88,'Données projet'!$B$88,BD85+BC86-BL85)))</f>
        <v>465.42857142857184</v>
      </c>
      <c r="BE86" s="14">
        <f>BD86*VLOOKUP('Données projet'!$B$11,Paramètres!$A$1:$I$89,3,0)*VLOOKUP('Données projet'!$B$11,Paramètres!$A$1:$I$89,5,0)</f>
        <v>217.82057142857164</v>
      </c>
      <c r="BF86" s="14">
        <f t="shared" si="91"/>
        <v>53.640923568007189</v>
      </c>
      <c r="BG86" s="22">
        <f t="shared" si="61"/>
        <v>472.79543711904148</v>
      </c>
      <c r="BH86" s="60">
        <f t="shared" si="62"/>
        <v>733.52691691090536</v>
      </c>
      <c r="BI86" s="60">
        <f ca="1">AVERAGE(OFFSET($BH$3,0,0,'Données projet'!$E$11+1,1))-AVERAGE(OFFSET($H$3,0,0,'Données projet'!$E$11+1,1))</f>
        <v>374.62597460242665</v>
      </c>
      <c r="BJ86" s="60">
        <f t="shared" si="92"/>
        <v>277.50105097454616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257.80000000000013</v>
      </c>
      <c r="BZ86" s="14">
        <f>BY86*VLOOKUP('Données projet'!$B$12,Paramètres!$A$1:$I$89,3,0)*VLOOKUP('Données projet'!$B$12,Paramètres!$A$1:$I$89,5,0)</f>
        <v>233.25744000000009</v>
      </c>
      <c r="CA86" s="14">
        <f t="shared" si="93"/>
        <v>56.9864386904733</v>
      </c>
      <c r="CB86" s="22">
        <f t="shared" si="64"/>
        <v>505.50808871924113</v>
      </c>
      <c r="CC86" s="60">
        <f t="shared" si="65"/>
        <v>766.23956851110506</v>
      </c>
      <c r="CD86" s="60">
        <f ca="1">AVERAGE(OFFSET($CC$3,0,0,'Données projet'!$E$12+1,1))-AVERAGE(OFFSET($H$3,0,0,'Données projet'!$E$12+1,1))</f>
        <v>434.56763649859136</v>
      </c>
      <c r="CE86" s="60">
        <f t="shared" si="94"/>
        <v>271.90302066766264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257.80000000000013</v>
      </c>
      <c r="CU86" s="18">
        <f>CT86*VLOOKUP('Données projet'!$B$13,Paramètres!$A$1:$I$89,3,0)*VLOOKUP('Données projet'!$B$13,Paramètres!$A$1:$I$89,5,0)</f>
        <v>217.17072000000013</v>
      </c>
      <c r="CV86" s="14">
        <f t="shared" si="95"/>
        <v>53.499493215093679</v>
      </c>
      <c r="CW86" s="22">
        <f t="shared" si="67"/>
        <v>471.4172880162883</v>
      </c>
      <c r="CX86" s="60">
        <f t="shared" si="68"/>
        <v>732.14876780815223</v>
      </c>
      <c r="CY86" s="60">
        <f ca="1">AVERAGE(OFFSET($CX$3,0,0,'Données projet'!$E$13+1,1))-AVERAGE(OFFSET($H$3,0,0,'Données projet'!$E$13+1,1))</f>
        <v>411.64829629901465</v>
      </c>
      <c r="CZ86" s="60">
        <f t="shared" si="96"/>
        <v>258.66864562757917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257.80000000000013</v>
      </c>
      <c r="DP86" s="18">
        <f>DO86*VLOOKUP('Données projet'!$B$14,Paramètres!$A$1:$I$89,3,0)*VLOOKUP('Données projet'!$B$14,Paramètres!$A$1:$I$89,5,0)</f>
        <v>261.40920000000011</v>
      </c>
      <c r="DQ86" s="14">
        <f t="shared" si="97"/>
        <v>63.022667885185157</v>
      </c>
      <c r="DR86" s="22">
        <f t="shared" si="70"/>
        <v>565.052169900031</v>
      </c>
      <c r="DS86" s="60">
        <f t="shared" si="71"/>
        <v>825.78364969189488</v>
      </c>
      <c r="DT86" s="60">
        <f ca="1">AVERAGE(OFFSET($DS$3,0,0,'Données projet'!$E$14+1,1))-AVERAGE(OFFSET($H$3,0,0,'Données projet'!$E$14+1,1))</f>
        <v>474.59791006623266</v>
      </c>
      <c r="DU86" s="60">
        <f t="shared" si="98"/>
        <v>295.01432800690293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-4.9658410716801891E-14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334.73467807584336</v>
      </c>
      <c r="EP86" s="60">
        <f t="shared" si="100"/>
        <v>463.8772059551726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2.9656024837448447</v>
      </c>
      <c r="EW86" s="23">
        <f>EXP(-LN(2)/25)*EW85+(1-EXP(-LN(2)/25))/(LN(2)/25)*Calculateur!ER86*Calculateur!ET86*VLOOKUP('Données projet'!$B$15,Paramètres!$A$1:$I$89,3,0)*0.475*44/12</f>
        <v>4.3853128691549452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7.3509153528997899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135.66666666666666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0">
        <f t="shared" si="55"/>
        <v>261.29704906398513</v>
      </c>
      <c r="S87" s="60">
        <f ca="1">AVERAGE(OFFSET($R$3,0,0,'Données projet'!$E$9+1,1))-AVERAGE(OFFSET($H$3,0,0,'Données projet'!$E$9+1,1))</f>
        <v>199.65420589615553</v>
      </c>
      <c r="T87" s="60">
        <f t="shared" si="88"/>
        <v>477.85821088970999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0">
        <f t="shared" si="59"/>
        <v>261.29704906398513</v>
      </c>
      <c r="AN87" s="60">
        <f ca="1">AVERAGE(OFFSET($AM$3,0,0,'Données projet'!$E$10+1,1))-AVERAGE(OFFSET($H$3,0,0,'Données projet'!$E$10+1,1))</f>
        <v>199.65420589615553</v>
      </c>
      <c r="AO87" s="60">
        <f t="shared" si="90"/>
        <v>477.85821088970999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14.142857142857142</v>
      </c>
      <c r="BD87" s="13">
        <f>IF('Données projet'!$A$88&gt;35,BD86+BC87-BL86,IF(A87&lt;'Données projet'!$A$88,$BA$205^A87,IF(A87='Données projet'!$A$88,'Données projet'!$B$88,BD86+BC87-BL86)))</f>
        <v>479.57142857142901</v>
      </c>
      <c r="BE87" s="14">
        <f>BD87*VLOOKUP('Données projet'!$B$11,Paramètres!$A$1:$I$89,3,0)*VLOOKUP('Données projet'!$B$11,Paramètres!$A$1:$I$89,5,0)</f>
        <v>224.43942857142878</v>
      </c>
      <c r="BF87" s="14">
        <f t="shared" si="91"/>
        <v>55.078648812192505</v>
      </c>
      <c r="BG87" s="22">
        <f t="shared" si="61"/>
        <v>486.82731810980704</v>
      </c>
      <c r="BH87" s="60">
        <f t="shared" si="62"/>
        <v>748.12436717379023</v>
      </c>
      <c r="BI87" s="60">
        <f ca="1">AVERAGE(OFFSET($BH$3,0,0,'Données projet'!$E$11+1,1))-AVERAGE(OFFSET($H$3,0,0,'Données projet'!$E$11+1,1))</f>
        <v>374.62597460242665</v>
      </c>
      <c r="BJ87" s="60">
        <f t="shared" si="92"/>
        <v>277.50105097454616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263.40000000000015</v>
      </c>
      <c r="BZ87" s="14">
        <f>BY87*VLOOKUP('Données projet'!$B$12,Paramètres!$A$1:$I$89,3,0)*VLOOKUP('Données projet'!$B$12,Paramètres!$A$1:$I$89,5,0)</f>
        <v>238.32432000000011</v>
      </c>
      <c r="CA87" s="14">
        <f t="shared" si="93"/>
        <v>58.078852882738808</v>
      </c>
      <c r="CB87" s="22">
        <f t="shared" si="64"/>
        <v>516.23552610410366</v>
      </c>
      <c r="CC87" s="60">
        <f t="shared" si="65"/>
        <v>777.53257516808685</v>
      </c>
      <c r="CD87" s="60">
        <f ca="1">AVERAGE(OFFSET($CC$3,0,0,'Données projet'!$E$12+1,1))-AVERAGE(OFFSET($H$3,0,0,'Données projet'!$E$12+1,1))</f>
        <v>434.56763649859136</v>
      </c>
      <c r="CE87" s="60">
        <f t="shared" si="94"/>
        <v>271.90302066766264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263.40000000000015</v>
      </c>
      <c r="CU87" s="18">
        <f>CT87*VLOOKUP('Données projet'!$B$13,Paramètres!$A$1:$I$89,3,0)*VLOOKUP('Données projet'!$B$13,Paramètres!$A$1:$I$89,5,0)</f>
        <v>221.88816000000011</v>
      </c>
      <c r="CV87" s="14">
        <f t="shared" si="95"/>
        <v>54.525063631673348</v>
      </c>
      <c r="CW87" s="22">
        <f t="shared" si="67"/>
        <v>481.41969782516463</v>
      </c>
      <c r="CX87" s="60">
        <f t="shared" si="68"/>
        <v>742.71674688914777</v>
      </c>
      <c r="CY87" s="60">
        <f ca="1">AVERAGE(OFFSET($CX$3,0,0,'Données projet'!$E$13+1,1))-AVERAGE(OFFSET($H$3,0,0,'Données projet'!$E$13+1,1))</f>
        <v>411.64829629901465</v>
      </c>
      <c r="CZ87" s="60">
        <f t="shared" si="96"/>
        <v>258.66864562757917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263.40000000000015</v>
      </c>
      <c r="DP87" s="18">
        <f>DO87*VLOOKUP('Données projet'!$B$14,Paramètres!$A$1:$I$89,3,0)*VLOOKUP('Données projet'!$B$14,Paramètres!$A$1:$I$89,5,0)</f>
        <v>267.08760000000018</v>
      </c>
      <c r="DQ87" s="14">
        <f t="shared" si="97"/>
        <v>64.230794913549914</v>
      </c>
      <c r="DR87" s="22">
        <f t="shared" si="70"/>
        <v>577.04620447443301</v>
      </c>
      <c r="DS87" s="60">
        <f t="shared" si="71"/>
        <v>838.34325353841609</v>
      </c>
      <c r="DT87" s="60">
        <f ca="1">AVERAGE(OFFSET($DS$3,0,0,'Données projet'!$E$14+1,1))-AVERAGE(OFFSET($H$3,0,0,'Données projet'!$E$14+1,1))</f>
        <v>474.59791006623266</v>
      </c>
      <c r="DU87" s="60">
        <f t="shared" si="98"/>
        <v>295.01432800690293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-4.9658410716801891E-14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334.73467807584336</v>
      </c>
      <c r="EP87" s="60">
        <f t="shared" si="100"/>
        <v>463.8772059551726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2.9074488278775155</v>
      </c>
      <c r="EW87" s="23">
        <f>EXP(-LN(2)/25)*EW86+(1-EXP(-LN(2)/25))/(LN(2)/25)*Calculateur!ER87*Calculateur!ET87*VLOOKUP('Données projet'!$B$15,Paramètres!$A$1:$I$89,3,0)*0.475*44/12</f>
        <v>4.2653962581343219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7.1728450860118373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135.66666666666666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0">
        <f t="shared" si="55"/>
        <v>261.85280697365658</v>
      </c>
      <c r="S88" s="60">
        <f ca="1">AVERAGE(OFFSET($R$3,0,0,'Données projet'!$E$9+1,1))-AVERAGE(OFFSET($H$3,0,0,'Données projet'!$E$9+1,1))</f>
        <v>199.65420589615553</v>
      </c>
      <c r="T88" s="60">
        <f t="shared" si="88"/>
        <v>477.85821088970999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0">
        <f t="shared" si="59"/>
        <v>261.85280697365658</v>
      </c>
      <c r="AN88" s="60">
        <f ca="1">AVERAGE(OFFSET($AM$3,0,0,'Données projet'!$E$10+1,1))-AVERAGE(OFFSET($H$3,0,0,'Données projet'!$E$10+1,1))</f>
        <v>199.65420589615553</v>
      </c>
      <c r="AO88" s="60">
        <f t="shared" si="90"/>
        <v>477.85821088970999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14.142857142857142</v>
      </c>
      <c r="BD88" s="13">
        <f>IF('Données projet'!$A$88&gt;35,BD87+BC88-BL87,IF(A88&lt;'Données projet'!$A$88,$BA$205^A88,IF(A88='Données projet'!$A$88,'Données projet'!$B$88,BD87+BC88-BL87)))</f>
        <v>493.71428571428618</v>
      </c>
      <c r="BE88" s="14">
        <f>BD88*VLOOKUP('Données projet'!$B$11,Paramètres!$A$1:$I$89,3,0)*VLOOKUP('Données projet'!$B$11,Paramètres!$A$1:$I$89,5,0)</f>
        <v>231.05828571428594</v>
      </c>
      <c r="BF88" s="14">
        <f t="shared" si="91"/>
        <v>56.511446472092771</v>
      </c>
      <c r="BG88" s="22">
        <f t="shared" si="61"/>
        <v>500.85061689127627</v>
      </c>
      <c r="BH88" s="60">
        <f t="shared" si="62"/>
        <v>762.70342386493087</v>
      </c>
      <c r="BI88" s="60">
        <f ca="1">AVERAGE(OFFSET($BH$3,0,0,'Données projet'!$E$11+1,1))-AVERAGE(OFFSET($H$3,0,0,'Données projet'!$E$11+1,1))</f>
        <v>374.62597460242665</v>
      </c>
      <c r="BJ88" s="60">
        <f t="shared" si="92"/>
        <v>277.50105097454616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5.6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269.00000000000017</v>
      </c>
      <c r="BZ88" s="14">
        <f>BY88*VLOOKUP('Données projet'!$B$12,Paramètres!$A$1:$I$89,3,0)*VLOOKUP('Données projet'!$B$12,Paramètres!$A$1:$I$89,5,0)</f>
        <v>243.39120000000017</v>
      </c>
      <c r="CA88" s="14">
        <f t="shared" si="93"/>
        <v>59.168566788241577</v>
      </c>
      <c r="CB88" s="22">
        <f t="shared" si="64"/>
        <v>526.95826048952097</v>
      </c>
      <c r="CC88" s="60">
        <f t="shared" si="65"/>
        <v>788.8110674631755</v>
      </c>
      <c r="CD88" s="60">
        <f ca="1">AVERAGE(OFFSET($CC$3,0,0,'Données projet'!$E$12+1,1))-AVERAGE(OFFSET($H$3,0,0,'Données projet'!$E$12+1,1))</f>
        <v>434.56763649859136</v>
      </c>
      <c r="CE88" s="60">
        <f t="shared" si="94"/>
        <v>271.90302066766264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269</v>
      </c>
      <c r="CR88" s="13">
        <f>VLOOKUP(A88,'Données projet'!$A$139:$I$159,9,0)</f>
        <v>5.6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269.00000000000017</v>
      </c>
      <c r="CU88" s="18">
        <f>CT88*VLOOKUP('Données projet'!$B$13,Paramètres!$A$1:$I$89,3,0)*VLOOKUP('Données projet'!$B$13,Paramètres!$A$1:$I$89,5,0)</f>
        <v>226.60560000000018</v>
      </c>
      <c r="CV88" s="14">
        <f t="shared" si="95"/>
        <v>55.548098989444973</v>
      </c>
      <c r="CW88" s="22">
        <f t="shared" si="67"/>
        <v>491.41769240661694</v>
      </c>
      <c r="CX88" s="60">
        <f t="shared" si="68"/>
        <v>753.27049938027153</v>
      </c>
      <c r="CY88" s="60">
        <f ca="1">AVERAGE(OFFSET($CX$3,0,0,'Données projet'!$E$13+1,1))-AVERAGE(OFFSET($H$3,0,0,'Données projet'!$E$13+1,1))</f>
        <v>411.64829629901465</v>
      </c>
      <c r="CZ88" s="60">
        <f t="shared" si="96"/>
        <v>258.66864562757917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21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</v>
      </c>
      <c r="DM88" s="13">
        <f>VLOOKUP(A88,'Données projet'!$A$165:$I$185,9,0)</f>
        <v>5.6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269.00000000000017</v>
      </c>
      <c r="DP88" s="18">
        <f>DO88*VLOOKUP('Données projet'!$B$14,Paramètres!$A$1:$I$89,3,0)*VLOOKUP('Données projet'!$B$14,Paramètres!$A$1:$I$89,5,0)</f>
        <v>272.76600000000019</v>
      </c>
      <c r="DQ88" s="14">
        <f t="shared" si="97"/>
        <v>65.435935630087627</v>
      </c>
      <c r="DR88" s="22">
        <f t="shared" si="70"/>
        <v>589.03503788906949</v>
      </c>
      <c r="DS88" s="60">
        <f t="shared" si="71"/>
        <v>850.88784486272402</v>
      </c>
      <c r="DT88" s="60">
        <f ca="1">AVERAGE(OFFSET($DS$3,0,0,'Données projet'!$E$14+1,1))-AVERAGE(OFFSET($H$3,0,0,'Données projet'!$E$14+1,1))</f>
        <v>474.59791006623266</v>
      </c>
      <c r="DU88" s="60">
        <f t="shared" si="98"/>
        <v>295.01432800690293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21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-4.9658410716801891E-14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334.73467807584336</v>
      </c>
      <c r="EP88" s="60">
        <f t="shared" si="100"/>
        <v>463.8772059551726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2.8504355297315169</v>
      </c>
      <c r="EW88" s="23">
        <f>EXP(-LN(2)/25)*EW87+(1-EXP(-LN(2)/25))/(LN(2)/25)*Calculateur!ER88*Calculateur!ET88*VLOOKUP('Données projet'!$B$15,Paramètres!$A$1:$I$89,3,0)*0.475*44/12</f>
        <v>4.1487587731481987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6.9991943028797152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135.66666666666666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0">
        <f t="shared" si="55"/>
        <v>262.39892372608369</v>
      </c>
      <c r="S89" s="60">
        <f ca="1">AVERAGE(OFFSET($R$3,0,0,'Données projet'!$E$9+1,1))-AVERAGE(OFFSET($H$3,0,0,'Données projet'!$E$9+1,1))</f>
        <v>199.65420589615553</v>
      </c>
      <c r="T89" s="60">
        <f t="shared" si="88"/>
        <v>477.85821088970999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0">
        <f t="shared" si="59"/>
        <v>262.39892372608369</v>
      </c>
      <c r="AN89" s="60">
        <f ca="1">AVERAGE(OFFSET($AM$3,0,0,'Données projet'!$E$10+1,1))-AVERAGE(OFFSET($H$3,0,0,'Données projet'!$E$10+1,1))</f>
        <v>199.65420589615553</v>
      </c>
      <c r="AO89" s="60">
        <f t="shared" si="90"/>
        <v>477.85821088970999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14.142857142857142</v>
      </c>
      <c r="BD89" s="13">
        <f>IF('Données projet'!$A$88&gt;35,BD88+BC89-BL88,IF(A89&lt;'Données projet'!$A$88,$BA$205^A89,IF(A89='Données projet'!$A$88,'Données projet'!$B$88,BD88+BC89-BL88)))</f>
        <v>507.85714285714334</v>
      </c>
      <c r="BE89" s="14">
        <f>BD89*VLOOKUP('Données projet'!$B$11,Paramètres!$A$1:$I$89,3,0)*VLOOKUP('Données projet'!$B$11,Paramètres!$A$1:$I$89,5,0)</f>
        <v>237.67714285714308</v>
      </c>
      <c r="BF89" s="14">
        <f t="shared" si="91"/>
        <v>57.939473914063178</v>
      </c>
      <c r="BG89" s="22">
        <f t="shared" si="61"/>
        <v>514.86560754318418</v>
      </c>
      <c r="BH89" s="60">
        <f t="shared" si="62"/>
        <v>777.26453126926594</v>
      </c>
      <c r="BI89" s="60">
        <f ca="1">AVERAGE(OFFSET($BH$3,0,0,'Données projet'!$E$11+1,1))-AVERAGE(OFFSET($H$3,0,0,'Données projet'!$E$11+1,1))</f>
        <v>374.62597460242665</v>
      </c>
      <c r="BJ89" s="60">
        <f t="shared" si="92"/>
        <v>277.50105097454616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253.40000000000015</v>
      </c>
      <c r="BZ89" s="14">
        <f>BY89*VLOOKUP('Données projet'!$B$12,Paramètres!$A$1:$I$89,3,0)*VLOOKUP('Données projet'!$B$12,Paramètres!$A$1:$I$89,5,0)</f>
        <v>229.27632000000011</v>
      </c>
      <c r="CA89" s="14">
        <f t="shared" si="93"/>
        <v>56.126176307517476</v>
      </c>
      <c r="CB89" s="22">
        <f t="shared" si="64"/>
        <v>497.07601440225977</v>
      </c>
      <c r="CC89" s="60">
        <f t="shared" si="65"/>
        <v>759.47493812834148</v>
      </c>
      <c r="CD89" s="60">
        <f ca="1">AVERAGE(OFFSET($CC$3,0,0,'Données projet'!$E$12+1,1))-AVERAGE(OFFSET($H$3,0,0,'Données projet'!$E$12+1,1))</f>
        <v>434.56763649859136</v>
      </c>
      <c r="CE89" s="60">
        <f t="shared" si="94"/>
        <v>271.90302066766264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5.4</v>
      </c>
      <c r="CT89" s="13">
        <f>IF('Données projet'!$A$140&gt;35,CT88+CS89-DB88,IF(A89&lt;'Données projet'!$A$140,$CQ$205^A89,IF(A89='Données projet'!$A$140,'Données projet'!$B$140,CT88+CS89-DB88)))</f>
        <v>253.40000000000015</v>
      </c>
      <c r="CU89" s="18">
        <f>CT89*VLOOKUP('Données projet'!$B$13,Paramètres!$A$1:$I$89,3,0)*VLOOKUP('Données projet'!$B$13,Paramètres!$A$1:$I$89,5,0)</f>
        <v>213.46416000000016</v>
      </c>
      <c r="CV89" s="14">
        <f t="shared" si="95"/>
        <v>52.691869461482291</v>
      </c>
      <c r="CW89" s="22">
        <f t="shared" si="67"/>
        <v>463.55508464541521</v>
      </c>
      <c r="CX89" s="60">
        <f t="shared" si="68"/>
        <v>725.95400837149691</v>
      </c>
      <c r="CY89" s="60">
        <f ca="1">AVERAGE(OFFSET($CX$3,0,0,'Données projet'!$E$13+1,1))-AVERAGE(OFFSET($H$3,0,0,'Données projet'!$E$13+1,1))</f>
        <v>411.64829629901465</v>
      </c>
      <c r="CZ89" s="60">
        <f t="shared" si="96"/>
        <v>258.66864562757917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253.40000000000015</v>
      </c>
      <c r="DP89" s="18">
        <f>DO89*VLOOKUP('Données projet'!$B$14,Paramètres!$A$1:$I$89,3,0)*VLOOKUP('Données projet'!$B$14,Paramètres!$A$1:$I$89,5,0)</f>
        <v>256.94760000000014</v>
      </c>
      <c r="DQ89" s="14">
        <f t="shared" si="97"/>
        <v>62.071283104858303</v>
      </c>
      <c r="DR89" s="22">
        <f t="shared" si="70"/>
        <v>555.6245547409618</v>
      </c>
      <c r="DS89" s="60">
        <f t="shared" si="71"/>
        <v>818.02347846704356</v>
      </c>
      <c r="DT89" s="60">
        <f ca="1">AVERAGE(OFFSET($DS$3,0,0,'Données projet'!$E$14+1,1))-AVERAGE(OFFSET($H$3,0,0,'Données projet'!$E$14+1,1))</f>
        <v>474.59791006623266</v>
      </c>
      <c r="DU89" s="60">
        <f t="shared" si="98"/>
        <v>295.01432800690293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-4.9658410716801891E-14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334.73467807584336</v>
      </c>
      <c r="EP89" s="60">
        <f t="shared" si="100"/>
        <v>463.8772059551726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2.7945402275874831</v>
      </c>
      <c r="EW89" s="23">
        <f>EXP(-LN(2)/25)*EW88+(1-EXP(-LN(2)/25))/(LN(2)/25)*Calculateur!ER89*Calculateur!ET89*VLOOKUP('Données projet'!$B$15,Paramètres!$A$1:$I$89,3,0)*0.475*44/12</f>
        <v>4.0353107463227191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6.8298509739102027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135.66666666666666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0">
        <f t="shared" si="55"/>
        <v>262.93556657379042</v>
      </c>
      <c r="S90" s="60">
        <f ca="1">AVERAGE(OFFSET($R$3,0,0,'Données projet'!$E$9+1,1))-AVERAGE(OFFSET($H$3,0,0,'Données projet'!$E$9+1,1))</f>
        <v>199.65420589615553</v>
      </c>
      <c r="T90" s="60">
        <f t="shared" si="88"/>
        <v>477.85821088970999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0">
        <f t="shared" si="59"/>
        <v>262.93556657379042</v>
      </c>
      <c r="AN90" s="60">
        <f ca="1">AVERAGE(OFFSET($AM$3,0,0,'Données projet'!$E$10+1,1))-AVERAGE(OFFSET($H$3,0,0,'Données projet'!$E$10+1,1))</f>
        <v>199.65420589615553</v>
      </c>
      <c r="AO90" s="60">
        <f t="shared" si="90"/>
        <v>477.85821088970999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522</v>
      </c>
      <c r="BB90" s="13">
        <f>VLOOKUP(A90,'Données projet'!$A$87:$I$107,9,0)</f>
        <v>14.142857142857142</v>
      </c>
      <c r="BC90" s="13">
        <f t="array" ref="BC90">INDEX(BB:BB,MIN(IF(ISNUMBER(BB90:BB286),ROW(BB90:BB286),"")))</f>
        <v>14.142857142857142</v>
      </c>
      <c r="BD90" s="13">
        <f>IF('Données projet'!$A$88&gt;35,BD89+BC90-BL89,IF(A90&lt;'Données projet'!$A$88,$BA$205^A90,IF(A90='Données projet'!$A$88,'Données projet'!$B$88,BD89+BC90-BL89)))</f>
        <v>522.00000000000045</v>
      </c>
      <c r="BE90" s="14">
        <f>BD90*VLOOKUP('Données projet'!$B$11,Paramètres!$A$1:$I$89,3,0)*VLOOKUP('Données projet'!$B$11,Paramètres!$A$1:$I$89,5,0)</f>
        <v>244.29600000000022</v>
      </c>
      <c r="BF90" s="14">
        <f t="shared" si="91"/>
        <v>59.362879241040417</v>
      </c>
      <c r="BG90" s="22">
        <f t="shared" si="61"/>
        <v>528.87254801147901</v>
      </c>
      <c r="BH90" s="60">
        <f t="shared" si="62"/>
        <v>791.8081145852675</v>
      </c>
      <c r="BI90" s="60">
        <f ca="1">AVERAGE(OFFSET($BH$3,0,0,'Données projet'!$E$11+1,1))-AVERAGE(OFFSET($H$3,0,0,'Données projet'!$E$11+1,1))</f>
        <v>374.62597460242665</v>
      </c>
      <c r="BJ90" s="60">
        <f t="shared" si="92"/>
        <v>277.50105097454616</v>
      </c>
      <c r="BK90" s="16">
        <f>IF(ISNA(VLOOKUP(A90,'Données projet'!$A$87:$I$107,3,0)),0,VLOOKUP(A90,'Données projet'!$A$87:$I$107,3,0))</f>
        <v>15</v>
      </c>
      <c r="BL90" s="16">
        <f>IF(ISNA(VLOOKUP(A90,'Données projet'!$A$87:$I$107,4,0)),0,VLOOKUP(A90,'Données projet'!$A$87:$I$107,4,0))</f>
        <v>89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258.80000000000013</v>
      </c>
      <c r="BZ90" s="14">
        <f>BY90*VLOOKUP('Données projet'!$B$12,Paramètres!$A$1:$I$89,3,0)*VLOOKUP('Données projet'!$B$12,Paramètres!$A$1:$I$89,5,0)</f>
        <v>234.16224000000011</v>
      </c>
      <c r="CA90" s="14">
        <f t="shared" si="93"/>
        <v>57.181713578143096</v>
      </c>
      <c r="CB90" s="22">
        <f t="shared" si="64"/>
        <v>507.42405248193273</v>
      </c>
      <c r="CC90" s="60">
        <f t="shared" si="65"/>
        <v>770.35961905572117</v>
      </c>
      <c r="CD90" s="60">
        <f ca="1">AVERAGE(OFFSET($CC$3,0,0,'Données projet'!$E$12+1,1))-AVERAGE(OFFSET($H$3,0,0,'Données projet'!$E$12+1,1))</f>
        <v>434.56763649859136</v>
      </c>
      <c r="CE90" s="60">
        <f t="shared" si="94"/>
        <v>271.90302066766264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5.4</v>
      </c>
      <c r="CT90" s="13">
        <f>IF('Données projet'!$A$140&gt;35,CT89+CS90-DB89,IF(A90&lt;'Données projet'!$A$140,$CQ$205^A90,IF(A90='Données projet'!$A$140,'Données projet'!$B$140,CT89+CS90-DB89)))</f>
        <v>258.80000000000013</v>
      </c>
      <c r="CU90" s="18">
        <f>CT90*VLOOKUP('Données projet'!$B$13,Paramètres!$A$1:$I$89,3,0)*VLOOKUP('Données projet'!$B$13,Paramètres!$A$1:$I$89,5,0)</f>
        <v>218.0131200000001</v>
      </c>
      <c r="CV90" s="14">
        <f t="shared" si="95"/>
        <v>53.68281941985466</v>
      </c>
      <c r="CW90" s="22">
        <f t="shared" si="67"/>
        <v>473.20376115624708</v>
      </c>
      <c r="CX90" s="60">
        <f t="shared" si="68"/>
        <v>736.13932773003557</v>
      </c>
      <c r="CY90" s="60">
        <f ca="1">AVERAGE(OFFSET($CX$3,0,0,'Données projet'!$E$13+1,1))-AVERAGE(OFFSET($H$3,0,0,'Données projet'!$E$13+1,1))</f>
        <v>411.64829629901465</v>
      </c>
      <c r="CZ90" s="60">
        <f t="shared" si="96"/>
        <v>258.66864562757917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258.80000000000013</v>
      </c>
      <c r="DP90" s="18">
        <f>DO90*VLOOKUP('Données projet'!$B$14,Paramètres!$A$1:$I$89,3,0)*VLOOKUP('Données projet'!$B$14,Paramètres!$A$1:$I$89,5,0)</f>
        <v>262.42320000000012</v>
      </c>
      <c r="DQ90" s="14">
        <f t="shared" si="97"/>
        <v>63.23862706204779</v>
      </c>
      <c r="DR90" s="22">
        <f t="shared" si="70"/>
        <v>567.19434879973335</v>
      </c>
      <c r="DS90" s="60">
        <f t="shared" si="71"/>
        <v>830.12991537352173</v>
      </c>
      <c r="DT90" s="60">
        <f ca="1">AVERAGE(OFFSET($DS$3,0,0,'Données projet'!$E$14+1,1))-AVERAGE(OFFSET($H$3,0,0,'Données projet'!$E$14+1,1))</f>
        <v>474.59791006623266</v>
      </c>
      <c r="DU90" s="60">
        <f t="shared" si="98"/>
        <v>295.01432800690293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-4.9658410716801891E-14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334.73467807584336</v>
      </c>
      <c r="EP90" s="60">
        <f t="shared" si="100"/>
        <v>463.8772059551726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2.7397409982257259</v>
      </c>
      <c r="EW90" s="23">
        <f>EXP(-LN(2)/25)*EW89+(1-EXP(-LN(2)/25))/(LN(2)/25)*Calculateur!ER90*Calculateur!ET90*VLOOKUP('Données projet'!$B$15,Paramètres!$A$1:$I$89,3,0)*0.475*44/12</f>
        <v>3.9249649617567552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6.6647059599824807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135.66666666666666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0">
        <f t="shared" si="55"/>
        <v>263.46289986784308</v>
      </c>
      <c r="S91" s="60">
        <f ca="1">AVERAGE(OFFSET($R$3,0,0,'Données projet'!$E$9+1,1))-AVERAGE(OFFSET($H$3,0,0,'Données projet'!$E$9+1,1))</f>
        <v>199.65420589615553</v>
      </c>
      <c r="T91" s="60">
        <f t="shared" si="88"/>
        <v>477.85821088970999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0">
        <f t="shared" si="59"/>
        <v>263.46289986784308</v>
      </c>
      <c r="AN91" s="60">
        <f ca="1">AVERAGE(OFFSET($AM$3,0,0,'Données projet'!$E$10+1,1))-AVERAGE(OFFSET($H$3,0,0,'Données projet'!$E$10+1,1))</f>
        <v>199.65420589615553</v>
      </c>
      <c r="AO91" s="60">
        <f t="shared" si="90"/>
        <v>477.85821088970999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>
        <f>VLOOKUP(A91,'Données projet'!$A$87:$I$107,2,0)</f>
        <v>447</v>
      </c>
      <c r="BB91" s="13">
        <f>VLOOKUP(A91,'Données projet'!$A$87:$I$107,9,0)</f>
        <v>14</v>
      </c>
      <c r="BC91" s="13">
        <f t="array" ref="BC91">INDEX(BB:BB,MIN(IF(ISNUMBER(BB91:BB287),ROW(BB91:BB287),"")))</f>
        <v>14</v>
      </c>
      <c r="BD91" s="13">
        <f>IF('Données projet'!$A$88&gt;35,BD90+BC91-BL90,IF(A91&lt;'Données projet'!$A$88,$BA$205^A91,IF(A91='Données projet'!$A$88,'Données projet'!$B$88,BD90+BC91-BL90)))</f>
        <v>447.00000000000045</v>
      </c>
      <c r="BE91" s="14">
        <f>BD91*VLOOKUP('Données projet'!$B$11,Paramètres!$A$1:$I$89,3,0)*VLOOKUP('Données projet'!$B$11,Paramètres!$A$1:$I$89,5,0)</f>
        <v>209.19600000000023</v>
      </c>
      <c r="BF91" s="14">
        <f t="shared" si="91"/>
        <v>51.759852265375834</v>
      </c>
      <c r="BG91" s="22">
        <f t="shared" si="61"/>
        <v>454.4981093621966</v>
      </c>
      <c r="BH91" s="60">
        <f t="shared" si="62"/>
        <v>717.96100923003769</v>
      </c>
      <c r="BI91" s="60">
        <f ca="1">AVERAGE(OFFSET($BH$3,0,0,'Données projet'!$E$11+1,1))-AVERAGE(OFFSET($H$3,0,0,'Données projet'!$E$11+1,1))</f>
        <v>374.62597460242665</v>
      </c>
      <c r="BJ91" s="60">
        <f t="shared" si="92"/>
        <v>277.50105097454616</v>
      </c>
      <c r="BK91" s="16">
        <f>IF(ISNA(VLOOKUP(A91,'Données projet'!$A$87:$I$107,3,0)),0,VLOOKUP(A91,'Données projet'!$A$87:$I$107,3,0))</f>
        <v>16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264.2000000000001</v>
      </c>
      <c r="BZ91" s="14">
        <f>BY91*VLOOKUP('Données projet'!$B$12,Paramètres!$A$1:$I$89,3,0)*VLOOKUP('Données projet'!$B$12,Paramètres!$A$1:$I$89,5,0)</f>
        <v>239.04816000000008</v>
      </c>
      <c r="CA91" s="14">
        <f t="shared" si="93"/>
        <v>58.234690128947342</v>
      </c>
      <c r="CB91" s="22">
        <f t="shared" si="64"/>
        <v>517.76763064125009</v>
      </c>
      <c r="CC91" s="60">
        <f t="shared" si="65"/>
        <v>781.23053050909118</v>
      </c>
      <c r="CD91" s="60">
        <f ca="1">AVERAGE(OFFSET($CC$3,0,0,'Données projet'!$E$12+1,1))-AVERAGE(OFFSET($H$3,0,0,'Données projet'!$E$12+1,1))</f>
        <v>434.56763649859136</v>
      </c>
      <c r="CE91" s="60">
        <f t="shared" si="94"/>
        <v>271.90302066766264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5.4</v>
      </c>
      <c r="CT91" s="13">
        <f>IF('Données projet'!$A$140&gt;35,CT90+CS91-DB90,IF(A91&lt;'Données projet'!$A$140,$CQ$205^A91,IF(A91='Données projet'!$A$140,'Données projet'!$B$140,CT90+CS91-DB90)))</f>
        <v>264.2000000000001</v>
      </c>
      <c r="CU91" s="18">
        <f>CT91*VLOOKUP('Données projet'!$B$13,Paramètres!$A$1:$I$89,3,0)*VLOOKUP('Données projet'!$B$13,Paramètres!$A$1:$I$89,5,0)</f>
        <v>222.56208000000009</v>
      </c>
      <c r="CV91" s="14">
        <f t="shared" si="95"/>
        <v>54.671365346393173</v>
      </c>
      <c r="CW91" s="22">
        <f t="shared" si="67"/>
        <v>482.84825064496823</v>
      </c>
      <c r="CX91" s="60">
        <f t="shared" si="68"/>
        <v>746.31115051280926</v>
      </c>
      <c r="CY91" s="60">
        <f ca="1">AVERAGE(OFFSET($CX$3,0,0,'Données projet'!$E$13+1,1))-AVERAGE(OFFSET($H$3,0,0,'Données projet'!$E$13+1,1))</f>
        <v>411.64829629901465</v>
      </c>
      <c r="CZ91" s="60">
        <f t="shared" si="96"/>
        <v>258.66864562757917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264.2000000000001</v>
      </c>
      <c r="DP91" s="18">
        <f>DO91*VLOOKUP('Données projet'!$B$14,Paramètres!$A$1:$I$89,3,0)*VLOOKUP('Données projet'!$B$14,Paramètres!$A$1:$I$89,5,0)</f>
        <v>267.89880000000011</v>
      </c>
      <c r="DQ91" s="14">
        <f t="shared" si="97"/>
        <v>64.403139057834565</v>
      </c>
      <c r="DR91" s="22">
        <f t="shared" si="70"/>
        <v>578.75921052572869</v>
      </c>
      <c r="DS91" s="60">
        <f t="shared" si="71"/>
        <v>842.22211039356978</v>
      </c>
      <c r="DT91" s="60">
        <f ca="1">AVERAGE(OFFSET($DS$3,0,0,'Données projet'!$E$14+1,1))-AVERAGE(OFFSET($H$3,0,0,'Données projet'!$E$14+1,1))</f>
        <v>474.59791006623266</v>
      </c>
      <c r="DU91" s="60">
        <f t="shared" si="98"/>
        <v>295.01432800690293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-4.9658410716801891E-14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334.73467807584336</v>
      </c>
      <c r="EP91" s="60">
        <f t="shared" si="100"/>
        <v>463.8772059551726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2.6860163483275232</v>
      </c>
      <c r="EW91" s="23">
        <f>EXP(-LN(2)/25)*EW90+(1-EXP(-LN(2)/25))/(LN(2)/25)*Calculateur!ER91*Calculateur!ET91*VLOOKUP('Données projet'!$B$15,Paramètres!$A$1:$I$89,3,0)*0.475*44/12</f>
        <v>3.8176365884725803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6.503652936800103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135.66666666666666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0">
        <f t="shared" si="55"/>
        <v>263.98108510818452</v>
      </c>
      <c r="S92" s="60">
        <f ca="1">AVERAGE(OFFSET($R$3,0,0,'Données projet'!$E$9+1,1))-AVERAGE(OFFSET($H$3,0,0,'Données projet'!$E$9+1,1))</f>
        <v>199.65420589615553</v>
      </c>
      <c r="T92" s="60">
        <f t="shared" si="88"/>
        <v>477.85821088970999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0">
        <f t="shared" si="59"/>
        <v>263.98108510818452</v>
      </c>
      <c r="AN92" s="60">
        <f ca="1">AVERAGE(OFFSET($AM$3,0,0,'Données projet'!$E$10+1,1))-AVERAGE(OFFSET($H$3,0,0,'Données projet'!$E$10+1,1))</f>
        <v>199.65420589615553</v>
      </c>
      <c r="AO92" s="60">
        <f t="shared" si="90"/>
        <v>477.85821088970999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13</v>
      </c>
      <c r="BD92" s="13">
        <f>IF('Données projet'!$A$88&gt;35,BD91+BC92-BL91,IF(A92&lt;'Données projet'!$A$88,$BA$205^A92,IF(A92='Données projet'!$A$88,'Données projet'!$B$88,BD91+BC92-BL91)))</f>
        <v>460.00000000000045</v>
      </c>
      <c r="BE92" s="14">
        <f>BD92*VLOOKUP('Données projet'!$B$11,Paramètres!$A$1:$I$89,3,0)*VLOOKUP('Données projet'!$B$11,Paramètres!$A$1:$I$89,5,0)</f>
        <v>215.28000000000023</v>
      </c>
      <c r="BF92" s="14">
        <f t="shared" si="91"/>
        <v>53.08772574085318</v>
      </c>
      <c r="BG92" s="22">
        <f t="shared" si="61"/>
        <v>467.40712233198633</v>
      </c>
      <c r="BH92" s="60">
        <f t="shared" si="62"/>
        <v>731.3882074401688</v>
      </c>
      <c r="BI92" s="60">
        <f ca="1">AVERAGE(OFFSET($BH$3,0,0,'Données projet'!$E$11+1,1))-AVERAGE(OFFSET($H$3,0,0,'Données projet'!$E$11+1,1))</f>
        <v>374.62597460242665</v>
      </c>
      <c r="BJ92" s="60">
        <f t="shared" si="92"/>
        <v>277.50105097454616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269.60000000000008</v>
      </c>
      <c r="BZ92" s="14">
        <f>BY92*VLOOKUP('Données projet'!$B$12,Paramètres!$A$1:$I$89,3,0)*VLOOKUP('Données projet'!$B$12,Paramètres!$A$1:$I$89,5,0)</f>
        <v>243.93408000000005</v>
      </c>
      <c r="CA92" s="14">
        <f t="shared" si="93"/>
        <v>59.28516432961765</v>
      </c>
      <c r="CB92" s="22">
        <f t="shared" si="64"/>
        <v>528.10685054075077</v>
      </c>
      <c r="CC92" s="60">
        <f t="shared" si="65"/>
        <v>792.08793564893335</v>
      </c>
      <c r="CD92" s="60">
        <f ca="1">AVERAGE(OFFSET($CC$3,0,0,'Données projet'!$E$12+1,1))-AVERAGE(OFFSET($H$3,0,0,'Données projet'!$E$12+1,1))</f>
        <v>434.56763649859136</v>
      </c>
      <c r="CE92" s="60">
        <f t="shared" si="94"/>
        <v>271.90302066766264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5.4</v>
      </c>
      <c r="CT92" s="13">
        <f>IF('Données projet'!$A$140&gt;35,CT91+CS92-DB91,IF(A92&lt;'Données projet'!$A$140,$CQ$205^A92,IF(A92='Données projet'!$A$140,'Données projet'!$B$140,CT91+CS92-DB91)))</f>
        <v>269.60000000000008</v>
      </c>
      <c r="CU92" s="18">
        <f>CT92*VLOOKUP('Données projet'!$B$13,Paramètres!$A$1:$I$89,3,0)*VLOOKUP('Données projet'!$B$13,Paramètres!$A$1:$I$89,5,0)</f>
        <v>227.11104000000009</v>
      </c>
      <c r="CV92" s="14">
        <f t="shared" si="95"/>
        <v>55.657562039200094</v>
      </c>
      <c r="CW92" s="22">
        <f t="shared" si="67"/>
        <v>492.48864855160696</v>
      </c>
      <c r="CX92" s="60">
        <f t="shared" si="68"/>
        <v>756.46973365978943</v>
      </c>
      <c r="CY92" s="60">
        <f ca="1">AVERAGE(OFFSET($CX$3,0,0,'Données projet'!$E$13+1,1))-AVERAGE(OFFSET($H$3,0,0,'Données projet'!$E$13+1,1))</f>
        <v>411.64829629901465</v>
      </c>
      <c r="CZ92" s="60">
        <f t="shared" si="96"/>
        <v>258.66864562757917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269.60000000000008</v>
      </c>
      <c r="DP92" s="18">
        <f>DO92*VLOOKUP('Données projet'!$B$14,Paramètres!$A$1:$I$89,3,0)*VLOOKUP('Données projet'!$B$14,Paramètres!$A$1:$I$89,5,0)</f>
        <v>273.37440000000009</v>
      </c>
      <c r="DQ92" s="14">
        <f t="shared" si="97"/>
        <v>65.564883644654444</v>
      </c>
      <c r="DR92" s="22">
        <f t="shared" si="70"/>
        <v>590.31925234777327</v>
      </c>
      <c r="DS92" s="60">
        <f t="shared" si="71"/>
        <v>854.30033745595574</v>
      </c>
      <c r="DT92" s="60">
        <f ca="1">AVERAGE(OFFSET($DS$3,0,0,'Données projet'!$E$14+1,1))-AVERAGE(OFFSET($H$3,0,0,'Données projet'!$E$14+1,1))</f>
        <v>474.59791006623266</v>
      </c>
      <c r="DU92" s="60">
        <f t="shared" si="98"/>
        <v>295.01432800690293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-4.9658410716801891E-14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334.73467807584336</v>
      </c>
      <c r="EP92" s="60">
        <f t="shared" si="100"/>
        <v>463.8772059551726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2.6333452060450235</v>
      </c>
      <c r="EW92" s="23">
        <f>EXP(-LN(2)/25)*EW91+(1-EXP(-LN(2)/25))/(LN(2)/25)*Calculateur!ER92*Calculateur!ET92*VLOOKUP('Données projet'!$B$15,Paramètres!$A$1:$I$89,3,0)*0.475*44/12</f>
        <v>3.7132431152000147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6.3465883212450382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135.66666666666666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0">
        <f t="shared" si="55"/>
        <v>264.49028099309476</v>
      </c>
      <c r="S93" s="60">
        <f ca="1">AVERAGE(OFFSET($R$3,0,0,'Données projet'!$E$9+1,1))-AVERAGE(OFFSET($H$3,0,0,'Données projet'!$E$9+1,1))</f>
        <v>199.65420589615553</v>
      </c>
      <c r="T93" s="60">
        <f t="shared" si="88"/>
        <v>477.85821088970999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0">
        <f t="shared" si="59"/>
        <v>264.49028099309476</v>
      </c>
      <c r="AN93" s="60">
        <f ca="1">AVERAGE(OFFSET($AM$3,0,0,'Données projet'!$E$10+1,1))-AVERAGE(OFFSET($H$3,0,0,'Données projet'!$E$10+1,1))</f>
        <v>199.65420589615553</v>
      </c>
      <c r="AO93" s="60">
        <f t="shared" si="90"/>
        <v>477.85821088970999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13</v>
      </c>
      <c r="BD93" s="13">
        <f>IF('Données projet'!$A$88&gt;35,BD92+BC93-BL92,IF(A93&lt;'Données projet'!$A$88,$BA$205^A93,IF(A93='Données projet'!$A$88,'Données projet'!$B$88,BD92+BC93-BL92)))</f>
        <v>473.00000000000045</v>
      </c>
      <c r="BE93" s="14">
        <f>BD93*VLOOKUP('Données projet'!$B$11,Paramètres!$A$1:$I$89,3,0)*VLOOKUP('Données projet'!$B$11,Paramètres!$A$1:$I$89,5,0)</f>
        <v>221.3640000000002</v>
      </c>
      <c r="BF93" s="14">
        <f t="shared" si="91"/>
        <v>54.411237653200843</v>
      </c>
      <c r="BG93" s="22">
        <f t="shared" si="61"/>
        <v>480.30853891265838</v>
      </c>
      <c r="BH93" s="60">
        <f t="shared" si="62"/>
        <v>744.79881990575109</v>
      </c>
      <c r="BI93" s="60">
        <f ca="1">AVERAGE(OFFSET($BH$3,0,0,'Données projet'!$E$11+1,1))-AVERAGE(OFFSET($H$3,0,0,'Données projet'!$E$11+1,1))</f>
        <v>374.62597460242665</v>
      </c>
      <c r="BJ93" s="60">
        <f t="shared" si="92"/>
        <v>277.50105097454616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275.00000000000006</v>
      </c>
      <c r="BZ93" s="14">
        <f>BY93*VLOOKUP('Données projet'!$B$12,Paramètres!$A$1:$I$89,3,0)*VLOOKUP('Données projet'!$B$12,Paramètres!$A$1:$I$89,5,0)</f>
        <v>248.82000000000005</v>
      </c>
      <c r="CA93" s="14">
        <f t="shared" si="93"/>
        <v>60.333192077890068</v>
      </c>
      <c r="CB93" s="22">
        <f t="shared" si="64"/>
        <v>538.44180953565865</v>
      </c>
      <c r="CC93" s="60">
        <f t="shared" si="65"/>
        <v>802.93209052875136</v>
      </c>
      <c r="CD93" s="60">
        <f ca="1">AVERAGE(OFFSET($CC$3,0,0,'Données projet'!$E$12+1,1))-AVERAGE(OFFSET($H$3,0,0,'Données projet'!$E$12+1,1))</f>
        <v>434.56763649859136</v>
      </c>
      <c r="CE93" s="60">
        <f t="shared" si="94"/>
        <v>271.90302066766264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275</v>
      </c>
      <c r="CR93" s="13">
        <f>VLOOKUP(A93,'Données projet'!$A$139:$I$159,9,0)</f>
        <v>5.4</v>
      </c>
      <c r="CS93" s="13">
        <f t="array" ref="CS93">INDEX(CR:CR,MIN(IF(ISNUMBER(CR93:CR289),ROW(CR93:CR289),"")))</f>
        <v>5.4</v>
      </c>
      <c r="CT93" s="13">
        <f>IF('Données projet'!$A$140&gt;35,CT92+CS93-DB92,IF(A93&lt;'Données projet'!$A$140,$CQ$205^A93,IF(A93='Données projet'!$A$140,'Données projet'!$B$140,CT92+CS93-DB92)))</f>
        <v>275.00000000000006</v>
      </c>
      <c r="CU93" s="18">
        <f>CT93*VLOOKUP('Données projet'!$B$13,Paramètres!$A$1:$I$89,3,0)*VLOOKUP('Données projet'!$B$13,Paramètres!$A$1:$I$89,5,0)</f>
        <v>231.66000000000005</v>
      </c>
      <c r="CV93" s="14">
        <f t="shared" si="95"/>
        <v>56.641461975682823</v>
      </c>
      <c r="CW93" s="22">
        <f t="shared" si="67"/>
        <v>502.12504627431434</v>
      </c>
      <c r="CX93" s="60">
        <f t="shared" si="68"/>
        <v>766.61532726740711</v>
      </c>
      <c r="CY93" s="60">
        <f ca="1">AVERAGE(OFFSET($CX$3,0,0,'Données projet'!$E$13+1,1))-AVERAGE(OFFSET($H$3,0,0,'Données projet'!$E$13+1,1))</f>
        <v>411.64829629901465</v>
      </c>
      <c r="CZ93" s="60">
        <f t="shared" si="96"/>
        <v>258.66864562757917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21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275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275.00000000000006</v>
      </c>
      <c r="DP93" s="18">
        <f>DO93*VLOOKUP('Données projet'!$B$14,Paramètres!$A$1:$I$89,3,0)*VLOOKUP('Données projet'!$B$14,Paramètres!$A$1:$I$89,5,0)</f>
        <v>278.85000000000008</v>
      </c>
      <c r="DQ93" s="14">
        <f t="shared" si="97"/>
        <v>66.723922641152967</v>
      </c>
      <c r="DR93" s="22">
        <f t="shared" si="70"/>
        <v>601.87458193334146</v>
      </c>
      <c r="DS93" s="60">
        <f t="shared" si="71"/>
        <v>866.36486292643417</v>
      </c>
      <c r="DT93" s="60">
        <f ca="1">AVERAGE(OFFSET($DS$3,0,0,'Données projet'!$E$14+1,1))-AVERAGE(OFFSET($H$3,0,0,'Données projet'!$E$14+1,1))</f>
        <v>474.59791006623266</v>
      </c>
      <c r="DU93" s="60">
        <f t="shared" si="98"/>
        <v>295.01432800690293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21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-4.9658410716801891E-14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334.73467807584336</v>
      </c>
      <c r="EP93" s="60">
        <f t="shared" si="100"/>
        <v>463.8772059551726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2.5817069127364589</v>
      </c>
      <c r="EW93" s="23">
        <f>EXP(-LN(2)/25)*EW92+(1-EXP(-LN(2)/25))/(LN(2)/25)*Calculateur!ER93*Calculateur!ET93*VLOOKUP('Données projet'!$B$15,Paramètres!$A$1:$I$89,3,0)*0.475*44/12</f>
        <v>3.6117042869439016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6.1934111996803605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135.66666666666666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0">
        <f t="shared" si="55"/>
        <v>264.99064346779318</v>
      </c>
      <c r="S94" s="60">
        <f ca="1">AVERAGE(OFFSET($R$3,0,0,'Données projet'!$E$9+1,1))-AVERAGE(OFFSET($H$3,0,0,'Données projet'!$E$9+1,1))</f>
        <v>199.65420589615553</v>
      </c>
      <c r="T94" s="60">
        <f t="shared" si="88"/>
        <v>477.85821088970999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0">
        <f t="shared" si="59"/>
        <v>264.99064346779318</v>
      </c>
      <c r="AN94" s="60">
        <f ca="1">AVERAGE(OFFSET($AM$3,0,0,'Données projet'!$E$10+1,1))-AVERAGE(OFFSET($H$3,0,0,'Données projet'!$E$10+1,1))</f>
        <v>199.65420589615553</v>
      </c>
      <c r="AO94" s="60">
        <f t="shared" si="90"/>
        <v>477.85821088970999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13</v>
      </c>
      <c r="BD94" s="13">
        <f>IF('Données projet'!$A$88&gt;35,BD93+BC94-BL93,IF(A94&lt;'Données projet'!$A$88,$BA$205^A94,IF(A94='Données projet'!$A$88,'Données projet'!$B$88,BD93+BC94-BL93)))</f>
        <v>486.00000000000045</v>
      </c>
      <c r="BE94" s="14">
        <f>BD94*VLOOKUP('Données projet'!$B$11,Paramètres!$A$1:$I$89,3,0)*VLOOKUP('Données projet'!$B$11,Paramètres!$A$1:$I$89,5,0)</f>
        <v>227.44800000000021</v>
      </c>
      <c r="BF94" s="14">
        <f t="shared" si="91"/>
        <v>55.730521649800735</v>
      </c>
      <c r="BG94" s="22">
        <f t="shared" si="61"/>
        <v>493.20259187340326</v>
      </c>
      <c r="BH94" s="60">
        <f t="shared" si="62"/>
        <v>758.1932353411944</v>
      </c>
      <c r="BI94" s="60">
        <f ca="1">AVERAGE(OFFSET($BH$3,0,0,'Données projet'!$E$11+1,1))-AVERAGE(OFFSET($H$3,0,0,'Données projet'!$E$11+1,1))</f>
        <v>374.62597460242665</v>
      </c>
      <c r="BJ94" s="60">
        <f t="shared" si="92"/>
        <v>277.50105097454616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259.00000000000006</v>
      </c>
      <c r="BZ94" s="14">
        <f>BY94*VLOOKUP('Données projet'!$B$12,Paramètres!$A$1:$I$89,3,0)*VLOOKUP('Données projet'!$B$12,Paramètres!$A$1:$I$89,5,0)</f>
        <v>234.34320000000005</v>
      </c>
      <c r="CA94" s="14">
        <f t="shared" si="93"/>
        <v>57.220758006491664</v>
      </c>
      <c r="CB94" s="22">
        <f t="shared" si="64"/>
        <v>507.80722686130639</v>
      </c>
      <c r="CC94" s="60">
        <f t="shared" si="65"/>
        <v>772.79787032909758</v>
      </c>
      <c r="CD94" s="60">
        <f ca="1">AVERAGE(OFFSET($CC$3,0,0,'Données projet'!$E$12+1,1))-AVERAGE(OFFSET($H$3,0,0,'Données projet'!$E$12+1,1))</f>
        <v>434.56763649859136</v>
      </c>
      <c r="CE94" s="60">
        <f t="shared" si="94"/>
        <v>271.90302066766264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</v>
      </c>
      <c r="CT94" s="13">
        <f>IF('Données projet'!$A$140&gt;35,CT93+CS94-DB93,IF(A94&lt;'Données projet'!$A$140,$CQ$205^A94,IF(A94='Données projet'!$A$140,'Données projet'!$B$140,CT93+CS94-DB93)))</f>
        <v>259.00000000000006</v>
      </c>
      <c r="CU94" s="18">
        <f>CT94*VLOOKUP('Données projet'!$B$13,Paramètres!$A$1:$I$89,3,0)*VLOOKUP('Données projet'!$B$13,Paramètres!$A$1:$I$89,5,0)</f>
        <v>218.18160000000006</v>
      </c>
      <c r="CV94" s="14">
        <f t="shared" si="95"/>
        <v>53.719474757115982</v>
      </c>
      <c r="CW94" s="22">
        <f t="shared" si="67"/>
        <v>473.56103853531039</v>
      </c>
      <c r="CX94" s="60">
        <f t="shared" si="68"/>
        <v>738.55168200310163</v>
      </c>
      <c r="CY94" s="60">
        <f ca="1">AVERAGE(OFFSET($CX$3,0,0,'Données projet'!$E$13+1,1))-AVERAGE(OFFSET($H$3,0,0,'Données projet'!$E$13+1,1))</f>
        <v>411.64829629901465</v>
      </c>
      <c r="CZ94" s="60">
        <f t="shared" si="96"/>
        <v>258.66864562757917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</v>
      </c>
      <c r="DO94" s="13">
        <f>IF('Données projet'!$A$166&gt;35,DO93+DN94-DW93,IF(A94&lt;'Données projet'!$A$166,$DL$205^A94,IF(A94='Données projet'!$A$166,'Données projet'!$B$166,DO93+DN94-DW93)))</f>
        <v>259.00000000000006</v>
      </c>
      <c r="DP94" s="18">
        <f>DO94*VLOOKUP('Données projet'!$B$14,Paramètres!$A$1:$I$89,3,0)*VLOOKUP('Données projet'!$B$14,Paramètres!$A$1:$I$89,5,0)</f>
        <v>262.62600000000009</v>
      </c>
      <c r="DQ94" s="14">
        <f t="shared" si="97"/>
        <v>63.281807230823453</v>
      </c>
      <c r="DR94" s="22">
        <f t="shared" si="70"/>
        <v>567.622764260351</v>
      </c>
      <c r="DS94" s="60">
        <f t="shared" si="71"/>
        <v>832.61340772814219</v>
      </c>
      <c r="DT94" s="60">
        <f ca="1">AVERAGE(OFFSET($DS$3,0,0,'Données projet'!$E$14+1,1))-AVERAGE(OFFSET($H$3,0,0,'Données projet'!$E$14+1,1))</f>
        <v>474.59791006623266</v>
      </c>
      <c r="DU94" s="60">
        <f t="shared" si="98"/>
        <v>295.01432800690293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-4.9658410716801891E-14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334.73467807584336</v>
      </c>
      <c r="EP94" s="60">
        <f t="shared" si="100"/>
        <v>463.8772059551726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2.5310812148634265</v>
      </c>
      <c r="EW94" s="23">
        <f>EXP(-LN(2)/25)*EW93+(1-EXP(-LN(2)/25))/(LN(2)/25)*Calculateur!ER94*Calculateur!ET94*VLOOKUP('Données projet'!$B$15,Paramètres!$A$1:$I$89,3,0)*0.475*44/12</f>
        <v>3.5129420432861469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6.0440232581495739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135.66666666666666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0">
        <f t="shared" si="55"/>
        <v>265.48232577219852</v>
      </c>
      <c r="S95" s="60">
        <f ca="1">AVERAGE(OFFSET($R$3,0,0,'Données projet'!$E$9+1,1))-AVERAGE(OFFSET($H$3,0,0,'Données projet'!$E$9+1,1))</f>
        <v>199.65420589615553</v>
      </c>
      <c r="T95" s="60">
        <f t="shared" si="88"/>
        <v>477.85821088970999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0">
        <f t="shared" si="59"/>
        <v>265.48232577219852</v>
      </c>
      <c r="AN95" s="60">
        <f ca="1">AVERAGE(OFFSET($AM$3,0,0,'Données projet'!$E$10+1,1))-AVERAGE(OFFSET($H$3,0,0,'Données projet'!$E$10+1,1))</f>
        <v>199.65420589615553</v>
      </c>
      <c r="AO95" s="60">
        <f t="shared" si="90"/>
        <v>477.85821088970999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13</v>
      </c>
      <c r="BD95" s="13">
        <f>IF('Données projet'!$A$88&gt;35,BD94+BC95-BL94,IF(A95&lt;'Données projet'!$A$88,$BA$205^A95,IF(A95='Données projet'!$A$88,'Données projet'!$B$88,BD94+BC95-BL94)))</f>
        <v>499.00000000000045</v>
      </c>
      <c r="BE95" s="14">
        <f>BD95*VLOOKUP('Données projet'!$B$11,Paramètres!$A$1:$I$89,3,0)*VLOOKUP('Données projet'!$B$11,Paramètres!$A$1:$I$89,5,0)</f>
        <v>233.53200000000021</v>
      </c>
      <c r="BF95" s="14">
        <f t="shared" si="91"/>
        <v>57.04570382109813</v>
      </c>
      <c r="BG95" s="22">
        <f t="shared" si="61"/>
        <v>506.08950082174624</v>
      </c>
      <c r="BH95" s="60">
        <f t="shared" si="62"/>
        <v>771.57182659394277</v>
      </c>
      <c r="BI95" s="60">
        <f ca="1">AVERAGE(OFFSET($BH$3,0,0,'Données projet'!$E$11+1,1))-AVERAGE(OFFSET($H$3,0,0,'Données projet'!$E$11+1,1))</f>
        <v>374.62597460242665</v>
      </c>
      <c r="BJ95" s="60">
        <f t="shared" si="92"/>
        <v>277.50105097454616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264.00000000000006</v>
      </c>
      <c r="BZ95" s="14">
        <f>BY95*VLOOKUP('Données projet'!$B$12,Paramètres!$A$1:$I$89,3,0)*VLOOKUP('Données projet'!$B$12,Paramètres!$A$1:$I$89,5,0)</f>
        <v>238.86720000000005</v>
      </c>
      <c r="CA95" s="14">
        <f t="shared" si="93"/>
        <v>58.195735973104156</v>
      </c>
      <c r="CB95" s="22">
        <f t="shared" si="64"/>
        <v>517.3846134864898</v>
      </c>
      <c r="CC95" s="60">
        <f t="shared" si="65"/>
        <v>782.86693925868633</v>
      </c>
      <c r="CD95" s="60">
        <f ca="1">AVERAGE(OFFSET($CC$3,0,0,'Données projet'!$E$12+1,1))-AVERAGE(OFFSET($H$3,0,0,'Données projet'!$E$12+1,1))</f>
        <v>434.56763649859136</v>
      </c>
      <c r="CE95" s="60">
        <f t="shared" si="94"/>
        <v>271.90302066766264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</v>
      </c>
      <c r="CT95" s="13">
        <f>IF('Données projet'!$A$140&gt;35,CT94+CS95-DB94,IF(A95&lt;'Données projet'!$A$140,$CQ$205^A95,IF(A95='Données projet'!$A$140,'Données projet'!$B$140,CT94+CS95-DB94)))</f>
        <v>264.00000000000006</v>
      </c>
      <c r="CU95" s="18">
        <f>CT95*VLOOKUP('Données projet'!$B$13,Paramètres!$A$1:$I$89,3,0)*VLOOKUP('Données projet'!$B$13,Paramètres!$A$1:$I$89,5,0)</f>
        <v>222.39360000000005</v>
      </c>
      <c r="CV95" s="14">
        <f t="shared" si="95"/>
        <v>54.634794757949287</v>
      </c>
      <c r="CW95" s="22">
        <f t="shared" si="67"/>
        <v>482.49112087009513</v>
      </c>
      <c r="CX95" s="60">
        <f t="shared" si="68"/>
        <v>747.97344664229172</v>
      </c>
      <c r="CY95" s="60">
        <f ca="1">AVERAGE(OFFSET($CX$3,0,0,'Données projet'!$E$13+1,1))-AVERAGE(OFFSET($H$3,0,0,'Données projet'!$E$13+1,1))</f>
        <v>411.64829629901465</v>
      </c>
      <c r="CZ95" s="60">
        <f t="shared" si="96"/>
        <v>258.66864562757917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</v>
      </c>
      <c r="DO95" s="13">
        <f>IF('Données projet'!$A$166&gt;35,DO94+DN95-DW94,IF(A95&lt;'Données projet'!$A$166,$DL$205^A95,IF(A95='Données projet'!$A$166,'Données projet'!$B$166,DO94+DN95-DW94)))</f>
        <v>264.00000000000006</v>
      </c>
      <c r="DP95" s="18">
        <f>DO95*VLOOKUP('Données projet'!$B$14,Paramètres!$A$1:$I$89,3,0)*VLOOKUP('Données projet'!$B$14,Paramètres!$A$1:$I$89,5,0)</f>
        <v>267.69600000000008</v>
      </c>
      <c r="DQ95" s="14">
        <f t="shared" si="97"/>
        <v>64.360058723585496</v>
      </c>
      <c r="DR95" s="22">
        <f t="shared" si="70"/>
        <v>578.33096894357823</v>
      </c>
      <c r="DS95" s="60">
        <f t="shared" si="71"/>
        <v>843.81329471577476</v>
      </c>
      <c r="DT95" s="60">
        <f ca="1">AVERAGE(OFFSET($DS$3,0,0,'Données projet'!$E$14+1,1))-AVERAGE(OFFSET($H$3,0,0,'Données projet'!$E$14+1,1))</f>
        <v>474.59791006623266</v>
      </c>
      <c r="DU95" s="60">
        <f t="shared" si="98"/>
        <v>295.01432800690293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-4.9658410716801891E-14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334.73467807584336</v>
      </c>
      <c r="EP95" s="60">
        <f t="shared" si="100"/>
        <v>463.8772059551726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2.4814482560470577</v>
      </c>
      <c r="EW95" s="23">
        <f>EXP(-LN(2)/25)*EW94+(1-EXP(-LN(2)/25))/(LN(2)/25)*Calculateur!ER95*Calculateur!ET95*VLOOKUP('Données projet'!$B$15,Paramètres!$A$1:$I$89,3,0)*0.475*44/12</f>
        <v>3.416880458374894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5.8983287144219521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135.66666666666666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0">
        <f t="shared" si="55"/>
        <v>265.9654784878594</v>
      </c>
      <c r="S96" s="60">
        <f ca="1">AVERAGE(OFFSET($R$3,0,0,'Données projet'!$E$9+1,1))-AVERAGE(OFFSET($H$3,0,0,'Données projet'!$E$9+1,1))</f>
        <v>199.65420589615553</v>
      </c>
      <c r="T96" s="60">
        <f t="shared" si="88"/>
        <v>477.85821088970999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0">
        <f t="shared" si="59"/>
        <v>265.9654784878594</v>
      </c>
      <c r="AN96" s="60">
        <f ca="1">AVERAGE(OFFSET($AM$3,0,0,'Données projet'!$E$10+1,1))-AVERAGE(OFFSET($H$3,0,0,'Données projet'!$E$10+1,1))</f>
        <v>199.65420589615553</v>
      </c>
      <c r="AO96" s="60">
        <f t="shared" si="90"/>
        <v>477.85821088970999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13</v>
      </c>
      <c r="BD96" s="13">
        <f>IF('Données projet'!$A$88&gt;35,BD95+BC96-BL95,IF(A96&lt;'Données projet'!$A$88,$BA$205^A96,IF(A96='Données projet'!$A$88,'Données projet'!$B$88,BD95+BC96-BL95)))</f>
        <v>512.00000000000045</v>
      </c>
      <c r="BE96" s="14">
        <f>BD96*VLOOKUP('Données projet'!$B$11,Paramètres!$A$1:$I$89,3,0)*VLOOKUP('Données projet'!$B$11,Paramètres!$A$1:$I$89,5,0)</f>
        <v>239.61600000000021</v>
      </c>
      <c r="BF96" s="14">
        <f t="shared" si="91"/>
        <v>58.356903313490214</v>
      </c>
      <c r="BG96" s="22">
        <f t="shared" si="61"/>
        <v>518.96947327099576</v>
      </c>
      <c r="BH96" s="60">
        <f t="shared" si="62"/>
        <v>784.93495175885323</v>
      </c>
      <c r="BI96" s="60">
        <f ca="1">AVERAGE(OFFSET($BH$3,0,0,'Données projet'!$E$11+1,1))-AVERAGE(OFFSET($H$3,0,0,'Données projet'!$E$11+1,1))</f>
        <v>374.62597460242665</v>
      </c>
      <c r="BJ96" s="60">
        <f t="shared" si="92"/>
        <v>277.50105097454616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269.00000000000006</v>
      </c>
      <c r="BZ96" s="14">
        <f>BY96*VLOOKUP('Données projet'!$B$12,Paramètres!$A$1:$I$89,3,0)*VLOOKUP('Données projet'!$B$12,Paramètres!$A$1:$I$89,5,0)</f>
        <v>243.39120000000003</v>
      </c>
      <c r="CA96" s="14">
        <f t="shared" si="93"/>
        <v>59.168566788241527</v>
      </c>
      <c r="CB96" s="22">
        <f t="shared" si="64"/>
        <v>526.95826048952074</v>
      </c>
      <c r="CC96" s="60">
        <f t="shared" si="65"/>
        <v>792.92373897737821</v>
      </c>
      <c r="CD96" s="60">
        <f ca="1">AVERAGE(OFFSET($CC$3,0,0,'Données projet'!$E$12+1,1))-AVERAGE(OFFSET($H$3,0,0,'Données projet'!$E$12+1,1))</f>
        <v>434.56763649859136</v>
      </c>
      <c r="CE96" s="60">
        <f t="shared" si="94"/>
        <v>271.90302066766264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</v>
      </c>
      <c r="CT96" s="13">
        <f>IF('Données projet'!$A$140&gt;35,CT95+CS96-DB95,IF(A96&lt;'Données projet'!$A$140,$CQ$205^A96,IF(A96='Données projet'!$A$140,'Données projet'!$B$140,CT95+CS96-DB95)))</f>
        <v>269.00000000000006</v>
      </c>
      <c r="CU96" s="18">
        <f>CT96*VLOOKUP('Données projet'!$B$13,Paramètres!$A$1:$I$89,3,0)*VLOOKUP('Données projet'!$B$13,Paramètres!$A$1:$I$89,5,0)</f>
        <v>226.60560000000009</v>
      </c>
      <c r="CV96" s="14">
        <f t="shared" si="95"/>
        <v>55.548098989444924</v>
      </c>
      <c r="CW96" s="22">
        <f t="shared" si="67"/>
        <v>491.41769240661671</v>
      </c>
      <c r="CX96" s="60">
        <f t="shared" si="68"/>
        <v>757.38317089447412</v>
      </c>
      <c r="CY96" s="60">
        <f ca="1">AVERAGE(OFFSET($CX$3,0,0,'Données projet'!$E$13+1,1))-AVERAGE(OFFSET($H$3,0,0,'Données projet'!$E$13+1,1))</f>
        <v>411.64829629901465</v>
      </c>
      <c r="CZ96" s="60">
        <f t="shared" si="96"/>
        <v>258.66864562757917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</v>
      </c>
      <c r="DO96" s="13">
        <f>IF('Données projet'!$A$166&gt;35,DO95+DN96-DW95,IF(A96&lt;'Données projet'!$A$166,$DL$205^A96,IF(A96='Données projet'!$A$166,'Données projet'!$B$166,DO95+DN96-DW95)))</f>
        <v>269.00000000000006</v>
      </c>
      <c r="DP96" s="18">
        <f>DO96*VLOOKUP('Données projet'!$B$14,Paramètres!$A$1:$I$89,3,0)*VLOOKUP('Données projet'!$B$14,Paramètres!$A$1:$I$89,5,0)</f>
        <v>272.76600000000008</v>
      </c>
      <c r="DQ96" s="14">
        <f t="shared" si="97"/>
        <v>65.435935630087627</v>
      </c>
      <c r="DR96" s="22">
        <f t="shared" si="70"/>
        <v>589.03503788906926</v>
      </c>
      <c r="DS96" s="60">
        <f t="shared" si="71"/>
        <v>855.00051637692673</v>
      </c>
      <c r="DT96" s="60">
        <f ca="1">AVERAGE(OFFSET($DS$3,0,0,'Données projet'!$E$14+1,1))-AVERAGE(OFFSET($H$3,0,0,'Données projet'!$E$14+1,1))</f>
        <v>474.59791006623266</v>
      </c>
      <c r="DU96" s="60">
        <f t="shared" si="98"/>
        <v>295.01432800690293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-4.9658410716801891E-14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334.73467807584336</v>
      </c>
      <c r="EP96" s="60">
        <f t="shared" si="100"/>
        <v>463.8772059551726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2.4327885692799618</v>
      </c>
      <c r="EW96" s="23">
        <f>EXP(-LN(2)/25)*EW95+(1-EXP(-LN(2)/25))/(LN(2)/25)*Calculateur!ER96*Calculateur!ET96*VLOOKUP('Données projet'!$B$15,Paramètres!$A$1:$I$89,3,0)*0.475*44/12</f>
        <v>3.3234456825546985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5.7562342518346608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135.66666666666666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0">
        <f t="shared" si="55"/>
        <v>266.44024958407118</v>
      </c>
      <c r="S97" s="60">
        <f ca="1">AVERAGE(OFFSET($R$3,0,0,'Données projet'!$E$9+1,1))-AVERAGE(OFFSET($H$3,0,0,'Données projet'!$E$9+1,1))</f>
        <v>199.65420589615553</v>
      </c>
      <c r="T97" s="60">
        <f t="shared" si="88"/>
        <v>477.85821088970999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0">
        <f t="shared" si="59"/>
        <v>266.44024958407118</v>
      </c>
      <c r="AN97" s="60">
        <f ca="1">AVERAGE(OFFSET($AM$3,0,0,'Données projet'!$E$10+1,1))-AVERAGE(OFFSET($H$3,0,0,'Données projet'!$E$10+1,1))</f>
        <v>199.65420589615553</v>
      </c>
      <c r="AO97" s="60">
        <f t="shared" si="90"/>
        <v>477.85821088970999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525</v>
      </c>
      <c r="BB97" s="13">
        <f>VLOOKUP(A97,'Données projet'!$A$87:$I$107,9,0)</f>
        <v>13</v>
      </c>
      <c r="BC97" s="13">
        <f t="array" ref="BC97">INDEX(BB:BB,MIN(IF(ISNUMBER(BB97:BB293),ROW(BB97:BB293),"")))</f>
        <v>13</v>
      </c>
      <c r="BD97" s="13">
        <f>IF('Données projet'!$A$88&gt;35,BD96+BC97-BL96,IF(A97&lt;'Données projet'!$A$88,$BA$205^A97,IF(A97='Données projet'!$A$88,'Données projet'!$B$88,BD96+BC97-BL96)))</f>
        <v>525.00000000000045</v>
      </c>
      <c r="BE97" s="14">
        <f>BD97*VLOOKUP('Données projet'!$B$11,Paramètres!$A$1:$I$89,3,0)*VLOOKUP('Données projet'!$B$11,Paramètres!$A$1:$I$89,5,0)</f>
        <v>245.70000000000022</v>
      </c>
      <c r="BF97" s="14">
        <f t="shared" si="91"/>
        <v>59.66423287821754</v>
      </c>
      <c r="BG97" s="22">
        <f t="shared" si="61"/>
        <v>531.84270559622928</v>
      </c>
      <c r="BH97" s="60">
        <f t="shared" si="62"/>
        <v>798.28295518029847</v>
      </c>
      <c r="BI97" s="60">
        <f ca="1">AVERAGE(OFFSET($BH$3,0,0,'Données projet'!$E$11+1,1))-AVERAGE(OFFSET($H$3,0,0,'Données projet'!$E$11+1,1))</f>
        <v>374.62597460242665</v>
      </c>
      <c r="BJ97" s="60">
        <f t="shared" si="92"/>
        <v>277.50105097454616</v>
      </c>
      <c r="BK97" s="16">
        <f>IF(ISNA(VLOOKUP(A97,'Données projet'!$A$87:$I$107,3,0)),0,VLOOKUP(A97,'Données projet'!$A$87:$I$107,3,0))</f>
        <v>17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274.00000000000006</v>
      </c>
      <c r="BZ97" s="14">
        <f>BY97*VLOOKUP('Données projet'!$B$12,Paramètres!$A$1:$I$89,3,0)*VLOOKUP('Données projet'!$B$12,Paramètres!$A$1:$I$89,5,0)</f>
        <v>247.91520000000003</v>
      </c>
      <c r="CA97" s="14">
        <f t="shared" si="93"/>
        <v>60.139294964297406</v>
      </c>
      <c r="CB97" s="22">
        <f t="shared" si="64"/>
        <v>536.52824539615131</v>
      </c>
      <c r="CC97" s="60">
        <f t="shared" si="65"/>
        <v>802.9684949802205</v>
      </c>
      <c r="CD97" s="60">
        <f ca="1">AVERAGE(OFFSET($CC$3,0,0,'Données projet'!$E$12+1,1))-AVERAGE(OFFSET($H$3,0,0,'Données projet'!$E$12+1,1))</f>
        <v>434.56763649859136</v>
      </c>
      <c r="CE97" s="60">
        <f t="shared" si="94"/>
        <v>271.90302066766264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</v>
      </c>
      <c r="CT97" s="13">
        <f>IF('Données projet'!$A$140&gt;35,CT96+CS97-DB96,IF(A97&lt;'Données projet'!$A$140,$CQ$205^A97,IF(A97='Données projet'!$A$140,'Données projet'!$B$140,CT96+CS97-DB96)))</f>
        <v>274.00000000000006</v>
      </c>
      <c r="CU97" s="18">
        <f>CT97*VLOOKUP('Données projet'!$B$13,Paramètres!$A$1:$I$89,3,0)*VLOOKUP('Données projet'!$B$13,Paramètres!$A$1:$I$89,5,0)</f>
        <v>230.81760000000006</v>
      </c>
      <c r="CV97" s="14">
        <f t="shared" si="95"/>
        <v>56.459429240325889</v>
      </c>
      <c r="CW97" s="22">
        <f t="shared" si="67"/>
        <v>500.34082592690089</v>
      </c>
      <c r="CX97" s="60">
        <f t="shared" si="68"/>
        <v>766.78107551097014</v>
      </c>
      <c r="CY97" s="60">
        <f ca="1">AVERAGE(OFFSET($CX$3,0,0,'Données projet'!$E$13+1,1))-AVERAGE(OFFSET($H$3,0,0,'Données projet'!$E$13+1,1))</f>
        <v>411.64829629901465</v>
      </c>
      <c r="CZ97" s="60">
        <f t="shared" si="96"/>
        <v>258.66864562757917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</v>
      </c>
      <c r="DO97" s="13">
        <f>IF('Données projet'!$A$166&gt;35,DO96+DN97-DW96,IF(A97&lt;'Données projet'!$A$166,$DL$205^A97,IF(A97='Données projet'!$A$166,'Données projet'!$B$166,DO96+DN97-DW96)))</f>
        <v>274.00000000000006</v>
      </c>
      <c r="DP97" s="18">
        <f>DO97*VLOOKUP('Données projet'!$B$14,Paramètres!$A$1:$I$89,3,0)*VLOOKUP('Données projet'!$B$14,Paramètres!$A$1:$I$89,5,0)</f>
        <v>277.83600000000007</v>
      </c>
      <c r="DQ97" s="14">
        <f t="shared" si="97"/>
        <v>66.509487177652318</v>
      </c>
      <c r="DR97" s="22">
        <f t="shared" si="70"/>
        <v>599.73505683441124</v>
      </c>
      <c r="DS97" s="60">
        <f t="shared" si="71"/>
        <v>866.17530641848043</v>
      </c>
      <c r="DT97" s="60">
        <f ca="1">AVERAGE(OFFSET($DS$3,0,0,'Données projet'!$E$14+1,1))-AVERAGE(OFFSET($H$3,0,0,'Données projet'!$E$14+1,1))</f>
        <v>474.59791006623266</v>
      </c>
      <c r="DU97" s="60">
        <f t="shared" si="98"/>
        <v>295.01432800690293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-4.9658410716801891E-14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334.73467807584336</v>
      </c>
      <c r="EP97" s="60">
        <f t="shared" si="100"/>
        <v>463.8772059551726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2.3850830692908906</v>
      </c>
      <c r="EW97" s="23">
        <f>EXP(-LN(2)/25)*EW96+(1-EXP(-LN(2)/25))/(LN(2)/25)*Calculateur!ER97*Calculateur!ET97*VLOOKUP('Données projet'!$B$15,Paramètres!$A$1:$I$89,3,0)*0.475*44/12</f>
        <v>3.2325658855928276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5.6176489548837178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135.66666666666666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0">
        <f t="shared" si="55"/>
        <v>266.90678446319288</v>
      </c>
      <c r="S98" s="60">
        <f ca="1">AVERAGE(OFFSET($R$3,0,0,'Données projet'!$E$9+1,1))-AVERAGE(OFFSET($H$3,0,0,'Données projet'!$E$9+1,1))</f>
        <v>199.65420589615553</v>
      </c>
      <c r="T98" s="60">
        <f t="shared" si="88"/>
        <v>477.85821088970999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0">
        <f t="shared" si="59"/>
        <v>266.90678446319288</v>
      </c>
      <c r="AN98" s="60">
        <f ca="1">AVERAGE(OFFSET($AM$3,0,0,'Données projet'!$E$10+1,1))-AVERAGE(OFFSET($H$3,0,0,'Données projet'!$E$10+1,1))</f>
        <v>199.65420589615553</v>
      </c>
      <c r="AO98" s="60">
        <f t="shared" si="90"/>
        <v>477.85821088970999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538</v>
      </c>
      <c r="BB98" s="13">
        <f>VLOOKUP(A98,'Données projet'!$A$87:$I$107,9,0)</f>
        <v>13</v>
      </c>
      <c r="BC98" s="13">
        <f t="array" ref="BC98">INDEX(BB:BB,MIN(IF(ISNUMBER(BB98:BB294),ROW(BB98:BB294),"")))</f>
        <v>13</v>
      </c>
      <c r="BD98" s="13">
        <f>IF('Données projet'!$A$88&gt;35,BD97+BC98-BL97,IF(A98&lt;'Données projet'!$A$88,$BA$205^A98,IF(A98='Données projet'!$A$88,'Données projet'!$B$88,BD97+BC98-BL97)))</f>
        <v>538.00000000000045</v>
      </c>
      <c r="BE98" s="14">
        <f>BD98*VLOOKUP('Données projet'!$B$11,Paramètres!$A$1:$I$89,3,0)*VLOOKUP('Données projet'!$B$11,Paramètres!$A$1:$I$89,5,0)</f>
        <v>251.78400000000019</v>
      </c>
      <c r="BF98" s="14">
        <f t="shared" si="91"/>
        <v>60.967799364357568</v>
      </c>
      <c r="BG98" s="22">
        <f t="shared" si="61"/>
        <v>544.70938389292303</v>
      </c>
      <c r="BH98" s="60">
        <f t="shared" si="62"/>
        <v>811.61616835611392</v>
      </c>
      <c r="BI98" s="60">
        <f ca="1">AVERAGE(OFFSET($BH$3,0,0,'Données projet'!$E$11+1,1))-AVERAGE(OFFSET($H$3,0,0,'Données projet'!$E$11+1,1))</f>
        <v>374.62597460242665</v>
      </c>
      <c r="BJ98" s="60">
        <f t="shared" si="92"/>
        <v>277.50105097454616</v>
      </c>
      <c r="BK98" s="16">
        <f>IF(ISNA(VLOOKUP(A98,'Données projet'!$A$87:$I$107,3,0)),0,VLOOKUP(A98,'Données projet'!$A$87:$I$107,3,0))</f>
        <v>18</v>
      </c>
      <c r="BL98" s="16">
        <f>IF(ISNA(VLOOKUP(A98,'Données projet'!$A$87:$I$107,4,0)),0,VLOOKUP(A98,'Données projet'!$A$87:$I$107,4,0))</f>
        <v>269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279.00000000000006</v>
      </c>
      <c r="BZ98" s="14">
        <f>BY98*VLOOKUP('Données projet'!$B$12,Paramètres!$A$1:$I$89,3,0)*VLOOKUP('Données projet'!$B$12,Paramètres!$A$1:$I$89,5,0)</f>
        <v>252.43920000000006</v>
      </c>
      <c r="CA98" s="14">
        <f t="shared" si="93"/>
        <v>61.107963296116274</v>
      </c>
      <c r="CB98" s="22">
        <f t="shared" si="64"/>
        <v>546.09464274073594</v>
      </c>
      <c r="CC98" s="60">
        <f t="shared" si="65"/>
        <v>813.00142720392682</v>
      </c>
      <c r="CD98" s="60">
        <f ca="1">AVERAGE(OFFSET($CC$3,0,0,'Données projet'!$E$12+1,1))-AVERAGE(OFFSET($H$3,0,0,'Données projet'!$E$12+1,1))</f>
        <v>434.56763649859136</v>
      </c>
      <c r="CE98" s="60">
        <f t="shared" si="94"/>
        <v>271.90302066766264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279</v>
      </c>
      <c r="CR98" s="13">
        <f>VLOOKUP(A98,'Données projet'!$A$139:$I$159,9,0)</f>
        <v>5</v>
      </c>
      <c r="CS98" s="13">
        <f t="array" ref="CS98">INDEX(CR:CR,MIN(IF(ISNUMBER(CR98:CR294),ROW(CR98:CR294),"")))</f>
        <v>5</v>
      </c>
      <c r="CT98" s="13">
        <f>IF('Données projet'!$A$140&gt;35,CT97+CS98-DB97,IF(A98&lt;'Données projet'!$A$140,$CQ$205^A98,IF(A98='Données projet'!$A$140,'Données projet'!$B$140,CT97+CS98-DB97)))</f>
        <v>279.00000000000006</v>
      </c>
      <c r="CU98" s="18">
        <f>CT98*VLOOKUP('Données projet'!$B$13,Paramètres!$A$1:$I$89,3,0)*VLOOKUP('Données projet'!$B$13,Paramètres!$A$1:$I$89,5,0)</f>
        <v>235.0296000000001</v>
      </c>
      <c r="CV98" s="14">
        <f t="shared" si="95"/>
        <v>57.368825686861214</v>
      </c>
      <c r="CW98" s="22">
        <f t="shared" si="67"/>
        <v>509.26059140461666</v>
      </c>
      <c r="CX98" s="60">
        <f t="shared" si="68"/>
        <v>776.16737586780755</v>
      </c>
      <c r="CY98" s="60">
        <f ca="1">AVERAGE(OFFSET($CX$3,0,0,'Données projet'!$E$13+1,1))-AVERAGE(OFFSET($H$3,0,0,'Données projet'!$E$13+1,1))</f>
        <v>411.64829629901465</v>
      </c>
      <c r="CZ98" s="60">
        <f t="shared" si="96"/>
        <v>258.66864562757917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21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279</v>
      </c>
      <c r="DM98" s="13">
        <f>VLOOKUP(A98,'Données projet'!$A$165:$I$185,9,0)</f>
        <v>5</v>
      </c>
      <c r="DN98" s="13">
        <f t="array" ref="DN98">INDEX(DM:DM,MIN(IF(ISNUMBER(DM98:DM294),ROW(DM98:DM294),"")))</f>
        <v>5</v>
      </c>
      <c r="DO98" s="13">
        <f>IF('Données projet'!$A$166&gt;35,DO97+DN98-DW97,IF(A98&lt;'Données projet'!$A$166,$DL$205^A98,IF(A98='Données projet'!$A$166,'Données projet'!$B$166,DO97+DN98-DW97)))</f>
        <v>279.00000000000006</v>
      </c>
      <c r="DP98" s="18">
        <f>DO98*VLOOKUP('Données projet'!$B$14,Paramètres!$A$1:$I$89,3,0)*VLOOKUP('Données projet'!$B$14,Paramètres!$A$1:$I$89,5,0)</f>
        <v>282.90600000000006</v>
      </c>
      <c r="DQ98" s="14">
        <f t="shared" si="97"/>
        <v>67.580760694123512</v>
      </c>
      <c r="DR98" s="22">
        <f t="shared" si="70"/>
        <v>610.43110820893185</v>
      </c>
      <c r="DS98" s="60">
        <f t="shared" si="71"/>
        <v>877.33789267212273</v>
      </c>
      <c r="DT98" s="60">
        <f ca="1">AVERAGE(OFFSET($DS$3,0,0,'Données projet'!$E$14+1,1))-AVERAGE(OFFSET($H$3,0,0,'Données projet'!$E$14+1,1))</f>
        <v>474.59791006623266</v>
      </c>
      <c r="DU98" s="60">
        <f t="shared" si="98"/>
        <v>295.01432800690293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21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-4.9658410716801891E-14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334.73467807584336</v>
      </c>
      <c r="EP98" s="60">
        <f t="shared" si="100"/>
        <v>463.8772059551726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2.3383130450591234</v>
      </c>
      <c r="EW98" s="23">
        <f>EXP(-LN(2)/25)*EW97+(1-EXP(-LN(2)/25))/(LN(2)/25)*Calculateur!ER98*Calculateur!ET98*VLOOKUP('Données projet'!$B$15,Paramètres!$A$1:$I$89,3,0)*0.475*44/12</f>
        <v>3.1441712014580401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5.4824842465171635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135.66666666666666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0">
        <f t="shared" si="55"/>
        <v>267.36522600517753</v>
      </c>
      <c r="S99" s="60">
        <f ca="1">AVERAGE(OFFSET($R$3,0,0,'Données projet'!$E$9+1,1))-AVERAGE(OFFSET($H$3,0,0,'Données projet'!$E$9+1,1))</f>
        <v>199.65420589615553</v>
      </c>
      <c r="T99" s="60">
        <f t="shared" si="88"/>
        <v>477.85821088970999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0">
        <f t="shared" si="59"/>
        <v>267.36522600517753</v>
      </c>
      <c r="AN99" s="60">
        <f ca="1">AVERAGE(OFFSET($AM$3,0,0,'Données projet'!$E$10+1,1))-AVERAGE(OFFSET($H$3,0,0,'Données projet'!$E$10+1,1))</f>
        <v>199.65420589615553</v>
      </c>
      <c r="AO99" s="60">
        <f t="shared" si="90"/>
        <v>477.85821088970999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>
        <f>VLOOKUP(A99,'Données projet'!$A$87:$I$107,2,0)</f>
        <v>280</v>
      </c>
      <c r="BB99" s="13">
        <f>VLOOKUP(A99,'Données projet'!$A$87:$I$107,9,0)</f>
        <v>11</v>
      </c>
      <c r="BC99" s="13">
        <f t="array" ref="BC99">INDEX(BB:BB,MIN(IF(ISNUMBER(BB99:BB295),ROW(BB99:BB295),"")))</f>
        <v>11</v>
      </c>
      <c r="BD99" s="13">
        <f>IF('Données projet'!$A$88&gt;35,BD98+BC99-BL98,IF(A99&lt;'Données projet'!$A$88,$BA$205^A99,IF(A99='Données projet'!$A$88,'Données projet'!$B$88,BD98+BC99-BL98)))</f>
        <v>280.00000000000045</v>
      </c>
      <c r="BE99" s="14">
        <f>BD99*VLOOKUP('Données projet'!$B$11,Paramètres!$A$1:$I$89,3,0)*VLOOKUP('Données projet'!$B$11,Paramètres!$A$1:$I$89,5,0)</f>
        <v>131.04000000000019</v>
      </c>
      <c r="BF99" s="14">
        <f t="shared" si="91"/>
        <v>34.236561238949953</v>
      </c>
      <c r="BG99" s="22">
        <f t="shared" si="61"/>
        <v>287.85667749117147</v>
      </c>
      <c r="BH99" s="60">
        <f t="shared" si="62"/>
        <v>555.22190349634707</v>
      </c>
      <c r="BI99" s="60">
        <f ca="1">AVERAGE(OFFSET($BH$3,0,0,'Données projet'!$E$11+1,1))-AVERAGE(OFFSET($H$3,0,0,'Données projet'!$E$11+1,1))</f>
        <v>374.62597460242665</v>
      </c>
      <c r="BJ99" s="60">
        <f t="shared" si="92"/>
        <v>277.50105097454616</v>
      </c>
      <c r="BK99" s="16">
        <f>IF(ISNA(VLOOKUP(A99,'Données projet'!$A$87:$I$107,3,0)),0,VLOOKUP(A99,'Données projet'!$A$87:$I$107,3,0))</f>
        <v>19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262.80000000000007</v>
      </c>
      <c r="BZ99" s="14">
        <f>BY99*VLOOKUP('Données projet'!$B$12,Paramètres!$A$1:$I$89,3,0)*VLOOKUP('Données projet'!$B$12,Paramètres!$A$1:$I$89,5,0)</f>
        <v>237.78144000000006</v>
      </c>
      <c r="CA99" s="14">
        <f t="shared" si="93"/>
        <v>57.96193879691095</v>
      </c>
      <c r="CB99" s="22">
        <f t="shared" si="64"/>
        <v>515.08638473795338</v>
      </c>
      <c r="CC99" s="60">
        <f t="shared" si="65"/>
        <v>782.45161074312887</v>
      </c>
      <c r="CD99" s="60">
        <f ca="1">AVERAGE(OFFSET($CC$3,0,0,'Données projet'!$E$12+1,1))-AVERAGE(OFFSET($H$3,0,0,'Données projet'!$E$12+1,1))</f>
        <v>434.56763649859136</v>
      </c>
      <c r="CE99" s="60">
        <f t="shared" si="94"/>
        <v>271.90302066766264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4.8</v>
      </c>
      <c r="CT99" s="13">
        <f>IF('Données projet'!$A$140&gt;35,CT98+CS99-DB98,IF(A99&lt;'Données projet'!$A$140,$CQ$205^A99,IF(A99='Données projet'!$A$140,'Données projet'!$B$140,CT98+CS99-DB98)))</f>
        <v>262.80000000000007</v>
      </c>
      <c r="CU99" s="18">
        <f>CT99*VLOOKUP('Données projet'!$B$13,Paramètres!$A$1:$I$89,3,0)*VLOOKUP('Données projet'!$B$13,Paramètres!$A$1:$I$89,5,0)</f>
        <v>221.38272000000006</v>
      </c>
      <c r="CV99" s="14">
        <f t="shared" si="95"/>
        <v>54.415303406517502</v>
      </c>
      <c r="CW99" s="22">
        <f t="shared" si="67"/>
        <v>480.34822409968478</v>
      </c>
      <c r="CX99" s="60">
        <f t="shared" si="68"/>
        <v>747.71345010486039</v>
      </c>
      <c r="CY99" s="60">
        <f ca="1">AVERAGE(OFFSET($CX$3,0,0,'Données projet'!$E$13+1,1))-AVERAGE(OFFSET($H$3,0,0,'Données projet'!$E$13+1,1))</f>
        <v>411.64829629901465</v>
      </c>
      <c r="CZ99" s="60">
        <f t="shared" si="96"/>
        <v>258.66864562757917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4.8</v>
      </c>
      <c r="DO99" s="13">
        <f>IF('Données projet'!$A$166&gt;35,DO98+DN99-DW98,IF(A99&lt;'Données projet'!$A$166,$DL$205^A99,IF(A99='Données projet'!$A$166,'Données projet'!$B$166,DO98+DN99-DW98)))</f>
        <v>262.80000000000007</v>
      </c>
      <c r="DP99" s="18">
        <f>DO99*VLOOKUP('Données projet'!$B$14,Paramètres!$A$1:$I$89,3,0)*VLOOKUP('Données projet'!$B$14,Paramètres!$A$1:$I$89,5,0)</f>
        <v>266.47920000000011</v>
      </c>
      <c r="DQ99" s="14">
        <f t="shared" si="97"/>
        <v>64.101496824889679</v>
      </c>
      <c r="DR99" s="22">
        <f t="shared" si="70"/>
        <v>575.76138030334971</v>
      </c>
      <c r="DS99" s="60">
        <f t="shared" si="71"/>
        <v>843.1266063085252</v>
      </c>
      <c r="DT99" s="60">
        <f ca="1">AVERAGE(OFFSET($DS$3,0,0,'Données projet'!$E$14+1,1))-AVERAGE(OFFSET($H$3,0,0,'Données projet'!$E$14+1,1))</f>
        <v>474.59791006623266</v>
      </c>
      <c r="DU99" s="60">
        <f t="shared" si="98"/>
        <v>295.01432800690293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-4.9658410716801891E-14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334.73467807584336</v>
      </c>
      <c r="EP99" s="60">
        <f t="shared" si="100"/>
        <v>463.8772059551726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2.2924601524756429</v>
      </c>
      <c r="EW99" s="23">
        <f>EXP(-LN(2)/25)*EW98+(1-EXP(-LN(2)/25))/(LN(2)/25)*Calculateur!ER99*Calculateur!ET99*VLOOKUP('Données projet'!$B$15,Paramètres!$A$1:$I$89,3,0)*0.475*44/12</f>
        <v>3.0581936746093925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5.3506538270850355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135.66666666666666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0">
        <f t="shared" si="55"/>
        <v>267.81571461133052</v>
      </c>
      <c r="S100" s="60">
        <f ca="1">AVERAGE(OFFSET($R$3,0,0,'Données projet'!$E$9+1,1))-AVERAGE(OFFSET($H$3,0,0,'Données projet'!$E$9+1,1))</f>
        <v>199.65420589615553</v>
      </c>
      <c r="T100" s="60">
        <f t="shared" si="88"/>
        <v>477.85821088970999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0">
        <f t="shared" si="59"/>
        <v>267.81571461133052</v>
      </c>
      <c r="AN100" s="60">
        <f ca="1">AVERAGE(OFFSET($AM$3,0,0,'Données projet'!$E$10+1,1))-AVERAGE(OFFSET($H$3,0,0,'Données projet'!$E$10+1,1))</f>
        <v>199.65420589615553</v>
      </c>
      <c r="AO100" s="60">
        <f t="shared" si="90"/>
        <v>477.85821088970999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8.5555555555555554</v>
      </c>
      <c r="BD100" s="13">
        <f>IF('Données projet'!$A$88&gt;35,BD99+BC100-BL99,IF(A100&lt;'Données projet'!$A$88,$BA$205^A100,IF(A100='Données projet'!$A$88,'Données projet'!$B$88,BD99+BC100-BL99)))</f>
        <v>288.555555555556</v>
      </c>
      <c r="BE100" s="14">
        <f>BD100*VLOOKUP('Données projet'!$B$11,Paramètres!$A$1:$I$89,3,0)*VLOOKUP('Données projet'!$B$11,Paramètres!$A$1:$I$89,5,0)</f>
        <v>135.04400000000021</v>
      </c>
      <c r="BF100" s="14">
        <f t="shared" si="91"/>
        <v>35.159284945629004</v>
      </c>
      <c r="BG100" s="22">
        <f t="shared" si="61"/>
        <v>296.43738794697089</v>
      </c>
      <c r="BH100" s="60">
        <f t="shared" si="62"/>
        <v>564.25310255829936</v>
      </c>
      <c r="BI100" s="60">
        <f ca="1">AVERAGE(OFFSET($BH$3,0,0,'Données projet'!$E$11+1,1))-AVERAGE(OFFSET($H$3,0,0,'Données projet'!$E$11+1,1))</f>
        <v>374.62597460242665</v>
      </c>
      <c r="BJ100" s="60">
        <f t="shared" si="92"/>
        <v>277.50105097454616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267.60000000000008</v>
      </c>
      <c r="BZ100" s="14">
        <f>BY100*VLOOKUP('Données projet'!$B$12,Paramètres!$A$1:$I$89,3,0)*VLOOKUP('Données projet'!$B$12,Paramètres!$A$1:$I$89,5,0)</f>
        <v>242.12448000000006</v>
      </c>
      <c r="CA100" s="14">
        <f t="shared" si="93"/>
        <v>58.896387987806008</v>
      </c>
      <c r="CB100" s="22">
        <f t="shared" si="64"/>
        <v>524.2780117454289</v>
      </c>
      <c r="CC100" s="60">
        <f t="shared" si="65"/>
        <v>792.09372635675743</v>
      </c>
      <c r="CD100" s="60">
        <f ca="1">AVERAGE(OFFSET($CC$3,0,0,'Données projet'!$E$12+1,1))-AVERAGE(OFFSET($H$3,0,0,'Données projet'!$E$12+1,1))</f>
        <v>434.56763649859136</v>
      </c>
      <c r="CE100" s="60">
        <f t="shared" si="94"/>
        <v>271.90302066766264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4.8</v>
      </c>
      <c r="CT100" s="13">
        <f>IF('Données projet'!$A$140&gt;35,CT99+CS100-DB99,IF(A100&lt;'Données projet'!$A$140,$CQ$205^A100,IF(A100='Données projet'!$A$140,'Données projet'!$B$140,CT99+CS100-DB99)))</f>
        <v>267.60000000000008</v>
      </c>
      <c r="CU100" s="18">
        <f>CT100*VLOOKUP('Données projet'!$B$13,Paramètres!$A$1:$I$89,3,0)*VLOOKUP('Données projet'!$B$13,Paramètres!$A$1:$I$89,5,0)</f>
        <v>225.42624000000009</v>
      </c>
      <c r="CV100" s="14">
        <f t="shared" si="95"/>
        <v>55.292574548511105</v>
      </c>
      <c r="CW100" s="22">
        <f t="shared" si="67"/>
        <v>488.91860200532369</v>
      </c>
      <c r="CX100" s="60">
        <f t="shared" si="68"/>
        <v>756.73431661665222</v>
      </c>
      <c r="CY100" s="60">
        <f ca="1">AVERAGE(OFFSET($CX$3,0,0,'Données projet'!$E$13+1,1))-AVERAGE(OFFSET($H$3,0,0,'Données projet'!$E$13+1,1))</f>
        <v>411.64829629901465</v>
      </c>
      <c r="CZ100" s="60">
        <f t="shared" si="96"/>
        <v>258.66864562757917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4.8</v>
      </c>
      <c r="DO100" s="13">
        <f>IF('Données projet'!$A$166&gt;35,DO99+DN100-DW99,IF(A100&lt;'Données projet'!$A$166,$DL$205^A100,IF(A100='Données projet'!$A$166,'Données projet'!$B$166,DO99+DN100-DW99)))</f>
        <v>267.60000000000008</v>
      </c>
      <c r="DP100" s="18">
        <f>DO100*VLOOKUP('Données projet'!$B$14,Paramètres!$A$1:$I$89,3,0)*VLOOKUP('Données projet'!$B$14,Paramètres!$A$1:$I$89,5,0)</f>
        <v>271.34640000000007</v>
      </c>
      <c r="DQ100" s="14">
        <f t="shared" si="97"/>
        <v>65.134926573557365</v>
      </c>
      <c r="DR100" s="22">
        <f t="shared" si="70"/>
        <v>586.03831044894594</v>
      </c>
      <c r="DS100" s="60">
        <f t="shared" si="71"/>
        <v>853.85402506027447</v>
      </c>
      <c r="DT100" s="60">
        <f ca="1">AVERAGE(OFFSET($DS$3,0,0,'Données projet'!$E$14+1,1))-AVERAGE(OFFSET($H$3,0,0,'Données projet'!$E$14+1,1))</f>
        <v>474.59791006623266</v>
      </c>
      <c r="DU100" s="60">
        <f t="shared" si="98"/>
        <v>295.01432800690293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-4.9658410716801891E-14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334.73467807584336</v>
      </c>
      <c r="EP100" s="60">
        <f t="shared" si="100"/>
        <v>463.8772059551726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2.2475064071482218</v>
      </c>
      <c r="EW100" s="23">
        <f>EXP(-LN(2)/25)*EW99+(1-EXP(-LN(2)/25))/(LN(2)/25)*Calculateur!ER100*Calculateur!ET100*VLOOKUP('Données projet'!$B$15,Paramètres!$A$1:$I$89,3,0)*0.475*44/12</f>
        <v>2.974567207753783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5.2220736149020048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135.66666666666666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0">
        <f t="shared" si="55"/>
        <v>268.25838824730835</v>
      </c>
      <c r="S101" s="60">
        <f ca="1">AVERAGE(OFFSET($R$3,0,0,'Données projet'!$E$9+1,1))-AVERAGE(OFFSET($H$3,0,0,'Données projet'!$E$9+1,1))</f>
        <v>199.65420589615553</v>
      </c>
      <c r="T101" s="60">
        <f t="shared" si="88"/>
        <v>477.85821088970999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0">
        <f t="shared" si="59"/>
        <v>268.25838824730835</v>
      </c>
      <c r="AN101" s="60">
        <f ca="1">AVERAGE(OFFSET($AM$3,0,0,'Données projet'!$E$10+1,1))-AVERAGE(OFFSET($H$3,0,0,'Données projet'!$E$10+1,1))</f>
        <v>199.65420589615553</v>
      </c>
      <c r="AO101" s="60">
        <f t="shared" si="90"/>
        <v>477.85821088970999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8.5555555555555554</v>
      </c>
      <c r="BD101" s="13">
        <f>IF('Données projet'!$A$88&gt;35,BD100+BC101-BL100,IF(A101&lt;'Données projet'!$A$88,$BA$205^A101,IF(A101='Données projet'!$A$88,'Données projet'!$B$88,BD100+BC101-BL100)))</f>
        <v>297.11111111111154</v>
      </c>
      <c r="BE101" s="14">
        <f>BD101*VLOOKUP('Données projet'!$B$11,Paramètres!$A$1:$I$89,3,0)*VLOOKUP('Données projet'!$B$11,Paramètres!$A$1:$I$89,5,0)</f>
        <v>139.0480000000002</v>
      </c>
      <c r="BF101" s="14">
        <f t="shared" si="91"/>
        <v>36.078829132999324</v>
      </c>
      <c r="BG101" s="22">
        <f t="shared" si="61"/>
        <v>305.01256073997416</v>
      </c>
      <c r="BH101" s="60">
        <f t="shared" si="62"/>
        <v>573.27094898728046</v>
      </c>
      <c r="BI101" s="60">
        <f ca="1">AVERAGE(OFFSET($BH$3,0,0,'Données projet'!$E$11+1,1))-AVERAGE(OFFSET($H$3,0,0,'Données projet'!$E$11+1,1))</f>
        <v>374.62597460242665</v>
      </c>
      <c r="BJ101" s="60">
        <f t="shared" si="92"/>
        <v>277.50105097454616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272.40000000000009</v>
      </c>
      <c r="BZ101" s="14">
        <f>BY101*VLOOKUP('Données projet'!$B$12,Paramètres!$A$1:$I$89,3,0)*VLOOKUP('Données projet'!$B$12,Paramètres!$A$1:$I$89,5,0)</f>
        <v>246.46752000000009</v>
      </c>
      <c r="CA101" s="14">
        <f t="shared" si="93"/>
        <v>59.828888074217033</v>
      </c>
      <c r="CB101" s="22">
        <f t="shared" si="64"/>
        <v>533.4662440625948</v>
      </c>
      <c r="CC101" s="60">
        <f t="shared" si="65"/>
        <v>801.72463230990115</v>
      </c>
      <c r="CD101" s="60">
        <f ca="1">AVERAGE(OFFSET($CC$3,0,0,'Données projet'!$E$12+1,1))-AVERAGE(OFFSET($H$3,0,0,'Données projet'!$E$12+1,1))</f>
        <v>434.56763649859136</v>
      </c>
      <c r="CE101" s="60">
        <f t="shared" si="94"/>
        <v>271.90302066766264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4.8</v>
      </c>
      <c r="CT101" s="13">
        <f>IF('Données projet'!$A$140&gt;35,CT100+CS101-DB100,IF(A101&lt;'Données projet'!$A$140,$CQ$205^A101,IF(A101='Données projet'!$A$140,'Données projet'!$B$140,CT100+CS101-DB100)))</f>
        <v>272.40000000000009</v>
      </c>
      <c r="CU101" s="18">
        <f>CT101*VLOOKUP('Données projet'!$B$13,Paramètres!$A$1:$I$89,3,0)*VLOOKUP('Données projet'!$B$13,Paramètres!$A$1:$I$89,5,0)</f>
        <v>229.46976000000009</v>
      </c>
      <c r="CV101" s="14">
        <f t="shared" si="95"/>
        <v>56.168015849852871</v>
      </c>
      <c r="CW101" s="22">
        <f t="shared" si="67"/>
        <v>497.48579293849389</v>
      </c>
      <c r="CX101" s="60">
        <f t="shared" si="68"/>
        <v>765.74418118580024</v>
      </c>
      <c r="CY101" s="60">
        <f ca="1">AVERAGE(OFFSET($CX$3,0,0,'Données projet'!$E$13+1,1))-AVERAGE(OFFSET($H$3,0,0,'Données projet'!$E$13+1,1))</f>
        <v>411.64829629901465</v>
      </c>
      <c r="CZ101" s="60">
        <f t="shared" si="96"/>
        <v>258.66864562757917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4.8</v>
      </c>
      <c r="DO101" s="13">
        <f>IF('Données projet'!$A$166&gt;35,DO100+DN101-DW100,IF(A101&lt;'Données projet'!$A$166,$DL$205^A101,IF(A101='Données projet'!$A$166,'Données projet'!$B$166,DO100+DN101-DW100)))</f>
        <v>272.40000000000009</v>
      </c>
      <c r="DP101" s="18">
        <f>DO101*VLOOKUP('Données projet'!$B$14,Paramètres!$A$1:$I$89,3,0)*VLOOKUP('Données projet'!$B$14,Paramètres!$A$1:$I$89,5,0)</f>
        <v>276.2136000000001</v>
      </c>
      <c r="DQ101" s="14">
        <f t="shared" si="97"/>
        <v>66.166200760877473</v>
      </c>
      <c r="DR101" s="22">
        <f t="shared" si="70"/>
        <v>596.31148632519512</v>
      </c>
      <c r="DS101" s="60">
        <f t="shared" si="71"/>
        <v>864.56987457250148</v>
      </c>
      <c r="DT101" s="60">
        <f ca="1">AVERAGE(OFFSET($DS$3,0,0,'Données projet'!$E$14+1,1))-AVERAGE(OFFSET($H$3,0,0,'Données projet'!$E$14+1,1))</f>
        <v>474.59791006623266</v>
      </c>
      <c r="DU101" s="60">
        <f t="shared" si="98"/>
        <v>295.01432800690293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-4.9658410716801891E-14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334.73467807584336</v>
      </c>
      <c r="EP101" s="60">
        <f t="shared" si="100"/>
        <v>463.8772059551726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2.2034341773475941</v>
      </c>
      <c r="EW101" s="23">
        <f>EXP(-LN(2)/25)*EW100+(1-EXP(-LN(2)/25))/(LN(2)/25)*Calculateur!ER101*Calculateur!ET101*VLOOKUP('Données projet'!$B$15,Paramètres!$A$1:$I$89,3,0)*0.475*44/12</f>
        <v>2.8932275110320647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5.0966616883796583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135.66666666666666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0">
        <f t="shared" si="55"/>
        <v>268.69338248537196</v>
      </c>
      <c r="S102" s="60">
        <f ca="1">AVERAGE(OFFSET($R$3,0,0,'Données projet'!$E$9+1,1))-AVERAGE(OFFSET($H$3,0,0,'Données projet'!$E$9+1,1))</f>
        <v>199.65420589615553</v>
      </c>
      <c r="T102" s="60">
        <f t="shared" si="88"/>
        <v>477.85821088970999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0">
        <f t="shared" si="59"/>
        <v>268.69338248537196</v>
      </c>
      <c r="AN102" s="60">
        <f ca="1">AVERAGE(OFFSET($AM$3,0,0,'Données projet'!$E$10+1,1))-AVERAGE(OFFSET($H$3,0,0,'Données projet'!$E$10+1,1))</f>
        <v>199.65420589615553</v>
      </c>
      <c r="AO102" s="60">
        <f t="shared" si="90"/>
        <v>477.85821088970999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8.5555555555555554</v>
      </c>
      <c r="BD102" s="13">
        <f>IF('Données projet'!$A$88&gt;35,BD101+BC102-BL101,IF(A102&lt;'Données projet'!$A$88,$BA$205^A102,IF(A102='Données projet'!$A$88,'Données projet'!$B$88,BD101+BC102-BL101)))</f>
        <v>305.66666666666708</v>
      </c>
      <c r="BE102" s="14">
        <f>BD102*VLOOKUP('Données projet'!$B$11,Paramètres!$A$1:$I$89,3,0)*VLOOKUP('Données projet'!$B$11,Paramètres!$A$1:$I$89,5,0)</f>
        <v>143.05200000000019</v>
      </c>
      <c r="BF102" s="14">
        <f t="shared" si="91"/>
        <v>36.995295872593921</v>
      </c>
      <c r="BG102" s="22">
        <f t="shared" si="61"/>
        <v>313.58237364476804</v>
      </c>
      <c r="BH102" s="60">
        <f t="shared" si="62"/>
        <v>582.27575613013801</v>
      </c>
      <c r="BI102" s="60">
        <f ca="1">AVERAGE(OFFSET($BH$3,0,0,'Données projet'!$E$11+1,1))-AVERAGE(OFFSET($H$3,0,0,'Données projet'!$E$11+1,1))</f>
        <v>374.62597460242665</v>
      </c>
      <c r="BJ102" s="60">
        <f t="shared" si="92"/>
        <v>277.50105097454616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277.2000000000001</v>
      </c>
      <c r="BZ102" s="14">
        <f>BY102*VLOOKUP('Données projet'!$B$12,Paramètres!$A$1:$I$89,3,0)*VLOOKUP('Données projet'!$B$12,Paramètres!$A$1:$I$89,5,0)</f>
        <v>250.81056000000007</v>
      </c>
      <c r="CA102" s="14">
        <f t="shared" si="93"/>
        <v>60.75947736410874</v>
      </c>
      <c r="CB102" s="22">
        <f t="shared" si="64"/>
        <v>542.65114840915612</v>
      </c>
      <c r="CC102" s="60">
        <f t="shared" si="65"/>
        <v>811.34453089452609</v>
      </c>
      <c r="CD102" s="60">
        <f ca="1">AVERAGE(OFFSET($CC$3,0,0,'Données projet'!$E$12+1,1))-AVERAGE(OFFSET($H$3,0,0,'Données projet'!$E$12+1,1))</f>
        <v>434.56763649859136</v>
      </c>
      <c r="CE102" s="60">
        <f t="shared" si="94"/>
        <v>271.90302066766264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4.8</v>
      </c>
      <c r="CT102" s="13">
        <f>IF('Données projet'!$A$140&gt;35,CT101+CS102-DB101,IF(A102&lt;'Données projet'!$A$140,$CQ$205^A102,IF(A102='Données projet'!$A$140,'Données projet'!$B$140,CT101+CS102-DB101)))</f>
        <v>277.2000000000001</v>
      </c>
      <c r="CU102" s="18">
        <f>CT102*VLOOKUP('Données projet'!$B$13,Paramètres!$A$1:$I$89,3,0)*VLOOKUP('Données projet'!$B$13,Paramètres!$A$1:$I$89,5,0)</f>
        <v>233.51328000000012</v>
      </c>
      <c r="CV102" s="14">
        <f t="shared" si="95"/>
        <v>57.041663274479895</v>
      </c>
      <c r="CW102" s="22">
        <f t="shared" si="67"/>
        <v>506.04985953638601</v>
      </c>
      <c r="CX102" s="60">
        <f t="shared" si="68"/>
        <v>774.74324202175603</v>
      </c>
      <c r="CY102" s="60">
        <f ca="1">AVERAGE(OFFSET($CX$3,0,0,'Données projet'!$E$13+1,1))-AVERAGE(OFFSET($H$3,0,0,'Données projet'!$E$13+1,1))</f>
        <v>411.64829629901465</v>
      </c>
      <c r="CZ102" s="60">
        <f t="shared" si="96"/>
        <v>258.66864562757917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4.8</v>
      </c>
      <c r="DO102" s="13">
        <f>IF('Données projet'!$A$166&gt;35,DO101+DN102-DW101,IF(A102&lt;'Données projet'!$A$166,$DL$205^A102,IF(A102='Données projet'!$A$166,'Données projet'!$B$166,DO101+DN102-DW101)))</f>
        <v>277.2000000000001</v>
      </c>
      <c r="DP102" s="18">
        <f>DO102*VLOOKUP('Données projet'!$B$14,Paramètres!$A$1:$I$89,3,0)*VLOOKUP('Données projet'!$B$14,Paramètres!$A$1:$I$89,5,0)</f>
        <v>281.08080000000012</v>
      </c>
      <c r="DQ102" s="14">
        <f t="shared" si="97"/>
        <v>67.195361752546177</v>
      </c>
      <c r="DR102" s="22">
        <f t="shared" si="70"/>
        <v>606.58098171901804</v>
      </c>
      <c r="DS102" s="60">
        <f t="shared" si="71"/>
        <v>875.27436420438801</v>
      </c>
      <c r="DT102" s="60">
        <f ca="1">AVERAGE(OFFSET($DS$3,0,0,'Données projet'!$E$14+1,1))-AVERAGE(OFFSET($H$3,0,0,'Données projet'!$E$14+1,1))</f>
        <v>474.59791006623266</v>
      </c>
      <c r="DU102" s="60">
        <f t="shared" si="98"/>
        <v>295.01432800690293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-4.9658410716801891E-14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334.73467807584336</v>
      </c>
      <c r="EP102" s="60">
        <f t="shared" si="100"/>
        <v>463.8772059551726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2.1602261770919506</v>
      </c>
      <c r="EW102" s="23">
        <f>EXP(-LN(2)/25)*EW101+(1-EXP(-LN(2)/25))/(LN(2)/25)*Calculateur!ER102*Calculateur!ET102*VLOOKUP('Données projet'!$B$15,Paramètres!$A$1:$I$89,3,0)*0.475*44/12</f>
        <v>2.8141120525946706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4.9743382296866212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135.66666666666666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0">
        <f t="shared" si="55"/>
        <v>269.12083054590664</v>
      </c>
      <c r="S103" s="60">
        <f ca="1">AVERAGE(OFFSET($R$3,0,0,'Données projet'!$E$9+1,1))-AVERAGE(OFFSET($H$3,0,0,'Données projet'!$E$9+1,1))</f>
        <v>199.65420589615553</v>
      </c>
      <c r="T103" s="60">
        <f t="shared" si="88"/>
        <v>477.85821088970999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0">
        <f t="shared" si="59"/>
        <v>269.12083054590664</v>
      </c>
      <c r="AN103" s="60">
        <f ca="1">AVERAGE(OFFSET($AM$3,0,0,'Données projet'!$E$10+1,1))-AVERAGE(OFFSET($H$3,0,0,'Données projet'!$E$10+1,1))</f>
        <v>199.65420589615553</v>
      </c>
      <c r="AO103" s="60">
        <f t="shared" si="90"/>
        <v>477.85821088970999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8.5555555555555554</v>
      </c>
      <c r="BD103" s="13">
        <f>IF('Données projet'!$A$88&gt;35,BD102+BC103-BL102,IF(A103&lt;'Données projet'!$A$88,$BA$205^A103,IF(A103='Données projet'!$A$88,'Données projet'!$B$88,BD102+BC103-BL102)))</f>
        <v>314.22222222222263</v>
      </c>
      <c r="BE103" s="14">
        <f>BD103*VLOOKUP('Données projet'!$B$11,Paramètres!$A$1:$I$89,3,0)*VLOOKUP('Données projet'!$B$11,Paramètres!$A$1:$I$89,5,0)</f>
        <v>147.05600000000018</v>
      </c>
      <c r="BF103" s="14">
        <f t="shared" si="91"/>
        <v>37.908781196921652</v>
      </c>
      <c r="BG103" s="22">
        <f t="shared" si="61"/>
        <v>322.14699391797217</v>
      </c>
      <c r="BH103" s="60">
        <f t="shared" si="62"/>
        <v>591.26782446387688</v>
      </c>
      <c r="BI103" s="60">
        <f ca="1">AVERAGE(OFFSET($BH$3,0,0,'Données projet'!$E$11+1,1))-AVERAGE(OFFSET($H$3,0,0,'Données projet'!$E$11+1,1))</f>
        <v>374.62597460242665</v>
      </c>
      <c r="BJ103" s="60">
        <f t="shared" si="92"/>
        <v>277.50105097454616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282.00000000000011</v>
      </c>
      <c r="BZ103" s="14">
        <f>BY103*VLOOKUP('Données projet'!$B$12,Paramètres!$A$1:$I$89,3,0)*VLOOKUP('Données projet'!$B$12,Paramètres!$A$1:$I$89,5,0)</f>
        <v>255.1536000000001</v>
      </c>
      <c r="CA103" s="14">
        <f t="shared" si="93"/>
        <v>61.688192762754426</v>
      </c>
      <c r="CB103" s="22">
        <f t="shared" si="64"/>
        <v>551.83278906179737</v>
      </c>
      <c r="CC103" s="60">
        <f t="shared" si="65"/>
        <v>820.95361960770197</v>
      </c>
      <c r="CD103" s="60">
        <f ca="1">AVERAGE(OFFSET($CC$3,0,0,'Données projet'!$E$12+1,1))-AVERAGE(OFFSET($H$3,0,0,'Données projet'!$E$12+1,1))</f>
        <v>434.56763649859136</v>
      </c>
      <c r="CE103" s="60">
        <f t="shared" si="94"/>
        <v>271.90302066766264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282</v>
      </c>
      <c r="CR103" s="13">
        <f>VLOOKUP(A103,'Données projet'!$A$139:$I$159,9,0)</f>
        <v>4.8</v>
      </c>
      <c r="CS103" s="13">
        <f t="array" ref="CS103">INDEX(CR:CR,MIN(IF(ISNUMBER(CR103:CR299),ROW(CR103:CR299),"")))</f>
        <v>4.8</v>
      </c>
      <c r="CT103" s="13">
        <f>IF('Données projet'!$A$140&gt;35,CT102+CS103-DB102,IF(A103&lt;'Données projet'!$A$140,$CQ$205^A103,IF(A103='Données projet'!$A$140,'Données projet'!$B$140,CT102+CS103-DB102)))</f>
        <v>282.00000000000011</v>
      </c>
      <c r="CU103" s="18">
        <f>CT103*VLOOKUP('Données projet'!$B$13,Paramètres!$A$1:$I$89,3,0)*VLOOKUP('Données projet'!$B$13,Paramètres!$A$1:$I$89,5,0)</f>
        <v>237.55680000000009</v>
      </c>
      <c r="CV103" s="14">
        <f t="shared" si="95"/>
        <v>57.913551469467357</v>
      </c>
      <c r="CW103" s="22">
        <f t="shared" si="67"/>
        <v>514.61086214265583</v>
      </c>
      <c r="CX103" s="60">
        <f t="shared" si="68"/>
        <v>783.73169268856054</v>
      </c>
      <c r="CY103" s="60">
        <f ca="1">AVERAGE(OFFSET($CX$3,0,0,'Données projet'!$E$13+1,1))-AVERAGE(OFFSET($H$3,0,0,'Données projet'!$E$13+1,1))</f>
        <v>411.64829629901465</v>
      </c>
      <c r="CZ103" s="60">
        <f t="shared" si="96"/>
        <v>258.66864562757917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21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282</v>
      </c>
      <c r="DM103" s="13">
        <f>VLOOKUP(A103,'Données projet'!$A$165:$I$185,9,0)</f>
        <v>4.8</v>
      </c>
      <c r="DN103" s="13">
        <f t="array" ref="DN103">INDEX(DM:DM,MIN(IF(ISNUMBER(DM103:DM299),ROW(DM103:DM299),"")))</f>
        <v>4.8</v>
      </c>
      <c r="DO103" s="13">
        <f>IF('Données projet'!$A$166&gt;35,DO102+DN103-DW102,IF(A103&lt;'Données projet'!$A$166,$DL$205^A103,IF(A103='Données projet'!$A$166,'Données projet'!$B$166,DO102+DN103-DW102)))</f>
        <v>282.00000000000011</v>
      </c>
      <c r="DP103" s="18">
        <f>DO103*VLOOKUP('Données projet'!$B$14,Paramètres!$A$1:$I$89,3,0)*VLOOKUP('Données projet'!$B$14,Paramètres!$A$1:$I$89,5,0)</f>
        <v>285.94800000000009</v>
      </c>
      <c r="DQ103" s="14">
        <f t="shared" si="97"/>
        <v>68.222450362989363</v>
      </c>
      <c r="DR103" s="22">
        <f t="shared" si="70"/>
        <v>616.84686771553993</v>
      </c>
      <c r="DS103" s="60">
        <f t="shared" si="71"/>
        <v>885.96769826144464</v>
      </c>
      <c r="DT103" s="60">
        <f ca="1">AVERAGE(OFFSET($DS$3,0,0,'Données projet'!$E$14+1,1))-AVERAGE(OFFSET($H$3,0,0,'Données projet'!$E$14+1,1))</f>
        <v>474.59791006623266</v>
      </c>
      <c r="DU103" s="60">
        <f t="shared" si="98"/>
        <v>295.01432800690293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21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-4.9658410716801891E-14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334.73467807584336</v>
      </c>
      <c r="EP103" s="60">
        <f t="shared" si="100"/>
        <v>463.8772059551726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2.1178654593670427</v>
      </c>
      <c r="EW103" s="23">
        <f>EXP(-LN(2)/25)*EW102+(1-EXP(-LN(2)/25))/(LN(2)/25)*Calculateur!ER103*Calculateur!ET103*VLOOKUP('Données projet'!$B$15,Paramètres!$A$1:$I$89,3,0)*0.475*44/12</f>
        <v>2.7371600105287484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4.8550254698957911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135.66666666666666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0">
        <f t="shared" si="55"/>
        <v>269.5408633382217</v>
      </c>
      <c r="S104" s="60">
        <f ca="1">AVERAGE(OFFSET($R$3,0,0,'Données projet'!$E$9+1,1))-AVERAGE(OFFSET($H$3,0,0,'Données projet'!$E$9+1,1))</f>
        <v>199.65420589615553</v>
      </c>
      <c r="T104" s="60">
        <f t="shared" si="88"/>
        <v>477.85821088970999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0">
        <f t="shared" si="59"/>
        <v>269.5408633382217</v>
      </c>
      <c r="AN104" s="60">
        <f ca="1">AVERAGE(OFFSET($AM$3,0,0,'Données projet'!$E$10+1,1))-AVERAGE(OFFSET($H$3,0,0,'Données projet'!$E$10+1,1))</f>
        <v>199.65420589615553</v>
      </c>
      <c r="AO104" s="60">
        <f t="shared" si="90"/>
        <v>477.85821088970999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8.5555555555555554</v>
      </c>
      <c r="BD104" s="13">
        <f>IF('Données projet'!$A$88&gt;35,BD103+BC104-BL103,IF(A104&lt;'Données projet'!$A$88,$BA$205^A104,IF(A104='Données projet'!$A$88,'Données projet'!$B$88,BD103+BC104-BL103)))</f>
        <v>322.77777777777817</v>
      </c>
      <c r="BE104" s="14">
        <f>BD104*VLOOKUP('Données projet'!$B$11,Paramètres!$A$1:$I$89,3,0)*VLOOKUP('Données projet'!$B$11,Paramètres!$A$1:$I$89,5,0)</f>
        <v>151.06000000000017</v>
      </c>
      <c r="BF104" s="14">
        <f t="shared" si="91"/>
        <v>38.819375611338231</v>
      </c>
      <c r="BG104" s="22">
        <f t="shared" si="61"/>
        <v>330.70657918974769</v>
      </c>
      <c r="BH104" s="60">
        <f t="shared" si="62"/>
        <v>600.24744252796745</v>
      </c>
      <c r="BI104" s="60">
        <f ca="1">AVERAGE(OFFSET($BH$3,0,0,'Données projet'!$E$11+1,1))-AVERAGE(OFFSET($H$3,0,0,'Données projet'!$E$11+1,1))</f>
        <v>374.62597460242665</v>
      </c>
      <c r="BJ104" s="60">
        <f t="shared" si="92"/>
        <v>277.50105097454616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265.40000000000009</v>
      </c>
      <c r="BZ104" s="14">
        <f>BY104*VLOOKUP('Données projet'!$B$12,Paramètres!$A$1:$I$89,3,0)*VLOOKUP('Données projet'!$B$12,Paramètres!$A$1:$I$89,5,0)</f>
        <v>240.13392000000007</v>
      </c>
      <c r="CA104" s="14">
        <f t="shared" si="93"/>
        <v>58.468343087048616</v>
      </c>
      <c r="CB104" s="22">
        <f t="shared" si="64"/>
        <v>520.06560820994309</v>
      </c>
      <c r="CC104" s="60">
        <f t="shared" si="65"/>
        <v>789.60647154816274</v>
      </c>
      <c r="CD104" s="60">
        <f ca="1">AVERAGE(OFFSET($CC$3,0,0,'Données projet'!$E$12+1,1))-AVERAGE(OFFSET($H$3,0,0,'Données projet'!$E$12+1,1))</f>
        <v>434.56763649859136</v>
      </c>
      <c r="CE104" s="60">
        <f t="shared" si="94"/>
        <v>271.90302066766264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265.40000000000009</v>
      </c>
      <c r="CU104" s="18">
        <f>CT104*VLOOKUP('Données projet'!$B$13,Paramètres!$A$1:$I$89,3,0)*VLOOKUP('Données projet'!$B$13,Paramètres!$A$1:$I$89,5,0)</f>
        <v>223.57296000000011</v>
      </c>
      <c r="CV104" s="14">
        <f t="shared" si="95"/>
        <v>54.890721304299618</v>
      </c>
      <c r="CW104" s="22">
        <f t="shared" si="67"/>
        <v>484.99091160498864</v>
      </c>
      <c r="CX104" s="60">
        <f t="shared" si="68"/>
        <v>754.53177494320835</v>
      </c>
      <c r="CY104" s="60">
        <f ca="1">AVERAGE(OFFSET($CX$3,0,0,'Données projet'!$E$13+1,1))-AVERAGE(OFFSET($H$3,0,0,'Données projet'!$E$13+1,1))</f>
        <v>411.64829629901465</v>
      </c>
      <c r="CZ104" s="60">
        <f t="shared" si="96"/>
        <v>258.66864562757917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265.40000000000009</v>
      </c>
      <c r="DP104" s="18">
        <f>DO104*VLOOKUP('Données projet'!$B$14,Paramètres!$A$1:$I$89,3,0)*VLOOKUP('Données projet'!$B$14,Paramètres!$A$1:$I$89,5,0)</f>
        <v>269.11560000000014</v>
      </c>
      <c r="DQ104" s="14">
        <f t="shared" si="97"/>
        <v>64.661541462287133</v>
      </c>
      <c r="DR104" s="22">
        <f t="shared" si="70"/>
        <v>581.32852138015028</v>
      </c>
      <c r="DS104" s="60">
        <f t="shared" si="71"/>
        <v>850.86938471836993</v>
      </c>
      <c r="DT104" s="60">
        <f ca="1">AVERAGE(OFFSET($DS$3,0,0,'Données projet'!$E$14+1,1))-AVERAGE(OFFSET($H$3,0,0,'Données projet'!$E$14+1,1))</f>
        <v>474.59791006623266</v>
      </c>
      <c r="DU104" s="60">
        <f t="shared" si="98"/>
        <v>295.01432800690293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-4.9658410716801891E-14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334.73467807584336</v>
      </c>
      <c r="EP104" s="60">
        <f t="shared" si="100"/>
        <v>463.8772059551726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2.0763354094792335</v>
      </c>
      <c r="EW104" s="23">
        <f>EXP(-LN(2)/25)*EW103+(1-EXP(-LN(2)/25))/(LN(2)/25)*Calculateur!ER104*Calculateur!ET104*VLOOKUP('Données projet'!$B$15,Paramètres!$A$1:$I$89,3,0)*0.475*44/12</f>
        <v>2.6623122260998509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4.7386476355790847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135.66666666666666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0">
        <f t="shared" si="55"/>
        <v>269.95360950064276</v>
      </c>
      <c r="S105" s="60">
        <f ca="1">AVERAGE(OFFSET($R$3,0,0,'Données projet'!$E$9+1,1))-AVERAGE(OFFSET($H$3,0,0,'Données projet'!$E$9+1,1))</f>
        <v>199.65420589615553</v>
      </c>
      <c r="T105" s="60">
        <f t="shared" si="88"/>
        <v>477.85821088970999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0">
        <f t="shared" si="59"/>
        <v>269.95360950064276</v>
      </c>
      <c r="AN105" s="60">
        <f ca="1">AVERAGE(OFFSET($AM$3,0,0,'Données projet'!$E$10+1,1))-AVERAGE(OFFSET($H$3,0,0,'Données projet'!$E$10+1,1))</f>
        <v>199.65420589615553</v>
      </c>
      <c r="AO105" s="60">
        <f t="shared" si="90"/>
        <v>477.85821088970999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8.5555555555555554</v>
      </c>
      <c r="BD105" s="13">
        <f>IF('Données projet'!$A$88&gt;35,BD104+BC105-BL104,IF(A105&lt;'Données projet'!$A$88,$BA$205^A105,IF(A105='Données projet'!$A$88,'Données projet'!$B$88,BD104+BC105-BL104)))</f>
        <v>331.33333333333371</v>
      </c>
      <c r="BE105" s="14">
        <f>BD105*VLOOKUP('Données projet'!$B$11,Paramètres!$A$1:$I$89,3,0)*VLOOKUP('Données projet'!$B$11,Paramètres!$A$1:$I$89,5,0)</f>
        <v>155.06400000000016</v>
      </c>
      <c r="BF105" s="14">
        <f t="shared" si="91"/>
        <v>39.727164550120129</v>
      </c>
      <c r="BG105" s="22">
        <f t="shared" si="61"/>
        <v>339.2612782581262</v>
      </c>
      <c r="BH105" s="60">
        <f t="shared" si="62"/>
        <v>609.21488775876696</v>
      </c>
      <c r="BI105" s="60">
        <f ca="1">AVERAGE(OFFSET($BH$3,0,0,'Données projet'!$E$11+1,1))-AVERAGE(OFFSET($H$3,0,0,'Données projet'!$E$11+1,1))</f>
        <v>374.62597460242665</v>
      </c>
      <c r="BJ105" s="60">
        <f t="shared" si="92"/>
        <v>277.50105097454616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269.80000000000007</v>
      </c>
      <c r="BZ105" s="14">
        <f>BY105*VLOOKUP('Données projet'!$B$12,Paramètres!$A$1:$I$89,3,0)*VLOOKUP('Données projet'!$B$12,Paramètres!$A$1:$I$89,5,0)</f>
        <v>244.11504000000008</v>
      </c>
      <c r="CA105" s="14">
        <f t="shared" si="93"/>
        <v>59.324023461759062</v>
      </c>
      <c r="CB105" s="22">
        <f t="shared" si="64"/>
        <v>528.48970219589717</v>
      </c>
      <c r="CC105" s="60">
        <f t="shared" si="65"/>
        <v>798.44331169653788</v>
      </c>
      <c r="CD105" s="60">
        <f ca="1">AVERAGE(OFFSET($CC$3,0,0,'Données projet'!$E$12+1,1))-AVERAGE(OFFSET($H$3,0,0,'Données projet'!$E$12+1,1))</f>
        <v>434.56763649859136</v>
      </c>
      <c r="CE105" s="60">
        <f t="shared" si="94"/>
        <v>271.90302066766264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269.80000000000007</v>
      </c>
      <c r="CU105" s="18">
        <f>CT105*VLOOKUP('Données projet'!$B$13,Paramètres!$A$1:$I$89,3,0)*VLOOKUP('Données projet'!$B$13,Paramètres!$A$1:$I$89,5,0)</f>
        <v>227.27952000000008</v>
      </c>
      <c r="CV105" s="14">
        <f t="shared" si="95"/>
        <v>55.694043418351306</v>
      </c>
      <c r="CW105" s="22">
        <f t="shared" si="67"/>
        <v>492.84562295362861</v>
      </c>
      <c r="CX105" s="60">
        <f t="shared" si="68"/>
        <v>762.79923245426937</v>
      </c>
      <c r="CY105" s="60">
        <f ca="1">AVERAGE(OFFSET($CX$3,0,0,'Données projet'!$E$13+1,1))-AVERAGE(OFFSET($H$3,0,0,'Données projet'!$E$13+1,1))</f>
        <v>411.64829629901465</v>
      </c>
      <c r="CZ105" s="60">
        <f t="shared" si="96"/>
        <v>258.66864562757917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269.80000000000007</v>
      </c>
      <c r="DP105" s="18">
        <f>DO105*VLOOKUP('Données projet'!$B$14,Paramètres!$A$1:$I$89,3,0)*VLOOKUP('Données projet'!$B$14,Paramètres!$A$1:$I$89,5,0)</f>
        <v>273.57720000000012</v>
      </c>
      <c r="DQ105" s="14">
        <f t="shared" si="97"/>
        <v>65.607858889915107</v>
      </c>
      <c r="DR105" s="22">
        <f t="shared" si="70"/>
        <v>590.74731089993566</v>
      </c>
      <c r="DS105" s="60">
        <f t="shared" si="71"/>
        <v>860.70092040057648</v>
      </c>
      <c r="DT105" s="60">
        <f ca="1">AVERAGE(OFFSET($DS$3,0,0,'Données projet'!$E$14+1,1))-AVERAGE(OFFSET($H$3,0,0,'Données projet'!$E$14+1,1))</f>
        <v>474.59791006623266</v>
      </c>
      <c r="DU105" s="60">
        <f t="shared" si="98"/>
        <v>295.01432800690293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-4.9658410716801891E-14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334.73467807584336</v>
      </c>
      <c r="EP105" s="60">
        <f t="shared" si="100"/>
        <v>463.8772059551726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2.035619738538895</v>
      </c>
      <c r="EW105" s="23">
        <f>EXP(-LN(2)/25)*EW104+(1-EXP(-LN(2)/25))/(LN(2)/25)*Calculateur!ER105*Calculateur!ET105*VLOOKUP('Données projet'!$B$15,Paramètres!$A$1:$I$89,3,0)*0.475*44/12</f>
        <v>2.5895111582722352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4.6251308968111307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135.66666666666666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0">
        <f t="shared" si="55"/>
        <v>270.35919543990798</v>
      </c>
      <c r="S106" s="60">
        <f ca="1">AVERAGE(OFFSET($R$3,0,0,'Données projet'!$E$9+1,1))-AVERAGE(OFFSET($H$3,0,0,'Données projet'!$E$9+1,1))</f>
        <v>199.65420589615553</v>
      </c>
      <c r="T106" s="60">
        <f t="shared" si="88"/>
        <v>477.85821088970999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0">
        <f t="shared" si="59"/>
        <v>270.35919543990798</v>
      </c>
      <c r="AN106" s="60">
        <f ca="1">AVERAGE(OFFSET($AM$3,0,0,'Données projet'!$E$10+1,1))-AVERAGE(OFFSET($H$3,0,0,'Données projet'!$E$10+1,1))</f>
        <v>199.65420589615553</v>
      </c>
      <c r="AO106" s="60">
        <f t="shared" si="90"/>
        <v>477.85821088970999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8.5555555555555554</v>
      </c>
      <c r="BD106" s="13">
        <f>IF('Données projet'!$A$88&gt;35,BD105+BC106-BL105,IF(A106&lt;'Données projet'!$A$88,$BA$205^A106,IF(A106='Données projet'!$A$88,'Données projet'!$B$88,BD105+BC106-BL105)))</f>
        <v>339.88888888888926</v>
      </c>
      <c r="BE106" s="14">
        <f>BD106*VLOOKUP('Données projet'!$B$11,Paramètres!$A$1:$I$89,3,0)*VLOOKUP('Données projet'!$B$11,Paramètres!$A$1:$I$89,5,0)</f>
        <v>159.06800000000018</v>
      </c>
      <c r="BF106" s="14">
        <f t="shared" si="91"/>
        <v>40.632228784106786</v>
      </c>
      <c r="BG106" s="22">
        <f t="shared" si="61"/>
        <v>347.81123179898628</v>
      </c>
      <c r="BH106" s="60">
        <f t="shared" si="62"/>
        <v>618.17042723889222</v>
      </c>
      <c r="BI106" s="60">
        <f ca="1">AVERAGE(OFFSET($BH$3,0,0,'Données projet'!$E$11+1,1))-AVERAGE(OFFSET($H$3,0,0,'Données projet'!$E$11+1,1))</f>
        <v>374.62597460242665</v>
      </c>
      <c r="BJ106" s="60">
        <f t="shared" si="92"/>
        <v>277.50105097454616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274.20000000000005</v>
      </c>
      <c r="BZ106" s="14">
        <f>BY106*VLOOKUP('Données projet'!$B$12,Paramètres!$A$1:$I$89,3,0)*VLOOKUP('Données projet'!$B$12,Paramètres!$A$1:$I$89,5,0)</f>
        <v>248.09616</v>
      </c>
      <c r="CA106" s="14">
        <f t="shared" si="93"/>
        <v>60.178080967364686</v>
      </c>
      <c r="CB106" s="22">
        <f t="shared" si="64"/>
        <v>536.91096968482668</v>
      </c>
      <c r="CC106" s="60">
        <f t="shared" si="65"/>
        <v>807.27016512473267</v>
      </c>
      <c r="CD106" s="60">
        <f ca="1">AVERAGE(OFFSET($CC$3,0,0,'Données projet'!$E$12+1,1))-AVERAGE(OFFSET($H$3,0,0,'Données projet'!$E$12+1,1))</f>
        <v>434.56763649859136</v>
      </c>
      <c r="CE106" s="60">
        <f t="shared" si="94"/>
        <v>271.90302066766264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274.20000000000005</v>
      </c>
      <c r="CU106" s="18">
        <f>CT106*VLOOKUP('Données projet'!$B$13,Paramètres!$A$1:$I$89,3,0)*VLOOKUP('Données projet'!$B$13,Paramètres!$A$1:$I$89,5,0)</f>
        <v>230.98608000000007</v>
      </c>
      <c r="CV106" s="14">
        <f t="shared" si="95"/>
        <v>56.495841965100801</v>
      </c>
      <c r="CW106" s="22">
        <f t="shared" si="67"/>
        <v>500.69768075588399</v>
      </c>
      <c r="CX106" s="60">
        <f t="shared" si="68"/>
        <v>771.05687619578998</v>
      </c>
      <c r="CY106" s="60">
        <f ca="1">AVERAGE(OFFSET($CX$3,0,0,'Données projet'!$E$13+1,1))-AVERAGE(OFFSET($H$3,0,0,'Données projet'!$E$13+1,1))</f>
        <v>411.64829629901465</v>
      </c>
      <c r="CZ106" s="60">
        <f t="shared" si="96"/>
        <v>258.66864562757917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274.20000000000005</v>
      </c>
      <c r="DP106" s="18">
        <f>DO106*VLOOKUP('Données projet'!$B$14,Paramètres!$A$1:$I$89,3,0)*VLOOKUP('Données projet'!$B$14,Paramètres!$A$1:$I$89,5,0)</f>
        <v>278.03880000000009</v>
      </c>
      <c r="DQ106" s="14">
        <f t="shared" si="97"/>
        <v>66.5523815477178</v>
      </c>
      <c r="DR106" s="22">
        <f t="shared" si="70"/>
        <v>600.16297452894207</v>
      </c>
      <c r="DS106" s="60">
        <f t="shared" si="71"/>
        <v>870.52216996884806</v>
      </c>
      <c r="DT106" s="60">
        <f ca="1">AVERAGE(OFFSET($DS$3,0,0,'Données projet'!$E$14+1,1))-AVERAGE(OFFSET($H$3,0,0,'Données projet'!$E$14+1,1))</f>
        <v>474.59791006623266</v>
      </c>
      <c r="DU106" s="60">
        <f t="shared" si="98"/>
        <v>295.01432800690293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-4.9658410716801891E-14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334.73467807584336</v>
      </c>
      <c r="EP106" s="60">
        <f t="shared" si="100"/>
        <v>463.8772059551726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1.9957024770715894</v>
      </c>
      <c r="EW106" s="23">
        <f>EXP(-LN(2)/25)*EW105+(1-EXP(-LN(2)/25))/(LN(2)/25)*Calculateur!ER106*Calculateur!ET106*VLOOKUP('Données projet'!$B$15,Paramètres!$A$1:$I$89,3,0)*0.475*44/12</f>
        <v>2.5187008394728077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4.5144033165443975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135.66666666666666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0">
        <f t="shared" si="55"/>
        <v>270.75774536988126</v>
      </c>
      <c r="S107" s="60">
        <f ca="1">AVERAGE(OFFSET($R$3,0,0,'Données projet'!$E$9+1,1))-AVERAGE(OFFSET($H$3,0,0,'Données projet'!$E$9+1,1))</f>
        <v>199.65420589615553</v>
      </c>
      <c r="T107" s="60">
        <f t="shared" si="88"/>
        <v>477.85821088970999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0">
        <f t="shared" si="59"/>
        <v>270.75774536988126</v>
      </c>
      <c r="AN107" s="60">
        <f ca="1">AVERAGE(OFFSET($AM$3,0,0,'Données projet'!$E$10+1,1))-AVERAGE(OFFSET($H$3,0,0,'Données projet'!$E$10+1,1))</f>
        <v>199.65420589615553</v>
      </c>
      <c r="AO107" s="60">
        <f t="shared" si="90"/>
        <v>477.85821088970999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8.5555555555555554</v>
      </c>
      <c r="BD107" s="13">
        <f>IF('Données projet'!$A$88&gt;35,BD106+BC107-BL106,IF(A107&lt;'Données projet'!$A$88,$BA$205^A107,IF(A107='Données projet'!$A$88,'Données projet'!$B$88,BD106+BC107-BL106)))</f>
        <v>348.4444444444448</v>
      </c>
      <c r="BE107" s="14">
        <f>BD107*VLOOKUP('Données projet'!$B$11,Paramètres!$A$1:$I$89,3,0)*VLOOKUP('Données projet'!$B$11,Paramètres!$A$1:$I$89,5,0)</f>
        <v>163.07200000000017</v>
      </c>
      <c r="BF107" s="14">
        <f t="shared" si="91"/>
        <v>41.53464478614341</v>
      </c>
      <c r="BG107" s="22">
        <f t="shared" si="61"/>
        <v>356.35657300253342</v>
      </c>
      <c r="BH107" s="60">
        <f t="shared" si="62"/>
        <v>627.11431837241275</v>
      </c>
      <c r="BI107" s="60">
        <f ca="1">AVERAGE(OFFSET($BH$3,0,0,'Données projet'!$E$11+1,1))-AVERAGE(OFFSET($H$3,0,0,'Données projet'!$E$11+1,1))</f>
        <v>374.62597460242665</v>
      </c>
      <c r="BJ107" s="60">
        <f t="shared" si="92"/>
        <v>277.50105097454616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278.60000000000002</v>
      </c>
      <c r="BZ107" s="14">
        <f>BY107*VLOOKUP('Données projet'!$B$12,Paramètres!$A$1:$I$89,3,0)*VLOOKUP('Données projet'!$B$12,Paramètres!$A$1:$I$89,5,0)</f>
        <v>252.07728</v>
      </c>
      <c r="CA107" s="14">
        <f t="shared" si="93"/>
        <v>61.030544652154987</v>
      </c>
      <c r="CB107" s="22">
        <f t="shared" si="64"/>
        <v>545.32946126916988</v>
      </c>
      <c r="CC107" s="60">
        <f t="shared" si="65"/>
        <v>816.0872066390491</v>
      </c>
      <c r="CD107" s="60">
        <f ca="1">AVERAGE(OFFSET($CC$3,0,0,'Données projet'!$E$12+1,1))-AVERAGE(OFFSET($H$3,0,0,'Données projet'!$E$12+1,1))</f>
        <v>434.56763649859136</v>
      </c>
      <c r="CE107" s="60">
        <f t="shared" si="94"/>
        <v>271.90302066766264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278.60000000000002</v>
      </c>
      <c r="CU107" s="18">
        <f>CT107*VLOOKUP('Données projet'!$B$13,Paramètres!$A$1:$I$89,3,0)*VLOOKUP('Données projet'!$B$13,Paramètres!$A$1:$I$89,5,0)</f>
        <v>234.69264000000004</v>
      </c>
      <c r="CV107" s="14">
        <f t="shared" si="95"/>
        <v>57.29614421540051</v>
      </c>
      <c r="CW107" s="22">
        <f t="shared" si="67"/>
        <v>508.54713250848926</v>
      </c>
      <c r="CX107" s="60">
        <f t="shared" si="68"/>
        <v>779.30487787836853</v>
      </c>
      <c r="CY107" s="60">
        <f ca="1">AVERAGE(OFFSET($CX$3,0,0,'Données projet'!$E$13+1,1))-AVERAGE(OFFSET($H$3,0,0,'Données projet'!$E$13+1,1))</f>
        <v>411.64829629901465</v>
      </c>
      <c r="CZ107" s="60">
        <f t="shared" si="96"/>
        <v>258.66864562757917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278.60000000000002</v>
      </c>
      <c r="DP107" s="18">
        <f>DO107*VLOOKUP('Données projet'!$B$14,Paramètres!$A$1:$I$89,3,0)*VLOOKUP('Données projet'!$B$14,Paramètres!$A$1:$I$89,5,0)</f>
        <v>282.50040000000007</v>
      </c>
      <c r="DQ107" s="14">
        <f t="shared" si="97"/>
        <v>67.495141560894439</v>
      </c>
      <c r="DR107" s="22">
        <f t="shared" si="70"/>
        <v>609.57556821855781</v>
      </c>
      <c r="DS107" s="60">
        <f t="shared" si="71"/>
        <v>880.33331358843702</v>
      </c>
      <c r="DT107" s="60">
        <f ca="1">AVERAGE(OFFSET($DS$3,0,0,'Données projet'!$E$14+1,1))-AVERAGE(OFFSET($H$3,0,0,'Données projet'!$E$14+1,1))</f>
        <v>474.59791006623266</v>
      </c>
      <c r="DU107" s="60">
        <f t="shared" si="98"/>
        <v>295.01432800690293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-4.9658410716801891E-14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334.73467807584336</v>
      </c>
      <c r="EP107" s="60">
        <f t="shared" si="100"/>
        <v>463.8772059551726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1.9565679687545323</v>
      </c>
      <c r="EW107" s="23">
        <f>EXP(-LN(2)/25)*EW106+(1-EXP(-LN(2)/25))/(LN(2)/25)*Calculateur!ER107*Calculateur!ET107*VLOOKUP('Données projet'!$B$15,Paramètres!$A$1:$I$89,3,0)*0.475*44/12</f>
        <v>2.4498268325647032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4.4063948013192356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135.66666666666666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0">
        <f t="shared" si="55"/>
        <v>271.14938134959368</v>
      </c>
      <c r="S108" s="60">
        <f ca="1">AVERAGE(OFFSET($R$3,0,0,'Données projet'!$E$9+1,1))-AVERAGE(OFFSET($H$3,0,0,'Données projet'!$E$9+1,1))</f>
        <v>199.65420589615553</v>
      </c>
      <c r="T108" s="60">
        <f t="shared" si="88"/>
        <v>477.85821088970999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0">
        <f t="shared" si="59"/>
        <v>271.14938134959368</v>
      </c>
      <c r="AN108" s="60">
        <f ca="1">AVERAGE(OFFSET($AM$3,0,0,'Données projet'!$E$10+1,1))-AVERAGE(OFFSET($H$3,0,0,'Données projet'!$E$10+1,1))</f>
        <v>199.65420589615553</v>
      </c>
      <c r="AO108" s="60">
        <f t="shared" si="90"/>
        <v>477.85821088970999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357</v>
      </c>
      <c r="BB108" s="13">
        <f>VLOOKUP(A108,'Données projet'!$A$87:$I$107,9,0)</f>
        <v>8.5555555555555554</v>
      </c>
      <c r="BC108" s="13">
        <f t="array" ref="BC108">INDEX(BB:BB,MIN(IF(ISNUMBER(BB108:BB304),ROW(BB108:BB304),"")))</f>
        <v>8.5555555555555554</v>
      </c>
      <c r="BD108" s="13">
        <f>IF('Données projet'!$A$88&gt;35,BD107+BC108-BL107,IF(A108&lt;'Données projet'!$A$88,$BA$205^A108,IF(A108='Données projet'!$A$88,'Données projet'!$B$88,BD107+BC108-BL107)))</f>
        <v>357.00000000000034</v>
      </c>
      <c r="BE108" s="14">
        <f>BD108*VLOOKUP('Données projet'!$B$11,Paramètres!$A$1:$I$89,3,0)*VLOOKUP('Données projet'!$B$11,Paramètres!$A$1:$I$89,5,0)</f>
        <v>167.07600000000016</v>
      </c>
      <c r="BF108" s="14">
        <f t="shared" si="91"/>
        <v>42.434485059621714</v>
      </c>
      <c r="BG108" s="22">
        <f t="shared" si="61"/>
        <v>364.89742814550806</v>
      </c>
      <c r="BH108" s="60">
        <f t="shared" si="62"/>
        <v>636.04680949509975</v>
      </c>
      <c r="BI108" s="60">
        <f ca="1">AVERAGE(OFFSET($BH$3,0,0,'Données projet'!$E$11+1,1))-AVERAGE(OFFSET($H$3,0,0,'Données projet'!$E$11+1,1))</f>
        <v>374.62597460242665</v>
      </c>
      <c r="BJ108" s="60">
        <f t="shared" si="92"/>
        <v>277.50105097454616</v>
      </c>
      <c r="BK108" s="16">
        <f>IF(ISNA(VLOOKUP(A108,'Données projet'!$A$87:$I$107,3,0)),0,VLOOKUP(A108,'Données projet'!$A$87:$I$107,3,0))</f>
        <v>20</v>
      </c>
      <c r="BL108" s="16">
        <f>IF(ISNA(VLOOKUP(A108,'Données projet'!$A$87:$I$107,4,0)),0,VLOOKUP(A108,'Données projet'!$A$87:$I$107,4,0))</f>
        <v>357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283</v>
      </c>
      <c r="BW108" s="13">
        <f>VLOOKUP(A108,'Données projet'!$A$113:$I$133,9,0)</f>
        <v>4.4000000000000004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283</v>
      </c>
      <c r="BZ108" s="14">
        <f>BY108*VLOOKUP('Données projet'!$B$12,Paramètres!$A$1:$I$89,3,0)*VLOOKUP('Données projet'!$B$12,Paramètres!$A$1:$I$89,5,0)</f>
        <v>256.05840000000001</v>
      </c>
      <c r="CA108" s="14">
        <f t="shared" si="93"/>
        <v>61.881442594256484</v>
      </c>
      <c r="CB108" s="22">
        <f t="shared" si="64"/>
        <v>553.74522585166335</v>
      </c>
      <c r="CC108" s="60">
        <f t="shared" si="65"/>
        <v>824.89460720125498</v>
      </c>
      <c r="CD108" s="60">
        <f ca="1">AVERAGE(OFFSET($CC$3,0,0,'Données projet'!$E$12+1,1))-AVERAGE(OFFSET($H$3,0,0,'Données projet'!$E$12+1,1))</f>
        <v>434.56763649859136</v>
      </c>
      <c r="CE108" s="60">
        <f t="shared" si="94"/>
        <v>271.90302066766264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283</v>
      </c>
      <c r="CR108" s="13">
        <f>VLOOKUP(A108,'Données projet'!$A$139:$I$159,9,0)</f>
        <v>4.4000000000000004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283</v>
      </c>
      <c r="CU108" s="18">
        <f>CT108*VLOOKUP('Données projet'!$B$13,Paramètres!$A$1:$I$89,3,0)*VLOOKUP('Données projet'!$B$13,Paramètres!$A$1:$I$89,5,0)</f>
        <v>238.39920000000004</v>
      </c>
      <c r="CV108" s="14">
        <f t="shared" si="95"/>
        <v>58.094976529303409</v>
      </c>
      <c r="CW108" s="22">
        <f t="shared" si="67"/>
        <v>516.39402412187007</v>
      </c>
      <c r="CX108" s="60">
        <f t="shared" si="68"/>
        <v>787.54340547146171</v>
      </c>
      <c r="CY108" s="60">
        <f ca="1">AVERAGE(OFFSET($CX$3,0,0,'Données projet'!$E$13+1,1))-AVERAGE(OFFSET($H$3,0,0,'Données projet'!$E$13+1,1))</f>
        <v>411.64829629901465</v>
      </c>
      <c r="CZ108" s="60">
        <f t="shared" si="96"/>
        <v>258.66864562757917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20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283</v>
      </c>
      <c r="DM108" s="13">
        <f>VLOOKUP(A108,'Données projet'!$A$165:$I$185,9,0)</f>
        <v>4.4000000000000004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283</v>
      </c>
      <c r="DP108" s="18">
        <f>DO108*VLOOKUP('Données projet'!$B$14,Paramètres!$A$1:$I$89,3,0)*VLOOKUP('Données projet'!$B$14,Paramètres!$A$1:$I$89,5,0)</f>
        <v>286.96200000000005</v>
      </c>
      <c r="DQ108" s="14">
        <f t="shared" si="97"/>
        <v>68.436169981717853</v>
      </c>
      <c r="DR108" s="22">
        <f t="shared" si="70"/>
        <v>618.98514605149205</v>
      </c>
      <c r="DS108" s="60">
        <f t="shared" si="71"/>
        <v>890.13452740108369</v>
      </c>
      <c r="DT108" s="60">
        <f ca="1">AVERAGE(OFFSET($DS$3,0,0,'Données projet'!$E$14+1,1))-AVERAGE(OFFSET($H$3,0,0,'Données projet'!$E$14+1,1))</f>
        <v>474.59791006623266</v>
      </c>
      <c r="DU108" s="60">
        <f t="shared" si="98"/>
        <v>295.01432800690293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20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-4.9658410716801891E-14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334.73467807584336</v>
      </c>
      <c r="EP108" s="60">
        <f t="shared" si="100"/>
        <v>463.8772059551726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1.9182008642758794</v>
      </c>
      <c r="EW108" s="23">
        <f>EXP(-LN(2)/25)*EW107+(1-EXP(-LN(2)/25))/(LN(2)/25)*Calculateur!ER108*Calculateur!ET108*VLOOKUP('Données projet'!$B$15,Paramètres!$A$1:$I$89,3,0)*0.475*44/12</f>
        <v>2.3828361889974277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4.3010370532733067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135.66666666666666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0">
        <f t="shared" si="55"/>
        <v>271.53422332062496</v>
      </c>
      <c r="S109" s="60">
        <f ca="1">AVERAGE(OFFSET($R$3,0,0,'Données projet'!$E$9+1,1))-AVERAGE(OFFSET($H$3,0,0,'Données projet'!$E$9+1,1))</f>
        <v>199.65420589615553</v>
      </c>
      <c r="T109" s="60">
        <f t="shared" si="88"/>
        <v>477.85821088970999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0">
        <f t="shared" si="59"/>
        <v>271.53422332062496</v>
      </c>
      <c r="AN109" s="60">
        <f ca="1">AVERAGE(OFFSET($AM$3,0,0,'Données projet'!$E$10+1,1))-AVERAGE(OFFSET($H$3,0,0,'Données projet'!$E$10+1,1))</f>
        <v>199.65420589615553</v>
      </c>
      <c r="AO109" s="60">
        <f t="shared" si="90"/>
        <v>477.85821088970999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1.5961632016114892E-13</v>
      </c>
      <c r="BF109" s="14">
        <f t="shared" si="91"/>
        <v>2.2708641912150958E-12</v>
      </c>
      <c r="BG109" s="22">
        <f t="shared" si="61"/>
        <v>4.2330868906469593E-12</v>
      </c>
      <c r="BH109" s="60">
        <f t="shared" si="62"/>
        <v>271.53422332062718</v>
      </c>
      <c r="BI109" s="60">
        <f ca="1">AVERAGE(OFFSET($BH$3,0,0,'Données projet'!$E$11+1,1))-AVERAGE(OFFSET($H$3,0,0,'Données projet'!$E$11+1,1))</f>
        <v>374.62597460242665</v>
      </c>
      <c r="BJ109" s="60">
        <f t="shared" si="92"/>
        <v>277.50105097454616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IF('Données projet'!$A$114&gt;35,BY108+BX109-CG108,IF(A109&lt;'Données projet'!$A$114,$BV$205^A109,IF(A109='Données projet'!$A$114,'Données projet'!$B$114,BY108+BX109-CG108)))</f>
        <v>267.2</v>
      </c>
      <c r="BZ109" s="14">
        <f>BY109*VLOOKUP('Données projet'!$B$12,Paramètres!$A$1:$I$89,3,0)*VLOOKUP('Données projet'!$B$12,Paramètres!$A$1:$I$89,5,0)</f>
        <v>241.76255999999995</v>
      </c>
      <c r="CA109" s="14">
        <f t="shared" si="93"/>
        <v>58.818592205643363</v>
      </c>
      <c r="CB109" s="22">
        <f t="shared" si="64"/>
        <v>523.5121734248288</v>
      </c>
      <c r="CC109" s="60">
        <f t="shared" si="65"/>
        <v>795.04639674545183</v>
      </c>
      <c r="CD109" s="60">
        <f ca="1">AVERAGE(OFFSET($CC$3,0,0,'Données projet'!$E$12+1,1))-AVERAGE(OFFSET($H$3,0,0,'Données projet'!$E$12+1,1))</f>
        <v>434.56763649859136</v>
      </c>
      <c r="CE109" s="60">
        <f t="shared" si="94"/>
        <v>271.90302066766264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4.2</v>
      </c>
      <c r="CT109" s="13">
        <f>IF('Données projet'!$A$140&gt;35,CT108+CS109-DB108,IF(A109&lt;'Données projet'!$A$140,$CQ$205^A109,IF(A109='Données projet'!$A$140,'Données projet'!$B$140,CT108+CS109-DB108)))</f>
        <v>267.2</v>
      </c>
      <c r="CU109" s="18">
        <f>CT109*VLOOKUP('Données projet'!$B$13,Paramètres!$A$1:$I$89,3,0)*VLOOKUP('Données projet'!$B$13,Paramètres!$A$1:$I$89,5,0)</f>
        <v>225.08928000000003</v>
      </c>
      <c r="CV109" s="14">
        <f t="shared" si="95"/>
        <v>55.219539015573524</v>
      </c>
      <c r="CW109" s="22">
        <f t="shared" si="67"/>
        <v>488.2045264521239</v>
      </c>
      <c r="CX109" s="60">
        <f t="shared" si="68"/>
        <v>759.73874977274681</v>
      </c>
      <c r="CY109" s="60">
        <f ca="1">AVERAGE(OFFSET($CX$3,0,0,'Données projet'!$E$13+1,1))-AVERAGE(OFFSET($H$3,0,0,'Données projet'!$E$13+1,1))</f>
        <v>411.64829629901465</v>
      </c>
      <c r="CZ109" s="60">
        <f t="shared" si="96"/>
        <v>258.66864562757917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4.2</v>
      </c>
      <c r="DO109" s="13">
        <f>IF('Données projet'!$A$166&gt;35,DO108+DN109-DW108,IF(A109&lt;'Données projet'!$A$166,$DL$205^A109,IF(A109='Données projet'!$A$166,'Données projet'!$B$166,DO108+DN109-DW108)))</f>
        <v>267.2</v>
      </c>
      <c r="DP109" s="18">
        <f>DO109*VLOOKUP('Données projet'!$B$14,Paramètres!$A$1:$I$89,3,0)*VLOOKUP('Données projet'!$B$14,Paramètres!$A$1:$I$89,5,0)</f>
        <v>270.94080000000002</v>
      </c>
      <c r="DQ109" s="14">
        <f t="shared" si="97"/>
        <v>65.048890354155489</v>
      </c>
      <c r="DR109" s="22">
        <f t="shared" si="70"/>
        <v>585.1820440334875</v>
      </c>
      <c r="DS109" s="60">
        <f t="shared" si="71"/>
        <v>856.71626735411041</v>
      </c>
      <c r="DT109" s="60">
        <f ca="1">AVERAGE(OFFSET($DS$3,0,0,'Données projet'!$E$14+1,1))-AVERAGE(OFFSET($H$3,0,0,'Données projet'!$E$14+1,1))</f>
        <v>474.59791006623266</v>
      </c>
      <c r="DU109" s="60">
        <f t="shared" si="98"/>
        <v>295.01432800690293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-4.9658410716801891E-14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334.73467807584336</v>
      </c>
      <c r="EP109" s="60">
        <f t="shared" si="100"/>
        <v>463.8772059551726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1.8805861153144301</v>
      </c>
      <c r="EW109" s="23">
        <f>EXP(-LN(2)/25)*EW108+(1-EXP(-LN(2)/25))/(LN(2)/25)*Calculateur!ER109*Calculateur!ET109*VLOOKUP('Données projet'!$B$15,Paramètres!$A$1:$I$89,3,0)*0.475*44/12</f>
        <v>2.317677408101384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4.1982635234158145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135.66666666666666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0">
        <f t="shared" si="55"/>
        <v>271.91238914383661</v>
      </c>
      <c r="S110" s="60">
        <f ca="1">AVERAGE(OFFSET($R$3,0,0,'Données projet'!$E$9+1,1))-AVERAGE(OFFSET($H$3,0,0,'Données projet'!$E$9+1,1))</f>
        <v>199.65420589615553</v>
      </c>
      <c r="T110" s="60">
        <f t="shared" si="88"/>
        <v>477.85821088970999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0">
        <f t="shared" si="59"/>
        <v>271.91238914383661</v>
      </c>
      <c r="AN110" s="60">
        <f ca="1">AVERAGE(OFFSET($AM$3,0,0,'Données projet'!$E$10+1,1))-AVERAGE(OFFSET($H$3,0,0,'Données projet'!$E$10+1,1))</f>
        <v>199.65420589615553</v>
      </c>
      <c r="AO110" s="60">
        <f t="shared" si="90"/>
        <v>477.85821088970999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1.5961632016114892E-13</v>
      </c>
      <c r="BF110" s="14">
        <f t="shared" si="91"/>
        <v>2.2708641912150958E-12</v>
      </c>
      <c r="BG110" s="22">
        <f t="shared" si="61"/>
        <v>4.2330868906469593E-12</v>
      </c>
      <c r="BH110" s="60">
        <f t="shared" si="62"/>
        <v>271.91238914383882</v>
      </c>
      <c r="BI110" s="60">
        <f ca="1">AVERAGE(OFFSET($BH$3,0,0,'Données projet'!$E$11+1,1))-AVERAGE(OFFSET($H$3,0,0,'Données projet'!$E$11+1,1))</f>
        <v>374.62597460242665</v>
      </c>
      <c r="BJ110" s="60">
        <f t="shared" si="92"/>
        <v>277.50105097454616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IF('Données projet'!$A$114&gt;35,BY109+BX110-CG109,IF(A110&lt;'Données projet'!$A$114,$BV$205^A110,IF(A110='Données projet'!$A$114,'Données projet'!$B$114,BY109+BX110-CG109)))</f>
        <v>271.39999999999998</v>
      </c>
      <c r="BZ110" s="14">
        <f>BY110*VLOOKUP('Données projet'!$B$12,Paramètres!$A$1:$I$89,3,0)*VLOOKUP('Données projet'!$B$12,Paramètres!$A$1:$I$89,5,0)</f>
        <v>245.56271999999998</v>
      </c>
      <c r="CA110" s="14">
        <f t="shared" si="93"/>
        <v>59.634776048276898</v>
      </c>
      <c r="CB110" s="22">
        <f t="shared" si="64"/>
        <v>531.55230561741564</v>
      </c>
      <c r="CC110" s="60">
        <f t="shared" si="65"/>
        <v>803.46469476125026</v>
      </c>
      <c r="CD110" s="60">
        <f ca="1">AVERAGE(OFFSET($CC$3,0,0,'Données projet'!$E$12+1,1))-AVERAGE(OFFSET($H$3,0,0,'Données projet'!$E$12+1,1))</f>
        <v>434.56763649859136</v>
      </c>
      <c r="CE110" s="60">
        <f t="shared" si="94"/>
        <v>271.90302066766264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4.2</v>
      </c>
      <c r="CT110" s="13">
        <f>IF('Données projet'!$A$140&gt;35,CT109+CS110-DB109,IF(A110&lt;'Données projet'!$A$140,$CQ$205^A110,IF(A110='Données projet'!$A$140,'Données projet'!$B$140,CT109+CS110-DB109)))</f>
        <v>271.39999999999998</v>
      </c>
      <c r="CU110" s="18">
        <f>CT110*VLOOKUP('Données projet'!$B$13,Paramètres!$A$1:$I$89,3,0)*VLOOKUP('Données projet'!$B$13,Paramètres!$A$1:$I$89,5,0)</f>
        <v>228.62735999999998</v>
      </c>
      <c r="CV110" s="14">
        <f t="shared" si="95"/>
        <v>55.985781352428695</v>
      </c>
      <c r="CW110" s="22">
        <f t="shared" si="67"/>
        <v>495.70122118881324</v>
      </c>
      <c r="CX110" s="60">
        <f t="shared" si="68"/>
        <v>767.6136103326478</v>
      </c>
      <c r="CY110" s="60">
        <f ca="1">AVERAGE(OFFSET($CX$3,0,0,'Données projet'!$E$13+1,1))-AVERAGE(OFFSET($H$3,0,0,'Données projet'!$E$13+1,1))</f>
        <v>411.64829629901465</v>
      </c>
      <c r="CZ110" s="60">
        <f t="shared" si="96"/>
        <v>258.66864562757917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4.2</v>
      </c>
      <c r="DO110" s="13">
        <f>IF('Données projet'!$A$166&gt;35,DO109+DN110-DW109,IF(A110&lt;'Données projet'!$A$166,$DL$205^A110,IF(A110='Données projet'!$A$166,'Données projet'!$B$166,DO109+DN110-DW109)))</f>
        <v>271.39999999999998</v>
      </c>
      <c r="DP110" s="18">
        <f>DO110*VLOOKUP('Données projet'!$B$14,Paramètres!$A$1:$I$89,3,0)*VLOOKUP('Données projet'!$B$14,Paramètres!$A$1:$I$89,5,0)</f>
        <v>275.19960000000003</v>
      </c>
      <c r="DQ110" s="14">
        <f t="shared" si="97"/>
        <v>65.951527620662617</v>
      </c>
      <c r="DR110" s="22">
        <f t="shared" si="70"/>
        <v>594.17154727265404</v>
      </c>
      <c r="DS110" s="60">
        <f t="shared" si="71"/>
        <v>866.08393641648865</v>
      </c>
      <c r="DT110" s="60">
        <f ca="1">AVERAGE(OFFSET($DS$3,0,0,'Données projet'!$E$14+1,1))-AVERAGE(OFFSET($H$3,0,0,'Données projet'!$E$14+1,1))</f>
        <v>474.59791006623266</v>
      </c>
      <c r="DU110" s="60">
        <f t="shared" si="98"/>
        <v>295.01432800690293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-4.9658410716801891E-14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334.73467807584336</v>
      </c>
      <c r="EP110" s="60">
        <f t="shared" si="100"/>
        <v>463.8772059551726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1.8437089686373833</v>
      </c>
      <c r="EW110" s="23">
        <f>EXP(-LN(2)/25)*EW109+(1-EXP(-LN(2)/25))/(LN(2)/25)*Calculateur!ER110*Calculateur!ET110*VLOOKUP('Données projet'!$B$15,Paramètres!$A$1:$I$89,3,0)*0.475*44/12</f>
        <v>2.254300397495494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4.0980093661328771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135.66666666666666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0">
        <f t="shared" si="55"/>
        <v>272.28399463546771</v>
      </c>
      <c r="S111" s="60">
        <f ca="1">AVERAGE(OFFSET($R$3,0,0,'Données projet'!$E$9+1,1))-AVERAGE(OFFSET($H$3,0,0,'Données projet'!$E$9+1,1))</f>
        <v>199.65420589615553</v>
      </c>
      <c r="T111" s="60">
        <f t="shared" si="88"/>
        <v>477.85821088970999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0">
        <f t="shared" si="59"/>
        <v>272.28399463546771</v>
      </c>
      <c r="AN111" s="60">
        <f ca="1">AVERAGE(OFFSET($AM$3,0,0,'Données projet'!$E$10+1,1))-AVERAGE(OFFSET($H$3,0,0,'Données projet'!$E$10+1,1))</f>
        <v>199.65420589615553</v>
      </c>
      <c r="AO111" s="60">
        <f t="shared" si="90"/>
        <v>477.85821088970999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1.5961632016114892E-13</v>
      </c>
      <c r="BF111" s="14">
        <f t="shared" si="91"/>
        <v>2.2708641912150958E-12</v>
      </c>
      <c r="BG111" s="22">
        <f t="shared" si="61"/>
        <v>4.2330868906469593E-12</v>
      </c>
      <c r="BH111" s="60">
        <f t="shared" si="62"/>
        <v>272.28399463546992</v>
      </c>
      <c r="BI111" s="60">
        <f ca="1">AVERAGE(OFFSET($BH$3,0,0,'Données projet'!$E$11+1,1))-AVERAGE(OFFSET($H$3,0,0,'Données projet'!$E$11+1,1))</f>
        <v>374.62597460242665</v>
      </c>
      <c r="BJ111" s="60">
        <f t="shared" si="92"/>
        <v>277.50105097454616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IF('Données projet'!$A$114&gt;35,BY110+BX111-CG110,IF(A111&lt;'Données projet'!$A$114,$BV$205^A111,IF(A111='Données projet'!$A$114,'Données projet'!$B$114,BY110+BX111-CG110)))</f>
        <v>275.59999999999997</v>
      </c>
      <c r="BZ111" s="14">
        <f>BY111*VLOOKUP('Données projet'!$B$12,Paramètres!$A$1:$I$89,3,0)*VLOOKUP('Données projet'!$B$12,Paramètres!$A$1:$I$89,5,0)</f>
        <v>249.36287999999993</v>
      </c>
      <c r="CA111" s="14">
        <f t="shared" si="93"/>
        <v>60.449490938742557</v>
      </c>
      <c r="CB111" s="22">
        <f t="shared" si="64"/>
        <v>539.58987938497648</v>
      </c>
      <c r="CC111" s="60">
        <f t="shared" si="65"/>
        <v>811.87387402044214</v>
      </c>
      <c r="CD111" s="60">
        <f ca="1">AVERAGE(OFFSET($CC$3,0,0,'Données projet'!$E$12+1,1))-AVERAGE(OFFSET($H$3,0,0,'Données projet'!$E$12+1,1))</f>
        <v>434.56763649859136</v>
      </c>
      <c r="CE111" s="60">
        <f t="shared" si="94"/>
        <v>271.90302066766264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4.2</v>
      </c>
      <c r="CT111" s="13">
        <f>IF('Données projet'!$A$140&gt;35,CT110+CS111-DB110,IF(A111&lt;'Données projet'!$A$140,$CQ$205^A111,IF(A111='Données projet'!$A$140,'Données projet'!$B$140,CT110+CS111-DB110)))</f>
        <v>275.59999999999997</v>
      </c>
      <c r="CU111" s="18">
        <f>CT111*VLOOKUP('Données projet'!$B$13,Paramètres!$A$1:$I$89,3,0)*VLOOKUP('Données projet'!$B$13,Paramètres!$A$1:$I$89,5,0)</f>
        <v>232.16543999999999</v>
      </c>
      <c r="CV111" s="14">
        <f t="shared" si="95"/>
        <v>56.750644620888913</v>
      </c>
      <c r="CW111" s="22">
        <f t="shared" si="67"/>
        <v>503.19551404804815</v>
      </c>
      <c r="CX111" s="60">
        <f t="shared" si="68"/>
        <v>775.47950868351381</v>
      </c>
      <c r="CY111" s="60">
        <f ca="1">AVERAGE(OFFSET($CX$3,0,0,'Données projet'!$E$13+1,1))-AVERAGE(OFFSET($H$3,0,0,'Données projet'!$E$13+1,1))</f>
        <v>411.64829629901465</v>
      </c>
      <c r="CZ111" s="60">
        <f t="shared" si="96"/>
        <v>258.66864562757917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4.2</v>
      </c>
      <c r="DO111" s="13">
        <f>IF('Données projet'!$A$166&gt;35,DO110+DN111-DW110,IF(A111&lt;'Données projet'!$A$166,$DL$205^A111,IF(A111='Données projet'!$A$166,'Données projet'!$B$166,DO110+DN111-DW110)))</f>
        <v>275.59999999999997</v>
      </c>
      <c r="DP111" s="18">
        <f>DO111*VLOOKUP('Données projet'!$B$14,Paramètres!$A$1:$I$89,3,0)*VLOOKUP('Données projet'!$B$14,Paramètres!$A$1:$I$89,5,0)</f>
        <v>279.45839999999998</v>
      </c>
      <c r="DQ111" s="14">
        <f t="shared" si="97"/>
        <v>66.852540337772723</v>
      </c>
      <c r="DR111" s="22">
        <f t="shared" si="70"/>
        <v>603.15822108828741</v>
      </c>
      <c r="DS111" s="60">
        <f t="shared" si="71"/>
        <v>875.44221572375318</v>
      </c>
      <c r="DT111" s="60">
        <f ca="1">AVERAGE(OFFSET($DS$3,0,0,'Données projet'!$E$14+1,1))-AVERAGE(OFFSET($H$3,0,0,'Données projet'!$E$14+1,1))</f>
        <v>474.59791006623266</v>
      </c>
      <c r="DU111" s="60">
        <f t="shared" si="98"/>
        <v>295.01432800690293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-4.9658410716801891E-14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334.73467807584336</v>
      </c>
      <c r="EP111" s="60">
        <f t="shared" si="100"/>
        <v>463.8772059551726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1.8075549603138348</v>
      </c>
      <c r="EW111" s="23">
        <f>EXP(-LN(2)/25)*EW110+(1-EXP(-LN(2)/25))/(LN(2)/25)*Calculateur!ER111*Calculateur!ET111*VLOOKUP('Données projet'!$B$15,Paramètres!$A$1:$I$89,3,0)*0.475*44/12</f>
        <v>2.1926564345774739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4.0002113948913092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135.66666666666666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0">
        <f t="shared" si="55"/>
        <v>272.64915360260431</v>
      </c>
      <c r="S112" s="60">
        <f ca="1">AVERAGE(OFFSET($R$3,0,0,'Données projet'!$E$9+1,1))-AVERAGE(OFFSET($H$3,0,0,'Données projet'!$E$9+1,1))</f>
        <v>199.65420589615553</v>
      </c>
      <c r="T112" s="60">
        <f t="shared" si="88"/>
        <v>477.85821088970999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0">
        <f t="shared" si="59"/>
        <v>272.64915360260431</v>
      </c>
      <c r="AN112" s="60">
        <f ca="1">AVERAGE(OFFSET($AM$3,0,0,'Données projet'!$E$10+1,1))-AVERAGE(OFFSET($H$3,0,0,'Données projet'!$E$10+1,1))</f>
        <v>199.65420589615553</v>
      </c>
      <c r="AO112" s="60">
        <f t="shared" si="90"/>
        <v>477.85821088970999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1.5961632016114892E-13</v>
      </c>
      <c r="BF112" s="14">
        <f t="shared" si="91"/>
        <v>2.2708641912150958E-12</v>
      </c>
      <c r="BG112" s="22">
        <f t="shared" si="61"/>
        <v>4.2330868906469593E-12</v>
      </c>
      <c r="BH112" s="60">
        <f t="shared" si="62"/>
        <v>272.64915360260653</v>
      </c>
      <c r="BI112" s="60">
        <f ca="1">AVERAGE(OFFSET($BH$3,0,0,'Données projet'!$E$11+1,1))-AVERAGE(OFFSET($H$3,0,0,'Données projet'!$E$11+1,1))</f>
        <v>374.62597460242665</v>
      </c>
      <c r="BJ112" s="60">
        <f t="shared" si="92"/>
        <v>277.50105097454616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IF('Données projet'!$A$114&gt;35,BY111+BX112-CG111,IF(A112&lt;'Données projet'!$A$114,$BV$205^A112,IF(A112='Données projet'!$A$114,'Données projet'!$B$114,BY111+BX112-CG111)))</f>
        <v>279.79999999999995</v>
      </c>
      <c r="BZ112" s="14">
        <f>BY112*VLOOKUP('Données projet'!$B$12,Paramètres!$A$1:$I$89,3,0)*VLOOKUP('Données projet'!$B$12,Paramètres!$A$1:$I$89,5,0)</f>
        <v>253.16303999999994</v>
      </c>
      <c r="CA112" s="14">
        <f t="shared" si="93"/>
        <v>61.262761848635037</v>
      </c>
      <c r="CB112" s="22">
        <f t="shared" si="64"/>
        <v>547.62493821970588</v>
      </c>
      <c r="CC112" s="60">
        <f t="shared" si="65"/>
        <v>820.27409182230826</v>
      </c>
      <c r="CD112" s="60">
        <f ca="1">AVERAGE(OFFSET($CC$3,0,0,'Données projet'!$E$12+1,1))-AVERAGE(OFFSET($H$3,0,0,'Données projet'!$E$12+1,1))</f>
        <v>434.56763649859136</v>
      </c>
      <c r="CE112" s="60">
        <f t="shared" si="94"/>
        <v>271.90302066766264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4.2</v>
      </c>
      <c r="CT112" s="13">
        <f>IF('Données projet'!$A$140&gt;35,CT111+CS112-DB111,IF(A112&lt;'Données projet'!$A$140,$CQ$205^A112,IF(A112='Données projet'!$A$140,'Données projet'!$B$140,CT111+CS112-DB111)))</f>
        <v>279.79999999999995</v>
      </c>
      <c r="CU112" s="18">
        <f>CT112*VLOOKUP('Données projet'!$B$13,Paramètres!$A$1:$I$89,3,0)*VLOOKUP('Données projet'!$B$13,Paramètres!$A$1:$I$89,5,0)</f>
        <v>235.70352</v>
      </c>
      <c r="CV112" s="14">
        <f t="shared" si="95"/>
        <v>57.51415226456097</v>
      </c>
      <c r="CW112" s="22">
        <f t="shared" si="67"/>
        <v>510.68744586077702</v>
      </c>
      <c r="CX112" s="60">
        <f t="shared" si="68"/>
        <v>783.33659946337934</v>
      </c>
      <c r="CY112" s="60">
        <f ca="1">AVERAGE(OFFSET($CX$3,0,0,'Données projet'!$E$13+1,1))-AVERAGE(OFFSET($H$3,0,0,'Données projet'!$E$13+1,1))</f>
        <v>411.64829629901465</v>
      </c>
      <c r="CZ112" s="60">
        <f t="shared" si="96"/>
        <v>258.66864562757917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4.2</v>
      </c>
      <c r="DO112" s="13">
        <f>IF('Données projet'!$A$166&gt;35,DO111+DN112-DW111,IF(A112&lt;'Données projet'!$A$166,$DL$205^A112,IF(A112='Données projet'!$A$166,'Données projet'!$B$166,DO111+DN112-DW111)))</f>
        <v>279.79999999999995</v>
      </c>
      <c r="DP112" s="18">
        <f>DO112*VLOOKUP('Données projet'!$B$14,Paramètres!$A$1:$I$89,3,0)*VLOOKUP('Données projet'!$B$14,Paramètres!$A$1:$I$89,5,0)</f>
        <v>283.71719999999999</v>
      </c>
      <c r="DQ112" s="14">
        <f t="shared" si="97"/>
        <v>67.751956122170697</v>
      </c>
      <c r="DR112" s="22">
        <f t="shared" si="70"/>
        <v>612.14211357944725</v>
      </c>
      <c r="DS112" s="60">
        <f t="shared" si="71"/>
        <v>884.79126718204952</v>
      </c>
      <c r="DT112" s="60">
        <f ca="1">AVERAGE(OFFSET($DS$3,0,0,'Données projet'!$E$14+1,1))-AVERAGE(OFFSET($H$3,0,0,'Données projet'!$E$14+1,1))</f>
        <v>474.59791006623266</v>
      </c>
      <c r="DU112" s="60">
        <f t="shared" si="98"/>
        <v>295.01432800690293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-4.9658410716801891E-14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334.73467807584336</v>
      </c>
      <c r="EP112" s="60">
        <f t="shared" si="100"/>
        <v>463.8772059551726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1.7721099100417435</v>
      </c>
      <c r="EW112" s="23">
        <f>EXP(-LN(2)/25)*EW111+(1-EXP(-LN(2)/25))/(LN(2)/25)*Calculateur!ER112*Calculateur!ET112*VLOOKUP('Données projet'!$B$15,Paramètres!$A$1:$I$89,3,0)*0.475*44/12</f>
        <v>2.1326981290671623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3.9048080391089055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135.66666666666666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0">
        <f t="shared" si="55"/>
        <v>273.00797787803435</v>
      </c>
      <c r="S113" s="60">
        <f ca="1">AVERAGE(OFFSET($R$3,0,0,'Données projet'!$E$9+1,1))-AVERAGE(OFFSET($H$3,0,0,'Données projet'!$E$9+1,1))</f>
        <v>199.65420589615553</v>
      </c>
      <c r="T113" s="60">
        <f t="shared" si="88"/>
        <v>477.85821088970999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0">
        <f t="shared" si="59"/>
        <v>273.00797787803435</v>
      </c>
      <c r="AN113" s="60">
        <f ca="1">AVERAGE(OFFSET($AM$3,0,0,'Données projet'!$E$10+1,1))-AVERAGE(OFFSET($H$3,0,0,'Données projet'!$E$10+1,1))</f>
        <v>199.65420589615553</v>
      </c>
      <c r="AO113" s="60">
        <f t="shared" si="90"/>
        <v>477.85821088970999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1.5961632016114892E-13</v>
      </c>
      <c r="BF113" s="14">
        <f t="shared" si="91"/>
        <v>2.2708641912150958E-12</v>
      </c>
      <c r="BG113" s="22">
        <f t="shared" si="61"/>
        <v>4.2330868906469593E-12</v>
      </c>
      <c r="BH113" s="60">
        <f t="shared" si="62"/>
        <v>273.00797787803657</v>
      </c>
      <c r="BI113" s="60">
        <f ca="1">AVERAGE(OFFSET($BH$3,0,0,'Données projet'!$E$11+1,1))-AVERAGE(OFFSET($H$3,0,0,'Données projet'!$E$11+1,1))</f>
        <v>374.62597460242665</v>
      </c>
      <c r="BJ113" s="60">
        <f t="shared" si="92"/>
        <v>277.50105097454616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284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IF('Données projet'!$A$114&gt;35,BY112+BX113-CG112,IF(A113&lt;'Données projet'!$A$114,$BV$205^A113,IF(A113='Données projet'!$A$114,'Données projet'!$B$114,BY112+BX113-CG112)))</f>
        <v>283.99999999999994</v>
      </c>
      <c r="BZ113" s="14">
        <f>BY113*VLOOKUP('Données projet'!$B$12,Paramètres!$A$1:$I$89,3,0)*VLOOKUP('Données projet'!$B$12,Paramètres!$A$1:$I$89,5,0)</f>
        <v>256.96319999999992</v>
      </c>
      <c r="CA113" s="14">
        <f t="shared" si="93"/>
        <v>62.074612956838024</v>
      </c>
      <c r="CB113" s="22">
        <f t="shared" si="64"/>
        <v>555.65752423315928</v>
      </c>
      <c r="CC113" s="60">
        <f t="shared" si="65"/>
        <v>828.6655021111917</v>
      </c>
      <c r="CD113" s="60">
        <f ca="1">AVERAGE(OFFSET($CC$3,0,0,'Données projet'!$E$12+1,1))-AVERAGE(OFFSET($H$3,0,0,'Données projet'!$E$12+1,1))</f>
        <v>434.56763649859136</v>
      </c>
      <c r="CE113" s="60">
        <f t="shared" si="94"/>
        <v>271.90302066766264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284</v>
      </c>
      <c r="CR113" s="13">
        <f>VLOOKUP(A113,'Données projet'!$A$139:$I$159,9,0)</f>
        <v>4.2</v>
      </c>
      <c r="CS113" s="13">
        <f t="array" ref="CS113">INDEX(CR:CR,MIN(IF(ISNUMBER(CR113:CR309),ROW(CR113:CR309),"")))</f>
        <v>4.2</v>
      </c>
      <c r="CT113" s="13">
        <f>IF('Données projet'!$A$140&gt;35,CT112+CS113-DB112,IF(A113&lt;'Données projet'!$A$140,$CQ$205^A113,IF(A113='Données projet'!$A$140,'Données projet'!$B$140,CT112+CS113-DB112)))</f>
        <v>283.99999999999994</v>
      </c>
      <c r="CU113" s="18">
        <f>CT113*VLOOKUP('Données projet'!$B$13,Paramètres!$A$1:$I$89,3,0)*VLOOKUP('Données projet'!$B$13,Paramètres!$A$1:$I$89,5,0)</f>
        <v>239.24159999999998</v>
      </c>
      <c r="CV113" s="14">
        <f t="shared" si="95"/>
        <v>58.276326982845838</v>
      </c>
      <c r="CW113" s="22">
        <f t="shared" si="67"/>
        <v>518.17705616178989</v>
      </c>
      <c r="CX113" s="60">
        <f t="shared" si="68"/>
        <v>791.18503403982231</v>
      </c>
      <c r="CY113" s="60">
        <f ca="1">AVERAGE(OFFSET($CX$3,0,0,'Données projet'!$E$13+1,1))-AVERAGE(OFFSET($H$3,0,0,'Données projet'!$E$13+1,1))</f>
        <v>411.64829629901465</v>
      </c>
      <c r="CZ113" s="60">
        <f t="shared" si="96"/>
        <v>258.66864562757917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284</v>
      </c>
      <c r="DM113" s="13">
        <f>VLOOKUP(A113,'Données projet'!$A$165:$I$185,9,0)</f>
        <v>4.2</v>
      </c>
      <c r="DN113" s="13">
        <f t="array" ref="DN113">INDEX(DM:DM,MIN(IF(ISNUMBER(DM113:DM309),ROW(DM113:DM309),"")))</f>
        <v>4.2</v>
      </c>
      <c r="DO113" s="13">
        <f>IF('Données projet'!$A$166&gt;35,DO112+DN113-DW112,IF(A113&lt;'Données projet'!$A$166,$DL$205^A113,IF(A113='Données projet'!$A$166,'Données projet'!$B$166,DO112+DN113-DW112)))</f>
        <v>283.99999999999994</v>
      </c>
      <c r="DP113" s="18">
        <f>DO113*VLOOKUP('Données projet'!$B$14,Paramètres!$A$1:$I$89,3,0)*VLOOKUP('Données projet'!$B$14,Paramètres!$A$1:$I$89,5,0)</f>
        <v>287.97599999999994</v>
      </c>
      <c r="DQ113" s="14">
        <f t="shared" si="97"/>
        <v>68.649801713863141</v>
      </c>
      <c r="DR113" s="22">
        <f t="shared" si="70"/>
        <v>621.12327131831148</v>
      </c>
      <c r="DS113" s="60">
        <f t="shared" si="71"/>
        <v>894.13124919634379</v>
      </c>
      <c r="DT113" s="60">
        <f ca="1">AVERAGE(OFFSET($DS$3,0,0,'Données projet'!$E$14+1,1))-AVERAGE(OFFSET($H$3,0,0,'Données projet'!$E$14+1,1))</f>
        <v>474.59791006623266</v>
      </c>
      <c r="DU113" s="60">
        <f t="shared" si="98"/>
        <v>295.01432800690293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19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-4.9658410716801891E-14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334.73467807584336</v>
      </c>
      <c r="EP113" s="60">
        <f t="shared" si="100"/>
        <v>463.8772059551726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1.7373599155861419</v>
      </c>
      <c r="EW113" s="23">
        <f>EXP(-LN(2)/25)*EW112+(1-EXP(-LN(2)/25))/(LN(2)/25)*Calculateur!ER113*Calculateur!ET113*VLOOKUP('Données projet'!$B$15,Paramètres!$A$1:$I$89,3,0)*0.475*44/12</f>
        <v>2.0743793865741003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3.8117393021602419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135.66666666666666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0">
        <f t="shared" si="55"/>
        <v>273.36057735449651</v>
      </c>
      <c r="S114" s="60">
        <f ca="1">AVERAGE(OFFSET($R$3,0,0,'Données projet'!$E$9+1,1))-AVERAGE(OFFSET($H$3,0,0,'Données projet'!$E$9+1,1))</f>
        <v>199.65420589615553</v>
      </c>
      <c r="T114" s="60">
        <f t="shared" si="88"/>
        <v>477.85821088970999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0">
        <f t="shared" si="59"/>
        <v>273.36057735449651</v>
      </c>
      <c r="AN114" s="60">
        <f ca="1">AVERAGE(OFFSET($AM$3,0,0,'Données projet'!$E$10+1,1))-AVERAGE(OFFSET($H$3,0,0,'Données projet'!$E$10+1,1))</f>
        <v>199.65420589615553</v>
      </c>
      <c r="AO114" s="60">
        <f t="shared" si="90"/>
        <v>477.85821088970999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1.5961632016114892E-13</v>
      </c>
      <c r="BF114" s="14">
        <f t="shared" si="91"/>
        <v>2.2708641912150958E-12</v>
      </c>
      <c r="BG114" s="22">
        <f t="shared" si="61"/>
        <v>4.2330868906469593E-12</v>
      </c>
      <c r="BH114" s="60">
        <f t="shared" si="62"/>
        <v>273.36057735449873</v>
      </c>
      <c r="BI114" s="60">
        <f ca="1">AVERAGE(OFFSET($BH$3,0,0,'Données projet'!$E$11+1,1))-AVERAGE(OFFSET($H$3,0,0,'Données projet'!$E$11+1,1))</f>
        <v>374.62597460242665</v>
      </c>
      <c r="BJ114" s="60">
        <f t="shared" si="92"/>
        <v>277.50105097454616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268.79999999999995</v>
      </c>
      <c r="BZ114" s="14">
        <f>BY114*VLOOKUP('Données projet'!$B$12,Paramètres!$A$1:$I$89,3,0)*VLOOKUP('Données projet'!$B$12,Paramètres!$A$1:$I$89,5,0)</f>
        <v>243.21023999999997</v>
      </c>
      <c r="CA114" s="14">
        <f t="shared" si="93"/>
        <v>59.129694216846737</v>
      </c>
      <c r="CB114" s="22">
        <f t="shared" si="64"/>
        <v>526.57538542767463</v>
      </c>
      <c r="CC114" s="60">
        <f t="shared" si="65"/>
        <v>799.9359627821691</v>
      </c>
      <c r="CD114" s="60">
        <f ca="1">AVERAGE(OFFSET($CC$3,0,0,'Données projet'!$E$12+1,1))-AVERAGE(OFFSET($H$3,0,0,'Données projet'!$E$12+1,1))</f>
        <v>434.56763649859136</v>
      </c>
      <c r="CE114" s="60">
        <f t="shared" si="94"/>
        <v>271.90302066766264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3.8</v>
      </c>
      <c r="CT114" s="13">
        <f>IF('Données projet'!$A$140&gt;35,CT113+CS114-DB113,IF(A114&lt;'Données projet'!$A$140,$CQ$205^A114,IF(A114='Données projet'!$A$140,'Données projet'!$B$140,CT113+CS114-DB113)))</f>
        <v>268.79999999999995</v>
      </c>
      <c r="CU114" s="18">
        <f>CT114*VLOOKUP('Données projet'!$B$13,Paramètres!$A$1:$I$89,3,0)*VLOOKUP('Données projet'!$B$13,Paramètres!$A$1:$I$89,5,0)</f>
        <v>226.43711999999999</v>
      </c>
      <c r="CV114" s="14">
        <f t="shared" si="95"/>
        <v>55.51160499337535</v>
      </c>
      <c r="CW114" s="22">
        <f t="shared" si="67"/>
        <v>491.06069603012867</v>
      </c>
      <c r="CX114" s="60">
        <f t="shared" si="68"/>
        <v>764.42127338462319</v>
      </c>
      <c r="CY114" s="60">
        <f ca="1">AVERAGE(OFFSET($CX$3,0,0,'Données projet'!$E$13+1,1))-AVERAGE(OFFSET($H$3,0,0,'Données projet'!$E$13+1,1))</f>
        <v>411.64829629901465</v>
      </c>
      <c r="CZ114" s="60">
        <f t="shared" si="96"/>
        <v>258.66864562757917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3.8</v>
      </c>
      <c r="DO114" s="13">
        <f>IF('Données projet'!$A$166&gt;35,DO113+DN114-DW113,IF(A114&lt;'Données projet'!$A$166,$DL$205^A114,IF(A114='Données projet'!$A$166,'Données projet'!$B$166,DO113+DN114-DW113)))</f>
        <v>268.79999999999995</v>
      </c>
      <c r="DP114" s="18">
        <f>DO114*VLOOKUP('Données projet'!$B$14,Paramètres!$A$1:$I$89,3,0)*VLOOKUP('Données projet'!$B$14,Paramètres!$A$1:$I$89,5,0)</f>
        <v>272.56319999999994</v>
      </c>
      <c r="DQ114" s="14">
        <f t="shared" si="97"/>
        <v>65.392945522034609</v>
      </c>
      <c r="DR114" s="22">
        <f t="shared" si="70"/>
        <v>588.60695345087686</v>
      </c>
      <c r="DS114" s="60">
        <f t="shared" si="71"/>
        <v>861.96753080537133</v>
      </c>
      <c r="DT114" s="60">
        <f ca="1">AVERAGE(OFFSET($DS$3,0,0,'Données projet'!$E$14+1,1))-AVERAGE(OFFSET($H$3,0,0,'Données projet'!$E$14+1,1))</f>
        <v>474.59791006623266</v>
      </c>
      <c r="DU114" s="60">
        <f t="shared" si="98"/>
        <v>295.01432800690293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-4.9658410716801891E-14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334.73467807584336</v>
      </c>
      <c r="EP114" s="60">
        <f t="shared" si="100"/>
        <v>463.8772059551726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1.7032913473264109</v>
      </c>
      <c r="EW114" s="23">
        <f>EXP(-LN(2)/25)*EW113+(1-EXP(-LN(2)/25))/(LN(2)/25)*Calculateur!ER114*Calculateur!ET114*VLOOKUP('Données projet'!$B$15,Paramètres!$A$1:$I$89,3,0)*0.475*44/12</f>
        <v>2.0176553731613605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3.7209467204877713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135.66666666666666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0">
        <f t="shared" si="55"/>
        <v>273.70706001833639</v>
      </c>
      <c r="S115" s="60">
        <f ca="1">AVERAGE(OFFSET($R$3,0,0,'Données projet'!$E$9+1,1))-AVERAGE(OFFSET($H$3,0,0,'Données projet'!$E$9+1,1))</f>
        <v>199.65420589615553</v>
      </c>
      <c r="T115" s="60">
        <f t="shared" si="88"/>
        <v>477.85821088970999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0">
        <f t="shared" si="59"/>
        <v>273.70706001833639</v>
      </c>
      <c r="AN115" s="60">
        <f ca="1">AVERAGE(OFFSET($AM$3,0,0,'Données projet'!$E$10+1,1))-AVERAGE(OFFSET($H$3,0,0,'Données projet'!$E$10+1,1))</f>
        <v>199.65420589615553</v>
      </c>
      <c r="AO115" s="60">
        <f t="shared" si="90"/>
        <v>477.85821088970999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1.5961632016114892E-13</v>
      </c>
      <c r="BF115" s="14">
        <f t="shared" si="91"/>
        <v>2.2708641912150958E-12</v>
      </c>
      <c r="BG115" s="22">
        <f t="shared" si="61"/>
        <v>4.2330868906469593E-12</v>
      </c>
      <c r="BH115" s="60">
        <f t="shared" si="62"/>
        <v>273.70706001833861</v>
      </c>
      <c r="BI115" s="60">
        <f ca="1">AVERAGE(OFFSET($BH$3,0,0,'Données projet'!$E$11+1,1))-AVERAGE(OFFSET($H$3,0,0,'Données projet'!$E$11+1,1))</f>
        <v>374.62597460242665</v>
      </c>
      <c r="BJ115" s="60">
        <f t="shared" si="92"/>
        <v>277.50105097454616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272.59999999999997</v>
      </c>
      <c r="BZ115" s="14">
        <f>BY115*VLOOKUP('Données projet'!$B$12,Paramètres!$A$1:$I$89,3,0)*VLOOKUP('Données projet'!$B$12,Paramètres!$A$1:$I$89,5,0)</f>
        <v>246.64847999999998</v>
      </c>
      <c r="CA115" s="14">
        <f t="shared" si="93"/>
        <v>59.867700517050096</v>
      </c>
      <c r="CB115" s="22">
        <f t="shared" si="64"/>
        <v>533.84901440052897</v>
      </c>
      <c r="CC115" s="60">
        <f t="shared" si="65"/>
        <v>807.55607441886332</v>
      </c>
      <c r="CD115" s="60">
        <f ca="1">AVERAGE(OFFSET($CC$3,0,0,'Données projet'!$E$12+1,1))-AVERAGE(OFFSET($H$3,0,0,'Données projet'!$E$12+1,1))</f>
        <v>434.56763649859136</v>
      </c>
      <c r="CE115" s="60">
        <f t="shared" si="94"/>
        <v>271.90302066766264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3.8</v>
      </c>
      <c r="CT115" s="13">
        <f>IF('Données projet'!$A$140&gt;35,CT114+CS115-DB114,IF(A115&lt;'Données projet'!$A$140,$CQ$205^A115,IF(A115='Données projet'!$A$140,'Données projet'!$B$140,CT114+CS115-DB114)))</f>
        <v>272.59999999999997</v>
      </c>
      <c r="CU115" s="18">
        <f>CT115*VLOOKUP('Données projet'!$B$13,Paramètres!$A$1:$I$89,3,0)*VLOOKUP('Données projet'!$B$13,Paramètres!$A$1:$I$89,5,0)</f>
        <v>229.63823999999997</v>
      </c>
      <c r="CV115" s="14">
        <f t="shared" si="95"/>
        <v>56.204453396569633</v>
      </c>
      <c r="CW115" s="22">
        <f t="shared" si="67"/>
        <v>497.84269099902531</v>
      </c>
      <c r="CX115" s="60">
        <f t="shared" si="68"/>
        <v>771.54975101735977</v>
      </c>
      <c r="CY115" s="60">
        <f ca="1">AVERAGE(OFFSET($CX$3,0,0,'Données projet'!$E$13+1,1))-AVERAGE(OFFSET($H$3,0,0,'Données projet'!$E$13+1,1))</f>
        <v>411.64829629901465</v>
      </c>
      <c r="CZ115" s="60">
        <f t="shared" si="96"/>
        <v>258.66864562757917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3.8</v>
      </c>
      <c r="DO115" s="13">
        <f>IF('Données projet'!$A$166&gt;35,DO114+DN115-DW114,IF(A115&lt;'Données projet'!$A$166,$DL$205^A115,IF(A115='Données projet'!$A$166,'Données projet'!$B$166,DO114+DN115-DW114)))</f>
        <v>272.59999999999997</v>
      </c>
      <c r="DP115" s="18">
        <f>DO115*VLOOKUP('Données projet'!$B$14,Paramètres!$A$1:$I$89,3,0)*VLOOKUP('Données projet'!$B$14,Paramètres!$A$1:$I$89,5,0)</f>
        <v>276.41640000000001</v>
      </c>
      <c r="DQ115" s="14">
        <f t="shared" si="97"/>
        <v>66.209124371313408</v>
      </c>
      <c r="DR115" s="22">
        <f t="shared" si="70"/>
        <v>596.7394549467042</v>
      </c>
      <c r="DS115" s="60">
        <f t="shared" si="71"/>
        <v>870.44651496503866</v>
      </c>
      <c r="DT115" s="60">
        <f ca="1">AVERAGE(OFFSET($DS$3,0,0,'Données projet'!$E$14+1,1))-AVERAGE(OFFSET($H$3,0,0,'Données projet'!$E$14+1,1))</f>
        <v>474.59791006623266</v>
      </c>
      <c r="DU115" s="60">
        <f t="shared" si="98"/>
        <v>295.01432800690293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-4.9658410716801891E-14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334.73467807584336</v>
      </c>
      <c r="EP115" s="60">
        <f t="shared" si="100"/>
        <v>463.8772059551726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1.6698908429104784</v>
      </c>
      <c r="EW115" s="23">
        <f>EXP(-LN(2)/25)*EW114+(1-EXP(-LN(2)/25))/(LN(2)/25)*Calculateur!ER115*Calculateur!ET115*VLOOKUP('Données projet'!$B$15,Paramètres!$A$1:$I$89,3,0)*0.475*44/12</f>
        <v>1.9624824808783783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3.6323733237888565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135.66666666666666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0">
        <f t="shared" si="55"/>
        <v>274.04753198257782</v>
      </c>
      <c r="S116" s="60">
        <f ca="1">AVERAGE(OFFSET($R$3,0,0,'Données projet'!$E$9+1,1))-AVERAGE(OFFSET($H$3,0,0,'Données projet'!$E$9+1,1))</f>
        <v>199.65420589615553</v>
      </c>
      <c r="T116" s="60">
        <f t="shared" si="88"/>
        <v>477.85821088970999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0">
        <f t="shared" si="59"/>
        <v>274.04753198257782</v>
      </c>
      <c r="AN116" s="60">
        <f ca="1">AVERAGE(OFFSET($AM$3,0,0,'Données projet'!$E$10+1,1))-AVERAGE(OFFSET($H$3,0,0,'Données projet'!$E$10+1,1))</f>
        <v>199.65420589615553</v>
      </c>
      <c r="AO116" s="60">
        <f t="shared" si="90"/>
        <v>477.85821088970999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1.5961632016114892E-13</v>
      </c>
      <c r="BF116" s="14">
        <f t="shared" si="91"/>
        <v>2.2708641912150958E-12</v>
      </c>
      <c r="BG116" s="22">
        <f t="shared" si="61"/>
        <v>4.2330868906469593E-12</v>
      </c>
      <c r="BH116" s="60">
        <f t="shared" si="62"/>
        <v>274.04753198258004</v>
      </c>
      <c r="BI116" s="60">
        <f ca="1">AVERAGE(OFFSET($BH$3,0,0,'Données projet'!$E$11+1,1))-AVERAGE(OFFSET($H$3,0,0,'Données projet'!$E$11+1,1))</f>
        <v>374.62597460242665</v>
      </c>
      <c r="BJ116" s="60">
        <f t="shared" si="92"/>
        <v>277.50105097454616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276.39999999999998</v>
      </c>
      <c r="BZ116" s="14">
        <f>BY116*VLOOKUP('Données projet'!$B$12,Paramètres!$A$1:$I$89,3,0)*VLOOKUP('Données projet'!$B$12,Paramètres!$A$1:$I$89,5,0)</f>
        <v>250.08671999999999</v>
      </c>
      <c r="CA116" s="14">
        <f t="shared" si="93"/>
        <v>60.604510260306157</v>
      </c>
      <c r="CB116" s="22">
        <f t="shared" si="64"/>
        <v>541.12055937003322</v>
      </c>
      <c r="CC116" s="60">
        <f t="shared" si="65"/>
        <v>815.16809135260905</v>
      </c>
      <c r="CD116" s="60">
        <f ca="1">AVERAGE(OFFSET($CC$3,0,0,'Données projet'!$E$12+1,1))-AVERAGE(OFFSET($H$3,0,0,'Données projet'!$E$12+1,1))</f>
        <v>434.56763649859136</v>
      </c>
      <c r="CE116" s="60">
        <f t="shared" si="94"/>
        <v>271.90302066766264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3.8</v>
      </c>
      <c r="CT116" s="13">
        <f>IF('Données projet'!$A$140&gt;35,CT115+CS116-DB115,IF(A116&lt;'Données projet'!$A$140,$CQ$205^A116,IF(A116='Données projet'!$A$140,'Données projet'!$B$140,CT115+CS116-DB115)))</f>
        <v>276.39999999999998</v>
      </c>
      <c r="CU116" s="18">
        <f>CT116*VLOOKUP('Données projet'!$B$13,Paramètres!$A$1:$I$89,3,0)*VLOOKUP('Données projet'!$B$13,Paramètres!$A$1:$I$89,5,0)</f>
        <v>232.83936</v>
      </c>
      <c r="CV116" s="14">
        <f t="shared" si="95"/>
        <v>56.896178458987549</v>
      </c>
      <c r="CW116" s="22">
        <f t="shared" si="67"/>
        <v>504.62272948273659</v>
      </c>
      <c r="CX116" s="60">
        <f t="shared" si="68"/>
        <v>778.67026146531248</v>
      </c>
      <c r="CY116" s="60">
        <f ca="1">AVERAGE(OFFSET($CX$3,0,0,'Données projet'!$E$13+1,1))-AVERAGE(OFFSET($H$3,0,0,'Données projet'!$E$13+1,1))</f>
        <v>411.64829629901465</v>
      </c>
      <c r="CZ116" s="60">
        <f t="shared" si="96"/>
        <v>258.66864562757917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3.8</v>
      </c>
      <c r="DO116" s="13">
        <f>IF('Données projet'!$A$166&gt;35,DO115+DN116-DW115,IF(A116&lt;'Données projet'!$A$166,$DL$205^A116,IF(A116='Données projet'!$A$166,'Données projet'!$B$166,DO115+DN116-DW115)))</f>
        <v>276.39999999999998</v>
      </c>
      <c r="DP116" s="18">
        <f>DO116*VLOOKUP('Données projet'!$B$14,Paramètres!$A$1:$I$89,3,0)*VLOOKUP('Données projet'!$B$14,Paramètres!$A$1:$I$89,5,0)</f>
        <v>280.26960000000003</v>
      </c>
      <c r="DQ116" s="14">
        <f t="shared" si="97"/>
        <v>67.023979919595945</v>
      </c>
      <c r="DR116" s="22">
        <f t="shared" si="70"/>
        <v>604.8696516932963</v>
      </c>
      <c r="DS116" s="60">
        <f t="shared" si="71"/>
        <v>878.91718367587214</v>
      </c>
      <c r="DT116" s="60">
        <f ca="1">AVERAGE(OFFSET($DS$3,0,0,'Données projet'!$E$14+1,1))-AVERAGE(OFFSET($H$3,0,0,'Données projet'!$E$14+1,1))</f>
        <v>474.59791006623266</v>
      </c>
      <c r="DU116" s="60">
        <f t="shared" si="98"/>
        <v>295.01432800690293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-4.9658410716801891E-14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334.73467807584336</v>
      </c>
      <c r="EP116" s="60">
        <f t="shared" si="100"/>
        <v>463.8772059551726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1.6371453020138462</v>
      </c>
      <c r="EW116" s="23">
        <f>EXP(-LN(2)/25)*EW115+(1-EXP(-LN(2)/25))/(LN(2)/25)*Calculateur!ER116*Calculateur!ET116*VLOOKUP('Données projet'!$B$15,Paramètres!$A$1:$I$89,3,0)*0.475*44/12</f>
        <v>1.9088182942362906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3.5459635962501368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135.66666666666666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0">
        <f t="shared" si="55"/>
        <v>274.382097519421</v>
      </c>
      <c r="S117" s="60">
        <f ca="1">AVERAGE(OFFSET($R$3,0,0,'Données projet'!$E$9+1,1))-AVERAGE(OFFSET($H$3,0,0,'Données projet'!$E$9+1,1))</f>
        <v>199.65420589615553</v>
      </c>
      <c r="T117" s="60">
        <f t="shared" si="88"/>
        <v>477.85821088970999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0">
        <f t="shared" si="59"/>
        <v>274.382097519421</v>
      </c>
      <c r="AN117" s="60">
        <f ca="1">AVERAGE(OFFSET($AM$3,0,0,'Données projet'!$E$10+1,1))-AVERAGE(OFFSET($H$3,0,0,'Données projet'!$E$10+1,1))</f>
        <v>199.65420589615553</v>
      </c>
      <c r="AO117" s="60">
        <f t="shared" si="90"/>
        <v>477.85821088970999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1.5961632016114892E-13</v>
      </c>
      <c r="BF117" s="14">
        <f t="shared" si="91"/>
        <v>2.2708641912150958E-12</v>
      </c>
      <c r="BG117" s="22">
        <f t="shared" si="61"/>
        <v>4.2330868906469593E-12</v>
      </c>
      <c r="BH117" s="60">
        <f t="shared" si="62"/>
        <v>274.38209751942321</v>
      </c>
      <c r="BI117" s="60">
        <f ca="1">AVERAGE(OFFSET($BH$3,0,0,'Données projet'!$E$11+1,1))-AVERAGE(OFFSET($H$3,0,0,'Données projet'!$E$11+1,1))</f>
        <v>374.62597460242665</v>
      </c>
      <c r="BJ117" s="60">
        <f t="shared" si="92"/>
        <v>277.50105097454616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280.2</v>
      </c>
      <c r="BZ117" s="14">
        <f>BY117*VLOOKUP('Données projet'!$B$12,Paramètres!$A$1:$I$89,3,0)*VLOOKUP('Données projet'!$B$12,Paramètres!$A$1:$I$89,5,0)</f>
        <v>253.52495999999999</v>
      </c>
      <c r="CA117" s="14">
        <f t="shared" si="93"/>
        <v>61.340141798422209</v>
      </c>
      <c r="CB117" s="22">
        <f t="shared" si="64"/>
        <v>548.39005229891859</v>
      </c>
      <c r="CC117" s="60">
        <f t="shared" si="65"/>
        <v>822.77214981833754</v>
      </c>
      <c r="CD117" s="60">
        <f ca="1">AVERAGE(OFFSET($CC$3,0,0,'Données projet'!$E$12+1,1))-AVERAGE(OFFSET($H$3,0,0,'Données projet'!$E$12+1,1))</f>
        <v>434.56763649859136</v>
      </c>
      <c r="CE117" s="60">
        <f t="shared" si="94"/>
        <v>271.90302066766264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3.8</v>
      </c>
      <c r="CT117" s="13">
        <f>IF('Données projet'!$A$140&gt;35,CT116+CS117-DB116,IF(A117&lt;'Données projet'!$A$140,$CQ$205^A117,IF(A117='Données projet'!$A$140,'Données projet'!$B$140,CT116+CS117-DB116)))</f>
        <v>280.2</v>
      </c>
      <c r="CU117" s="18">
        <f>CT117*VLOOKUP('Données projet'!$B$13,Paramètres!$A$1:$I$89,3,0)*VLOOKUP('Données projet'!$B$13,Paramètres!$A$1:$I$89,5,0)</f>
        <v>236.04048</v>
      </c>
      <c r="CV117" s="14">
        <f t="shared" si="95"/>
        <v>57.586797409506879</v>
      </c>
      <c r="CW117" s="22">
        <f t="shared" si="67"/>
        <v>511.40084148822439</v>
      </c>
      <c r="CX117" s="60">
        <f t="shared" si="68"/>
        <v>785.78293900764334</v>
      </c>
      <c r="CY117" s="60">
        <f ca="1">AVERAGE(OFFSET($CX$3,0,0,'Données projet'!$E$13+1,1))-AVERAGE(OFFSET($H$3,0,0,'Données projet'!$E$13+1,1))</f>
        <v>411.64829629901465</v>
      </c>
      <c r="CZ117" s="60">
        <f t="shared" si="96"/>
        <v>258.66864562757917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3.8</v>
      </c>
      <c r="DO117" s="13">
        <f>IF('Données projet'!$A$166&gt;35,DO116+DN117-DW116,IF(A117&lt;'Données projet'!$A$166,$DL$205^A117,IF(A117='Données projet'!$A$166,'Données projet'!$B$166,DO116+DN117-DW116)))</f>
        <v>280.2</v>
      </c>
      <c r="DP117" s="18">
        <f>DO117*VLOOKUP('Données projet'!$B$14,Paramètres!$A$1:$I$89,3,0)*VLOOKUP('Données projet'!$B$14,Paramètres!$A$1:$I$89,5,0)</f>
        <v>284.12279999999998</v>
      </c>
      <c r="DQ117" s="14">
        <f t="shared" si="97"/>
        <v>67.837532462585557</v>
      </c>
      <c r="DR117" s="22">
        <f t="shared" si="70"/>
        <v>612.99757903900309</v>
      </c>
      <c r="DS117" s="60">
        <f t="shared" si="71"/>
        <v>887.37967655842203</v>
      </c>
      <c r="DT117" s="60">
        <f ca="1">AVERAGE(OFFSET($DS$3,0,0,'Données projet'!$E$14+1,1))-AVERAGE(OFFSET($H$3,0,0,'Données projet'!$E$14+1,1))</f>
        <v>474.59791006623266</v>
      </c>
      <c r="DU117" s="60">
        <f t="shared" si="98"/>
        <v>295.01432800690293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-4.9658410716801891E-14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334.73467807584336</v>
      </c>
      <c r="EP117" s="60">
        <f t="shared" si="100"/>
        <v>463.8772059551726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1.6050418812013894</v>
      </c>
      <c r="EW117" s="23">
        <f>EXP(-LN(2)/25)*EW116+(1-EXP(-LN(2)/25))/(LN(2)/25)*Calculateur!ER117*Calculateur!ET117*VLOOKUP('Données projet'!$B$15,Paramètres!$A$1:$I$89,3,0)*0.475*44/12</f>
        <v>1.8566215576000078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3.4616634388013972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135.66666666666666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0">
        <f t="shared" si="55"/>
        <v>274.71085909217641</v>
      </c>
      <c r="S118" s="60">
        <f ca="1">AVERAGE(OFFSET($R$3,0,0,'Données projet'!$E$9+1,1))-AVERAGE(OFFSET($H$3,0,0,'Données projet'!$E$9+1,1))</f>
        <v>199.65420589615553</v>
      </c>
      <c r="T118" s="60">
        <f t="shared" si="88"/>
        <v>477.85821088970999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0">
        <f t="shared" si="59"/>
        <v>274.71085909217641</v>
      </c>
      <c r="AN118" s="60">
        <f ca="1">AVERAGE(OFFSET($AM$3,0,0,'Données projet'!$E$10+1,1))-AVERAGE(OFFSET($H$3,0,0,'Données projet'!$E$10+1,1))</f>
        <v>199.65420589615553</v>
      </c>
      <c r="AO118" s="60">
        <f t="shared" si="90"/>
        <v>477.85821088970999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1.5961632016114892E-13</v>
      </c>
      <c r="BF118" s="14">
        <f t="shared" si="91"/>
        <v>2.2708641912150958E-12</v>
      </c>
      <c r="BG118" s="22">
        <f t="shared" si="61"/>
        <v>4.2330868906469593E-12</v>
      </c>
      <c r="BH118" s="60">
        <f t="shared" si="62"/>
        <v>274.71085909217862</v>
      </c>
      <c r="BI118" s="60">
        <f ca="1">AVERAGE(OFFSET($BH$3,0,0,'Données projet'!$E$11+1,1))-AVERAGE(OFFSET($H$3,0,0,'Données projet'!$E$11+1,1))</f>
        <v>374.62597460242665</v>
      </c>
      <c r="BJ118" s="60">
        <f t="shared" si="92"/>
        <v>277.50105097454616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284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284</v>
      </c>
      <c r="BZ118" s="14">
        <f>BY118*VLOOKUP('Données projet'!$B$12,Paramètres!$A$1:$I$89,3,0)*VLOOKUP('Données projet'!$B$12,Paramètres!$A$1:$I$89,5,0)</f>
        <v>256.96320000000003</v>
      </c>
      <c r="CA118" s="14">
        <f t="shared" si="93"/>
        <v>62.074612956838024</v>
      </c>
      <c r="CB118" s="22">
        <f t="shared" si="64"/>
        <v>555.65752423315951</v>
      </c>
      <c r="CC118" s="60">
        <f t="shared" si="65"/>
        <v>830.36838332533398</v>
      </c>
      <c r="CD118" s="60">
        <f ca="1">AVERAGE(OFFSET($CC$3,0,0,'Données projet'!$E$12+1,1))-AVERAGE(OFFSET($H$3,0,0,'Données projet'!$E$12+1,1))</f>
        <v>434.56763649859136</v>
      </c>
      <c r="CE118" s="60">
        <f t="shared" si="94"/>
        <v>271.90302066766264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284</v>
      </c>
      <c r="CR118" s="13">
        <f>VLOOKUP(A118,'Données projet'!$A$139:$I$159,9,0)</f>
        <v>3.8</v>
      </c>
      <c r="CS118" s="13">
        <f t="array" ref="CS118">INDEX(CR:CR,MIN(IF(ISNUMBER(CR118:CR314),ROW(CR118:CR314),"")))</f>
        <v>3.8</v>
      </c>
      <c r="CT118" s="13">
        <f>IF('Données projet'!$A$140&gt;35,CT117+CS118-DB117,IF(A118&lt;'Données projet'!$A$140,$CQ$205^A118,IF(A118='Données projet'!$A$140,'Données projet'!$B$140,CT117+CS118-DB117)))</f>
        <v>284</v>
      </c>
      <c r="CU118" s="18">
        <f>CT118*VLOOKUP('Données projet'!$B$13,Paramètres!$A$1:$I$89,3,0)*VLOOKUP('Données projet'!$B$13,Paramètres!$A$1:$I$89,5,0)</f>
        <v>239.24160000000003</v>
      </c>
      <c r="CV118" s="14">
        <f t="shared" si="95"/>
        <v>58.276326982845887</v>
      </c>
      <c r="CW118" s="22">
        <f t="shared" si="67"/>
        <v>518.17705616178989</v>
      </c>
      <c r="CX118" s="60">
        <f t="shared" si="68"/>
        <v>792.88791525396437</v>
      </c>
      <c r="CY118" s="60">
        <f ca="1">AVERAGE(OFFSET($CX$3,0,0,'Données projet'!$E$13+1,1))-AVERAGE(OFFSET($H$3,0,0,'Données projet'!$E$13+1,1))</f>
        <v>411.64829629901465</v>
      </c>
      <c r="CZ118" s="60">
        <f t="shared" si="96"/>
        <v>258.66864562757917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18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284</v>
      </c>
      <c r="DM118" s="13">
        <f>VLOOKUP(A118,'Données projet'!$A$165:$I$185,9,0)</f>
        <v>3.8</v>
      </c>
      <c r="DN118" s="13">
        <f t="array" ref="DN118">INDEX(DM:DM,MIN(IF(ISNUMBER(DM118:DM314),ROW(DM118:DM314),"")))</f>
        <v>3.8</v>
      </c>
      <c r="DO118" s="13">
        <f>IF('Données projet'!$A$166&gt;35,DO117+DN118-DW117,IF(A118&lt;'Données projet'!$A$166,$DL$205^A118,IF(A118='Données projet'!$A$166,'Données projet'!$B$166,DO117+DN118-DW117)))</f>
        <v>284</v>
      </c>
      <c r="DP118" s="18">
        <f>DO118*VLOOKUP('Données projet'!$B$14,Paramètres!$A$1:$I$89,3,0)*VLOOKUP('Données projet'!$B$14,Paramètres!$A$1:$I$89,5,0)</f>
        <v>287.976</v>
      </c>
      <c r="DQ118" s="14">
        <f t="shared" si="97"/>
        <v>68.649801713863141</v>
      </c>
      <c r="DR118" s="22">
        <f t="shared" si="70"/>
        <v>621.12327131831159</v>
      </c>
      <c r="DS118" s="60">
        <f t="shared" si="71"/>
        <v>895.83413041048607</v>
      </c>
      <c r="DT118" s="60">
        <f ca="1">AVERAGE(OFFSET($DS$3,0,0,'Données projet'!$E$14+1,1))-AVERAGE(OFFSET($H$3,0,0,'Données projet'!$E$14+1,1))</f>
        <v>474.59791006623266</v>
      </c>
      <c r="DU118" s="60">
        <f t="shared" si="98"/>
        <v>295.01432800690293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18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-4.9658410716801891E-14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334.73467807584336</v>
      </c>
      <c r="EP118" s="60">
        <f t="shared" si="100"/>
        <v>463.8772059551726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1.5735679888899115</v>
      </c>
      <c r="EW118" s="23">
        <f>EXP(-LN(2)/25)*EW117+(1-EXP(-LN(2)/25))/(LN(2)/25)*Calculateur!ER118*Calculateur!ET118*VLOOKUP('Données projet'!$B$15,Paramètres!$A$1:$I$89,3,0)*0.475*44/12</f>
        <v>1.8058521434719512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3.3794201323618624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135.66666666666666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0">
        <f t="shared" si="55"/>
        <v>275.03391738664533</v>
      </c>
      <c r="S119" s="60">
        <f ca="1">AVERAGE(OFFSET($R$3,0,0,'Données projet'!$E$9+1,1))-AVERAGE(OFFSET($H$3,0,0,'Données projet'!$E$9+1,1))</f>
        <v>199.65420589615553</v>
      </c>
      <c r="T119" s="60">
        <f t="shared" si="88"/>
        <v>477.85821088970999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0">
        <f t="shared" si="59"/>
        <v>275.03391738664533</v>
      </c>
      <c r="AN119" s="60">
        <f ca="1">AVERAGE(OFFSET($AM$3,0,0,'Données projet'!$E$10+1,1))-AVERAGE(OFFSET($H$3,0,0,'Données projet'!$E$10+1,1))</f>
        <v>199.65420589615553</v>
      </c>
      <c r="AO119" s="60">
        <f t="shared" si="90"/>
        <v>477.85821088970999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1.5961632016114892E-13</v>
      </c>
      <c r="BF119" s="14">
        <f t="shared" si="91"/>
        <v>2.2708641912150958E-12</v>
      </c>
      <c r="BG119" s="22">
        <f t="shared" si="61"/>
        <v>4.2330868906469593E-12</v>
      </c>
      <c r="BH119" s="60">
        <f t="shared" si="62"/>
        <v>275.03391738664754</v>
      </c>
      <c r="BI119" s="60">
        <f ca="1">AVERAGE(OFFSET($BH$3,0,0,'Données projet'!$E$11+1,1))-AVERAGE(OFFSET($H$3,0,0,'Données projet'!$E$11+1,1))</f>
        <v>374.62597460242665</v>
      </c>
      <c r="BJ119" s="60">
        <f t="shared" si="92"/>
        <v>277.50105097454616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3.6</v>
      </c>
      <c r="BY119" s="13">
        <f>IF('Données projet'!$A$114&gt;35,BY118+BX119-CG118,IF(A119&lt;'Données projet'!$A$114,$BV$205^A119,IF(A119='Données projet'!$A$114,'Données projet'!$B$114,BY118+BX119-CG118)))</f>
        <v>269.60000000000002</v>
      </c>
      <c r="BZ119" s="14">
        <f>BY119*VLOOKUP('Données projet'!$B$12,Paramètres!$A$1:$I$89,3,0)*VLOOKUP('Données projet'!$B$12,Paramètres!$A$1:$I$89,5,0)</f>
        <v>243.93407999999999</v>
      </c>
      <c r="CA119" s="14">
        <f t="shared" si="93"/>
        <v>59.285164329617594</v>
      </c>
      <c r="CB119" s="22">
        <f t="shared" si="64"/>
        <v>528.10685054075066</v>
      </c>
      <c r="CC119" s="60">
        <f t="shared" si="65"/>
        <v>803.14076792739399</v>
      </c>
      <c r="CD119" s="60">
        <f ca="1">AVERAGE(OFFSET($CC$3,0,0,'Données projet'!$E$12+1,1))-AVERAGE(OFFSET($H$3,0,0,'Données projet'!$E$12+1,1))</f>
        <v>434.56763649859136</v>
      </c>
      <c r="CE119" s="60">
        <f t="shared" si="94"/>
        <v>271.90302066766264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3.6</v>
      </c>
      <c r="CT119" s="13">
        <f>IF('Données projet'!$A$140&gt;35,CT118+CS119-DB118,IF(A119&lt;'Données projet'!$A$140,$CQ$205^A119,IF(A119='Données projet'!$A$140,'Données projet'!$B$140,CT118+CS119-DB118)))</f>
        <v>269.60000000000002</v>
      </c>
      <c r="CU119" s="18">
        <f>CT119*VLOOKUP('Données projet'!$B$13,Paramètres!$A$1:$I$89,3,0)*VLOOKUP('Données projet'!$B$13,Paramètres!$A$1:$I$89,5,0)</f>
        <v>227.11104000000006</v>
      </c>
      <c r="CV119" s="14">
        <f t="shared" si="95"/>
        <v>55.657562039200094</v>
      </c>
      <c r="CW119" s="22">
        <f t="shared" si="67"/>
        <v>492.48864855160696</v>
      </c>
      <c r="CX119" s="60">
        <f t="shared" si="68"/>
        <v>767.5225659382503</v>
      </c>
      <c r="CY119" s="60">
        <f ca="1">AVERAGE(OFFSET($CX$3,0,0,'Données projet'!$E$13+1,1))-AVERAGE(OFFSET($H$3,0,0,'Données projet'!$E$13+1,1))</f>
        <v>411.64829629901465</v>
      </c>
      <c r="CZ119" s="60">
        <f t="shared" si="96"/>
        <v>258.66864562757917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3.6</v>
      </c>
      <c r="DO119" s="13">
        <f>IF('Données projet'!$A$166&gt;35,DO118+DN119-DW118,IF(A119&lt;'Données projet'!$A$166,$DL$205^A119,IF(A119='Données projet'!$A$166,'Données projet'!$B$166,DO118+DN119-DW118)))</f>
        <v>269.60000000000002</v>
      </c>
      <c r="DP119" s="18">
        <f>DO119*VLOOKUP('Données projet'!$B$14,Paramètres!$A$1:$I$89,3,0)*VLOOKUP('Données projet'!$B$14,Paramètres!$A$1:$I$89,5,0)</f>
        <v>273.37440000000004</v>
      </c>
      <c r="DQ119" s="14">
        <f t="shared" si="97"/>
        <v>65.564883644654444</v>
      </c>
      <c r="DR119" s="22">
        <f t="shared" si="70"/>
        <v>590.31925234777316</v>
      </c>
      <c r="DS119" s="60">
        <f t="shared" si="71"/>
        <v>865.3531697344165</v>
      </c>
      <c r="DT119" s="60">
        <f ca="1">AVERAGE(OFFSET($DS$3,0,0,'Données projet'!$E$14+1,1))-AVERAGE(OFFSET($H$3,0,0,'Données projet'!$E$14+1,1))</f>
        <v>474.59791006623266</v>
      </c>
      <c r="DU119" s="60">
        <f t="shared" si="98"/>
        <v>295.01432800690293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-4.9658410716801891E-14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334.73467807584336</v>
      </c>
      <c r="EP119" s="60">
        <f t="shared" si="100"/>
        <v>463.8772059551726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1.5427112804094829</v>
      </c>
      <c r="EW119" s="23">
        <f>EXP(-LN(2)/25)*EW118+(1-EXP(-LN(2)/25))/(LN(2)/25)*Calculateur!ER119*Calculateur!ET119*VLOOKUP('Données projet'!$B$15,Paramètres!$A$1:$I$89,3,0)*0.475*44/12</f>
        <v>1.7564710216430739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3.2991823020525568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135.66666666666666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0">
        <f t="shared" si="55"/>
        <v>275.35137134195526</v>
      </c>
      <c r="S120" s="60">
        <f ca="1">AVERAGE(OFFSET($R$3,0,0,'Données projet'!$E$9+1,1))-AVERAGE(OFFSET($H$3,0,0,'Données projet'!$E$9+1,1))</f>
        <v>199.65420589615553</v>
      </c>
      <c r="T120" s="60">
        <f t="shared" si="88"/>
        <v>477.85821088970999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0">
        <f t="shared" si="59"/>
        <v>275.35137134195526</v>
      </c>
      <c r="AN120" s="60">
        <f ca="1">AVERAGE(OFFSET($AM$3,0,0,'Données projet'!$E$10+1,1))-AVERAGE(OFFSET($H$3,0,0,'Données projet'!$E$10+1,1))</f>
        <v>199.65420589615553</v>
      </c>
      <c r="AO120" s="60">
        <f t="shared" si="90"/>
        <v>477.85821088970999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1.5961632016114892E-13</v>
      </c>
      <c r="BF120" s="14">
        <f t="shared" si="91"/>
        <v>2.2708641912150958E-12</v>
      </c>
      <c r="BG120" s="22">
        <f t="shared" si="61"/>
        <v>4.2330868906469593E-12</v>
      </c>
      <c r="BH120" s="60">
        <f t="shared" si="62"/>
        <v>275.35137134195747</v>
      </c>
      <c r="BI120" s="60">
        <f ca="1">AVERAGE(OFFSET($BH$3,0,0,'Données projet'!$E$11+1,1))-AVERAGE(OFFSET($H$3,0,0,'Données projet'!$E$11+1,1))</f>
        <v>374.62597460242665</v>
      </c>
      <c r="BJ120" s="60">
        <f t="shared" si="92"/>
        <v>277.50105097454616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3.6</v>
      </c>
      <c r="BY120" s="13">
        <f>IF('Données projet'!$A$114&gt;35,BY119+BX120-CG119,IF(A120&lt;'Données projet'!$A$114,$BV$205^A120,IF(A120='Données projet'!$A$114,'Données projet'!$B$114,BY119+BX120-CG119)))</f>
        <v>273.20000000000005</v>
      </c>
      <c r="BZ120" s="14">
        <f>BY120*VLOOKUP('Données projet'!$B$12,Paramètres!$A$1:$I$89,3,0)*VLOOKUP('Données projet'!$B$12,Paramètres!$A$1:$I$89,5,0)</f>
        <v>247.19136000000003</v>
      </c>
      <c r="CA120" s="14">
        <f t="shared" si="93"/>
        <v>59.984117969781565</v>
      </c>
      <c r="CB120" s="22">
        <f t="shared" si="64"/>
        <v>534.99729079736949</v>
      </c>
      <c r="CC120" s="60">
        <f t="shared" si="65"/>
        <v>810.34866213932276</v>
      </c>
      <c r="CD120" s="60">
        <f ca="1">AVERAGE(OFFSET($CC$3,0,0,'Données projet'!$E$12+1,1))-AVERAGE(OFFSET($H$3,0,0,'Données projet'!$E$12+1,1))</f>
        <v>434.56763649859136</v>
      </c>
      <c r="CE120" s="60">
        <f t="shared" si="94"/>
        <v>271.90302066766264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3.6</v>
      </c>
      <c r="CT120" s="13">
        <f>IF('Données projet'!$A$140&gt;35,CT119+CS120-DB119,IF(A120&lt;'Données projet'!$A$140,$CQ$205^A120,IF(A120='Données projet'!$A$140,'Données projet'!$B$140,CT119+CS120-DB119)))</f>
        <v>273.20000000000005</v>
      </c>
      <c r="CU120" s="18">
        <f>CT120*VLOOKUP('Données projet'!$B$13,Paramètres!$A$1:$I$89,3,0)*VLOOKUP('Données projet'!$B$13,Paramètres!$A$1:$I$89,5,0)</f>
        <v>230.14368000000007</v>
      </c>
      <c r="CV120" s="14">
        <f t="shared" si="95"/>
        <v>56.313747377131534</v>
      </c>
      <c r="CW120" s="22">
        <f t="shared" si="67"/>
        <v>498.91335268183752</v>
      </c>
      <c r="CX120" s="60">
        <f t="shared" si="68"/>
        <v>774.26472402379079</v>
      </c>
      <c r="CY120" s="60">
        <f ca="1">AVERAGE(OFFSET($CX$3,0,0,'Données projet'!$E$13+1,1))-AVERAGE(OFFSET($H$3,0,0,'Données projet'!$E$13+1,1))</f>
        <v>411.64829629901465</v>
      </c>
      <c r="CZ120" s="60">
        <f t="shared" si="96"/>
        <v>258.66864562757917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3.6</v>
      </c>
      <c r="DO120" s="13">
        <f>IF('Données projet'!$A$166&gt;35,DO119+DN120-DW119,IF(A120&lt;'Données projet'!$A$166,$DL$205^A120,IF(A120='Données projet'!$A$166,'Données projet'!$B$166,DO119+DN120-DW119)))</f>
        <v>273.20000000000005</v>
      </c>
      <c r="DP120" s="18">
        <f>DO120*VLOOKUP('Données projet'!$B$14,Paramètres!$A$1:$I$89,3,0)*VLOOKUP('Données projet'!$B$14,Paramètres!$A$1:$I$89,5,0)</f>
        <v>277.02480000000008</v>
      </c>
      <c r="DQ120" s="14">
        <f t="shared" si="97"/>
        <v>66.337873221533528</v>
      </c>
      <c r="DR120" s="22">
        <f t="shared" si="70"/>
        <v>598.02332252750432</v>
      </c>
      <c r="DS120" s="60">
        <f t="shared" si="71"/>
        <v>873.37469386945759</v>
      </c>
      <c r="DT120" s="60">
        <f ca="1">AVERAGE(OFFSET($DS$3,0,0,'Données projet'!$E$14+1,1))-AVERAGE(OFFSET($H$3,0,0,'Données projet'!$E$14+1,1))</f>
        <v>474.59791006623266</v>
      </c>
      <c r="DU120" s="60">
        <f t="shared" si="98"/>
        <v>295.01432800690293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-4.9658410716801891E-14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334.73467807584336</v>
      </c>
      <c r="EP120" s="60">
        <f t="shared" si="100"/>
        <v>463.8772059551726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1.5124596531616219</v>
      </c>
      <c r="EW120" s="23">
        <f>EXP(-LN(2)/25)*EW119+(1-EXP(-LN(2)/25))/(LN(2)/25)*Calculateur!ER120*Calculateur!ET120*VLOOKUP('Données projet'!$B$15,Paramètres!$A$1:$I$89,3,0)*0.475*44/12</f>
        <v>1.7084402291874474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3.2208998823490695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135.66666666666666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0">
        <f t="shared" si="55"/>
        <v>275.66331818086132</v>
      </c>
      <c r="S121" s="60">
        <f ca="1">AVERAGE(OFFSET($R$3,0,0,'Données projet'!$E$9+1,1))-AVERAGE(OFFSET($H$3,0,0,'Données projet'!$E$9+1,1))</f>
        <v>199.65420589615553</v>
      </c>
      <c r="T121" s="60">
        <f t="shared" si="88"/>
        <v>477.85821088970999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0">
        <f t="shared" si="59"/>
        <v>275.66331818086132</v>
      </c>
      <c r="AN121" s="60">
        <f ca="1">AVERAGE(OFFSET($AM$3,0,0,'Données projet'!$E$10+1,1))-AVERAGE(OFFSET($H$3,0,0,'Données projet'!$E$10+1,1))</f>
        <v>199.65420589615553</v>
      </c>
      <c r="AO121" s="60">
        <f t="shared" si="90"/>
        <v>477.85821088970999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1.5961632016114892E-13</v>
      </c>
      <c r="BF121" s="14">
        <f t="shared" si="91"/>
        <v>2.2708641912150958E-12</v>
      </c>
      <c r="BG121" s="22">
        <f t="shared" si="61"/>
        <v>4.2330868906469593E-12</v>
      </c>
      <c r="BH121" s="60">
        <f t="shared" si="62"/>
        <v>275.66331818086354</v>
      </c>
      <c r="BI121" s="60">
        <f ca="1">AVERAGE(OFFSET($BH$3,0,0,'Données projet'!$E$11+1,1))-AVERAGE(OFFSET($H$3,0,0,'Données projet'!$E$11+1,1))</f>
        <v>374.62597460242665</v>
      </c>
      <c r="BJ121" s="60">
        <f t="shared" si="92"/>
        <v>277.50105097454616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3.6</v>
      </c>
      <c r="BY121" s="13">
        <f>IF('Données projet'!$A$114&gt;35,BY120+BX121-CG120,IF(A121&lt;'Données projet'!$A$114,$BV$205^A121,IF(A121='Données projet'!$A$114,'Données projet'!$B$114,BY120+BX121-CG120)))</f>
        <v>276.80000000000007</v>
      </c>
      <c r="BZ121" s="14">
        <f>BY121*VLOOKUP('Données projet'!$B$12,Paramètres!$A$1:$I$89,3,0)*VLOOKUP('Données projet'!$B$12,Paramètres!$A$1:$I$89,5,0)</f>
        <v>250.44864000000007</v>
      </c>
      <c r="CA121" s="14">
        <f t="shared" si="93"/>
        <v>60.682000328890055</v>
      </c>
      <c r="CB121" s="22">
        <f t="shared" si="64"/>
        <v>541.88586523948368</v>
      </c>
      <c r="CC121" s="60">
        <f t="shared" si="65"/>
        <v>817.54918342034307</v>
      </c>
      <c r="CD121" s="60">
        <f ca="1">AVERAGE(OFFSET($CC$3,0,0,'Données projet'!$E$12+1,1))-AVERAGE(OFFSET($H$3,0,0,'Données projet'!$E$12+1,1))</f>
        <v>434.56763649859136</v>
      </c>
      <c r="CE121" s="60">
        <f t="shared" si="94"/>
        <v>271.90302066766264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3.6</v>
      </c>
      <c r="CT121" s="13">
        <f>IF('Données projet'!$A$140&gt;35,CT120+CS121-DB120,IF(A121&lt;'Données projet'!$A$140,$CQ$205^A121,IF(A121='Données projet'!$A$140,'Données projet'!$B$140,CT120+CS121-DB120)))</f>
        <v>276.80000000000007</v>
      </c>
      <c r="CU121" s="18">
        <f>CT121*VLOOKUP('Données projet'!$B$13,Paramètres!$A$1:$I$89,3,0)*VLOOKUP('Données projet'!$B$13,Paramètres!$A$1:$I$89,5,0)</f>
        <v>233.17632000000006</v>
      </c>
      <c r="CV121" s="14">
        <f t="shared" si="95"/>
        <v>56.968926984666822</v>
      </c>
      <c r="CW121" s="22">
        <f t="shared" si="67"/>
        <v>505.3363051649614</v>
      </c>
      <c r="CX121" s="60">
        <f t="shared" si="68"/>
        <v>780.99962334582074</v>
      </c>
      <c r="CY121" s="60">
        <f ca="1">AVERAGE(OFFSET($CX$3,0,0,'Données projet'!$E$13+1,1))-AVERAGE(OFFSET($H$3,0,0,'Données projet'!$E$13+1,1))</f>
        <v>411.64829629901465</v>
      </c>
      <c r="CZ121" s="60">
        <f t="shared" si="96"/>
        <v>258.66864562757917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3.6</v>
      </c>
      <c r="DO121" s="13">
        <f>IF('Données projet'!$A$166&gt;35,DO120+DN121-DW120,IF(A121&lt;'Données projet'!$A$166,$DL$205^A121,IF(A121='Données projet'!$A$166,'Données projet'!$B$166,DO120+DN121-DW120)))</f>
        <v>276.80000000000007</v>
      </c>
      <c r="DP121" s="18">
        <f>DO121*VLOOKUP('Données projet'!$B$14,Paramètres!$A$1:$I$89,3,0)*VLOOKUP('Données projet'!$B$14,Paramètres!$A$1:$I$89,5,0)</f>
        <v>280.67520000000007</v>
      </c>
      <c r="DQ121" s="14">
        <f t="shared" si="97"/>
        <v>67.109678043026491</v>
      </c>
      <c r="DR121" s="22">
        <f t="shared" si="70"/>
        <v>605.72532925827124</v>
      </c>
      <c r="DS121" s="60">
        <f t="shared" si="71"/>
        <v>881.38864743913064</v>
      </c>
      <c r="DT121" s="60">
        <f ca="1">AVERAGE(OFFSET($DS$3,0,0,'Données projet'!$E$14+1,1))-AVERAGE(OFFSET($H$3,0,0,'Données projet'!$E$14+1,1))</f>
        <v>474.59791006623266</v>
      </c>
      <c r="DU121" s="60">
        <f t="shared" si="98"/>
        <v>295.01432800690293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-4.9658410716801891E-14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334.73467807584336</v>
      </c>
      <c r="EP121" s="60">
        <f t="shared" si="100"/>
        <v>463.8772059551726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1.4828012418724208</v>
      </c>
      <c r="EW121" s="23">
        <f>EXP(-LN(2)/25)*EW120+(1-EXP(-LN(2)/25))/(LN(2)/25)*Calculateur!ER121*Calculateur!ET121*VLOOKUP('Données projet'!$B$15,Paramètres!$A$1:$I$89,3,0)*0.475*44/12</f>
        <v>1.6617228412773497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3.1445240831497703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135.66666666666666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0">
        <f t="shared" si="55"/>
        <v>275.96985343952099</v>
      </c>
      <c r="S122" s="60">
        <f ca="1">AVERAGE(OFFSET($R$3,0,0,'Données projet'!$E$9+1,1))-AVERAGE(OFFSET($H$3,0,0,'Données projet'!$E$9+1,1))</f>
        <v>199.65420589615553</v>
      </c>
      <c r="T122" s="60">
        <f t="shared" si="88"/>
        <v>477.85821088970999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0">
        <f t="shared" si="59"/>
        <v>275.96985343952099</v>
      </c>
      <c r="AN122" s="60">
        <f ca="1">AVERAGE(OFFSET($AM$3,0,0,'Données projet'!$E$10+1,1))-AVERAGE(OFFSET($H$3,0,0,'Données projet'!$E$10+1,1))</f>
        <v>199.65420589615553</v>
      </c>
      <c r="AO122" s="60">
        <f t="shared" si="90"/>
        <v>477.85821088970999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1.5961632016114892E-13</v>
      </c>
      <c r="BF122" s="14">
        <f t="shared" si="91"/>
        <v>2.2708641912150958E-12</v>
      </c>
      <c r="BG122" s="22">
        <f t="shared" si="61"/>
        <v>4.2330868906469593E-12</v>
      </c>
      <c r="BH122" s="60">
        <f t="shared" si="62"/>
        <v>275.96985343952321</v>
      </c>
      <c r="BI122" s="60">
        <f ca="1">AVERAGE(OFFSET($BH$3,0,0,'Données projet'!$E$11+1,1))-AVERAGE(OFFSET($H$3,0,0,'Données projet'!$E$11+1,1))</f>
        <v>374.62597460242665</v>
      </c>
      <c r="BJ122" s="60">
        <f t="shared" si="92"/>
        <v>277.50105097454616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3.6</v>
      </c>
      <c r="BY122" s="13">
        <f>IF('Données projet'!$A$114&gt;35,BY121+BX122-CG121,IF(A122&lt;'Données projet'!$A$114,$BV$205^A122,IF(A122='Données projet'!$A$114,'Données projet'!$B$114,BY121+BX122-CG121)))</f>
        <v>280.40000000000009</v>
      </c>
      <c r="BZ122" s="14">
        <f>BY122*VLOOKUP('Données projet'!$B$12,Paramètres!$A$1:$I$89,3,0)*VLOOKUP('Données projet'!$B$12,Paramètres!$A$1:$I$89,5,0)</f>
        <v>253.70592000000005</v>
      </c>
      <c r="CA122" s="14">
        <f t="shared" si="93"/>
        <v>61.378826950685919</v>
      </c>
      <c r="CB122" s="22">
        <f t="shared" si="64"/>
        <v>548.77260093911138</v>
      </c>
      <c r="CC122" s="60">
        <f t="shared" si="65"/>
        <v>824.74245437863033</v>
      </c>
      <c r="CD122" s="60">
        <f ca="1">AVERAGE(OFFSET($CC$3,0,0,'Données projet'!$E$12+1,1))-AVERAGE(OFFSET($H$3,0,0,'Données projet'!$E$12+1,1))</f>
        <v>434.56763649859136</v>
      </c>
      <c r="CE122" s="60">
        <f t="shared" si="94"/>
        <v>271.90302066766264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3.6</v>
      </c>
      <c r="CT122" s="13">
        <f>IF('Données projet'!$A$140&gt;35,CT121+CS122-DB121,IF(A122&lt;'Données projet'!$A$140,$CQ$205^A122,IF(A122='Données projet'!$A$140,'Données projet'!$B$140,CT121+CS122-DB121)))</f>
        <v>280.40000000000009</v>
      </c>
      <c r="CU122" s="18">
        <f>CT122*VLOOKUP('Données projet'!$B$13,Paramètres!$A$1:$I$89,3,0)*VLOOKUP('Données projet'!$B$13,Paramètres!$A$1:$I$89,5,0)</f>
        <v>236.2089600000001</v>
      </c>
      <c r="CV122" s="14">
        <f t="shared" si="95"/>
        <v>57.623115454442122</v>
      </c>
      <c r="CW122" s="22">
        <f t="shared" si="67"/>
        <v>511.75753141648687</v>
      </c>
      <c r="CX122" s="60">
        <f t="shared" si="68"/>
        <v>787.72738485600587</v>
      </c>
      <c r="CY122" s="60">
        <f ca="1">AVERAGE(OFFSET($CX$3,0,0,'Données projet'!$E$13+1,1))-AVERAGE(OFFSET($H$3,0,0,'Données projet'!$E$13+1,1))</f>
        <v>411.64829629901465</v>
      </c>
      <c r="CZ122" s="60">
        <f t="shared" si="96"/>
        <v>258.66864562757917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3.6</v>
      </c>
      <c r="DO122" s="13">
        <f>IF('Données projet'!$A$166&gt;35,DO121+DN122-DW121,IF(A122&lt;'Données projet'!$A$166,$DL$205^A122,IF(A122='Données projet'!$A$166,'Données projet'!$B$166,DO121+DN122-DW121)))</f>
        <v>280.40000000000009</v>
      </c>
      <c r="DP122" s="18">
        <f>DO122*VLOOKUP('Données projet'!$B$14,Paramètres!$A$1:$I$89,3,0)*VLOOKUP('Données projet'!$B$14,Paramètres!$A$1:$I$89,5,0)</f>
        <v>284.32560000000012</v>
      </c>
      <c r="DQ122" s="14">
        <f t="shared" si="97"/>
        <v>67.880315299331201</v>
      </c>
      <c r="DR122" s="22">
        <f t="shared" si="70"/>
        <v>613.42530247966863</v>
      </c>
      <c r="DS122" s="60">
        <f t="shared" si="71"/>
        <v>889.39515591918757</v>
      </c>
      <c r="DT122" s="60">
        <f ca="1">AVERAGE(OFFSET($DS$3,0,0,'Données projet'!$E$14+1,1))-AVERAGE(OFFSET($H$3,0,0,'Données projet'!$E$14+1,1))</f>
        <v>474.59791006623266</v>
      </c>
      <c r="DU122" s="60">
        <f t="shared" si="98"/>
        <v>295.01432800690293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-4.9658410716801891E-14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334.73467807584336</v>
      </c>
      <c r="EP122" s="60">
        <f t="shared" si="100"/>
        <v>463.8772059551726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1.4537244139387562</v>
      </c>
      <c r="EW122" s="23">
        <f>EXP(-LN(2)/25)*EW121+(1-EXP(-LN(2)/25))/(LN(2)/25)*Calculateur!ER122*Calculateur!ET122*VLOOKUP('Données projet'!$B$15,Paramètres!$A$1:$I$89,3,0)*0.475*44/12</f>
        <v>1.6162829427964143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3.0700073567351707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135.66666666666666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0">
        <f t="shared" si="55"/>
        <v>276.27107099675317</v>
      </c>
      <c r="S123" s="60">
        <f ca="1">AVERAGE(OFFSET($R$3,0,0,'Données projet'!$E$9+1,1))-AVERAGE(OFFSET($H$3,0,0,'Données projet'!$E$9+1,1))</f>
        <v>199.65420589615553</v>
      </c>
      <c r="T123" s="60">
        <f t="shared" si="88"/>
        <v>477.85821088970999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0">
        <f t="shared" si="59"/>
        <v>276.27107099675317</v>
      </c>
      <c r="AN123" s="60">
        <f ca="1">AVERAGE(OFFSET($AM$3,0,0,'Données projet'!$E$10+1,1))-AVERAGE(OFFSET($H$3,0,0,'Données projet'!$E$10+1,1))</f>
        <v>199.65420589615553</v>
      </c>
      <c r="AO123" s="60">
        <f t="shared" si="90"/>
        <v>477.85821088970999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1.5961632016114892E-13</v>
      </c>
      <c r="BF123" s="14">
        <f t="shared" si="91"/>
        <v>2.2708641912150958E-12</v>
      </c>
      <c r="BG123" s="22">
        <f t="shared" si="61"/>
        <v>4.2330868906469593E-12</v>
      </c>
      <c r="BH123" s="60">
        <f t="shared" si="62"/>
        <v>276.27107099675538</v>
      </c>
      <c r="BI123" s="60">
        <f ca="1">AVERAGE(OFFSET($BH$3,0,0,'Données projet'!$E$11+1,1))-AVERAGE(OFFSET($H$3,0,0,'Données projet'!$E$11+1,1))</f>
        <v>374.62597460242665</v>
      </c>
      <c r="BJ123" s="60">
        <f t="shared" si="92"/>
        <v>277.50105097454616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284</v>
      </c>
      <c r="BW123" s="13">
        <f>VLOOKUP(A123,'Données projet'!$A$113:$I$133,9,0)</f>
        <v>3.6</v>
      </c>
      <c r="BX123" s="13">
        <f t="array" ref="BX123">INDEX(BW:BW,MIN(IF(ISNUMBER(BW123:BW319),ROW(BW123:BW319),"")))</f>
        <v>3.6</v>
      </c>
      <c r="BY123" s="13">
        <f>IF('Données projet'!$A$114&gt;35,BY122+BX123-CG122,IF(A123&lt;'Données projet'!$A$114,$BV$205^A123,IF(A123='Données projet'!$A$114,'Données projet'!$B$114,BY122+BX123-CG122)))</f>
        <v>284.00000000000011</v>
      </c>
      <c r="BZ123" s="14">
        <f>BY123*VLOOKUP('Données projet'!$B$12,Paramètres!$A$1:$I$89,3,0)*VLOOKUP('Données projet'!$B$12,Paramètres!$A$1:$I$89,5,0)</f>
        <v>256.96320000000009</v>
      </c>
      <c r="CA123" s="14">
        <f t="shared" si="93"/>
        <v>62.074612956838024</v>
      </c>
      <c r="CB123" s="22">
        <f t="shared" si="64"/>
        <v>555.65752423315973</v>
      </c>
      <c r="CC123" s="60">
        <f t="shared" si="65"/>
        <v>831.92859522991091</v>
      </c>
      <c r="CD123" s="60">
        <f ca="1">AVERAGE(OFFSET($CC$3,0,0,'Données projet'!$E$12+1,1))-AVERAGE(OFFSET($H$3,0,0,'Données projet'!$E$12+1,1))</f>
        <v>434.56763649859136</v>
      </c>
      <c r="CE123" s="60">
        <f t="shared" si="94"/>
        <v>271.90302066766264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284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284</v>
      </c>
      <c r="CR123" s="13">
        <f>VLOOKUP(A123,'Données projet'!$A$139:$I$159,9,0)</f>
        <v>3.6</v>
      </c>
      <c r="CS123" s="13">
        <f t="array" ref="CS123">INDEX(CR:CR,MIN(IF(ISNUMBER(CR123:CR319),ROW(CR123:CR319),"")))</f>
        <v>3.6</v>
      </c>
      <c r="CT123" s="13">
        <f>IF('Données projet'!$A$140&gt;35,CT122+CS123-DB122,IF(A123&lt;'Données projet'!$A$140,$CQ$205^A123,IF(A123='Données projet'!$A$140,'Données projet'!$B$140,CT122+CS123-DB122)))</f>
        <v>284.00000000000011</v>
      </c>
      <c r="CU123" s="18">
        <f>CT123*VLOOKUP('Données projet'!$B$13,Paramètres!$A$1:$I$89,3,0)*VLOOKUP('Données projet'!$B$13,Paramètres!$A$1:$I$89,5,0)</f>
        <v>239.24160000000012</v>
      </c>
      <c r="CV123" s="14">
        <f t="shared" si="95"/>
        <v>58.276326982845887</v>
      </c>
      <c r="CW123" s="22">
        <f t="shared" si="67"/>
        <v>518.17705616179012</v>
      </c>
      <c r="CX123" s="60">
        <f t="shared" si="68"/>
        <v>794.4481271585413</v>
      </c>
      <c r="CY123" s="60">
        <f ca="1">AVERAGE(OFFSET($CX$3,0,0,'Données projet'!$E$13+1,1))-AVERAGE(OFFSET($H$3,0,0,'Données projet'!$E$13+1,1))</f>
        <v>411.64829629901465</v>
      </c>
      <c r="CZ123" s="60">
        <f t="shared" si="96"/>
        <v>258.66864562757917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284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284</v>
      </c>
      <c r="DM123" s="13">
        <f>VLOOKUP(A123,'Données projet'!$A$165:$I$185,9,0)</f>
        <v>3.6</v>
      </c>
      <c r="DN123" s="13">
        <f t="array" ref="DN123">INDEX(DM:DM,MIN(IF(ISNUMBER(DM123:DM319),ROW(DM123:DM319),"")))</f>
        <v>3.6</v>
      </c>
      <c r="DO123" s="13">
        <f>IF('Données projet'!$A$166&gt;35,DO122+DN123-DW122,IF(A123&lt;'Données projet'!$A$166,$DL$205^A123,IF(A123='Données projet'!$A$166,'Données projet'!$B$166,DO122+DN123-DW122)))</f>
        <v>284.00000000000011</v>
      </c>
      <c r="DP123" s="18">
        <f>DO123*VLOOKUP('Données projet'!$B$14,Paramètres!$A$1:$I$89,3,0)*VLOOKUP('Données projet'!$B$14,Paramètres!$A$1:$I$89,5,0)</f>
        <v>287.97600000000011</v>
      </c>
      <c r="DQ123" s="14">
        <f t="shared" si="97"/>
        <v>68.649801713863141</v>
      </c>
      <c r="DR123" s="22">
        <f t="shared" si="70"/>
        <v>621.12327131831182</v>
      </c>
      <c r="DS123" s="60">
        <f t="shared" si="71"/>
        <v>897.394342315063</v>
      </c>
      <c r="DT123" s="60">
        <f ca="1">AVERAGE(OFFSET($DS$3,0,0,'Données projet'!$E$14+1,1))-AVERAGE(OFFSET($H$3,0,0,'Données projet'!$E$14+1,1))</f>
        <v>474.59791006623266</v>
      </c>
      <c r="DU123" s="60">
        <f t="shared" si="98"/>
        <v>295.01432800690293</v>
      </c>
      <c r="DV123" s="16">
        <f>IF(ISNA(VLOOKUP(A123,'Données projet'!$A$165:$I$185,3,0)),0,VLOOKUP(A123,'Données projet'!$A$165:$I$185,3,0))</f>
        <v>20</v>
      </c>
      <c r="DW123" s="16">
        <f>IF(ISNA(VLOOKUP(A123,'Données projet'!$A$165:$I$185,4,0)),0,VLOOKUP(A123,'Données projet'!$A$165:$I$185,4,0))</f>
        <v>284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-4.9658410716801891E-14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334.73467807584336</v>
      </c>
      <c r="EP123" s="60">
        <f t="shared" si="100"/>
        <v>463.8772059551726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1.4252177648657569</v>
      </c>
      <c r="EW123" s="23">
        <f>EXP(-LN(2)/25)*EW122+(1-EXP(-LN(2)/25))/(LN(2)/25)*Calculateur!ER123*Calculateur!ET123*VLOOKUP('Données projet'!$B$15,Paramètres!$A$1:$I$89,3,0)*0.475*44/12</f>
        <v>1.5720856007290205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2.9973033655947772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135.66666666666666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0">
        <f t="shared" si="55"/>
        <v>276.56706310278889</v>
      </c>
      <c r="S124" s="60">
        <f ca="1">AVERAGE(OFFSET($R$3,0,0,'Données projet'!$E$9+1,1))-AVERAGE(OFFSET($H$3,0,0,'Données projet'!$E$9+1,1))</f>
        <v>199.65420589615553</v>
      </c>
      <c r="T124" s="60">
        <f t="shared" si="88"/>
        <v>477.85821088970999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0">
        <f t="shared" si="59"/>
        <v>276.56706310278889</v>
      </c>
      <c r="AN124" s="60">
        <f ca="1">AVERAGE(OFFSET($AM$3,0,0,'Données projet'!$E$10+1,1))-AVERAGE(OFFSET($H$3,0,0,'Données projet'!$E$10+1,1))</f>
        <v>199.65420589615553</v>
      </c>
      <c r="AO124" s="60">
        <f t="shared" si="90"/>
        <v>477.85821088970999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1.5961632016114892E-13</v>
      </c>
      <c r="BF124" s="14">
        <f t="shared" si="91"/>
        <v>2.2708641912150958E-12</v>
      </c>
      <c r="BG124" s="22">
        <f t="shared" si="61"/>
        <v>4.2330868906469593E-12</v>
      </c>
      <c r="BH124" s="60">
        <f t="shared" si="62"/>
        <v>276.56706310279111</v>
      </c>
      <c r="BI124" s="60">
        <f ca="1">AVERAGE(OFFSET($BH$3,0,0,'Données projet'!$E$11+1,1))-AVERAGE(OFFSET($H$3,0,0,'Données projet'!$E$11+1,1))</f>
        <v>374.62597460242665</v>
      </c>
      <c r="BJ124" s="60">
        <f t="shared" si="92"/>
        <v>277.50105097454616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1.0286385077051818E-13</v>
      </c>
      <c r="CA124" s="14">
        <f t="shared" si="93"/>
        <v>1.5402366592183556E-12</v>
      </c>
      <c r="CB124" s="22">
        <f t="shared" si="64"/>
        <v>2.8617333882306215E-12</v>
      </c>
      <c r="CC124" s="60">
        <f t="shared" si="65"/>
        <v>276.56706310278975</v>
      </c>
      <c r="CD124" s="60">
        <f ca="1">AVERAGE(OFFSET($CC$3,0,0,'Données projet'!$E$12+1,1))-AVERAGE(OFFSET($H$3,0,0,'Données projet'!$E$12+1,1))</f>
        <v>434.56763649859136</v>
      </c>
      <c r="CE124" s="60">
        <f t="shared" si="94"/>
        <v>271.90302066766264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9.5769792096689348E-14</v>
      </c>
      <c r="CV124" s="14">
        <f t="shared" si="95"/>
        <v>1.4459910566979609E-12</v>
      </c>
      <c r="CW124" s="22">
        <f t="shared" si="67"/>
        <v>2.6852334783173491E-12</v>
      </c>
      <c r="CX124" s="60">
        <f t="shared" si="68"/>
        <v>276.56706310278958</v>
      </c>
      <c r="CY124" s="60">
        <f ca="1">AVERAGE(OFFSET($CX$3,0,0,'Données projet'!$E$13+1,1))-AVERAGE(OFFSET($H$3,0,0,'Données projet'!$E$13+1,1))</f>
        <v>411.64829629901465</v>
      </c>
      <c r="CZ124" s="60">
        <f t="shared" si="96"/>
        <v>258.66864562757917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1.1527845344971866E-13</v>
      </c>
      <c r="DQ124" s="14">
        <f t="shared" si="97"/>
        <v>1.7033846239409443E-12</v>
      </c>
      <c r="DR124" s="22">
        <f t="shared" si="70"/>
        <v>3.1675048597887374E-12</v>
      </c>
      <c r="DS124" s="60">
        <f t="shared" si="71"/>
        <v>276.56706310279009</v>
      </c>
      <c r="DT124" s="60">
        <f ca="1">AVERAGE(OFFSET($DS$3,0,0,'Données projet'!$E$14+1,1))-AVERAGE(OFFSET($H$3,0,0,'Données projet'!$E$14+1,1))</f>
        <v>474.59791006623266</v>
      </c>
      <c r="DU124" s="60">
        <f t="shared" si="98"/>
        <v>295.01432800690293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-4.9658410716801891E-14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334.73467807584336</v>
      </c>
      <c r="EP124" s="60">
        <f t="shared" si="100"/>
        <v>463.8772059551726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1.39727011379374</v>
      </c>
      <c r="EW124" s="23">
        <f>EXP(-LN(2)/25)*EW123+(1-EXP(-LN(2)/25))/(LN(2)/25)*Calculateur!ER124*Calculateur!ET124*VLOOKUP('Données projet'!$B$15,Paramètres!$A$1:$I$89,3,0)*0.475*44/12</f>
        <v>1.5290968373046967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2.9263669510984367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135.66666666666666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0">
        <f t="shared" si="55"/>
        <v>276.85792040752415</v>
      </c>
      <c r="S125" s="60">
        <f ca="1">AVERAGE(OFFSET($R$3,0,0,'Données projet'!$E$9+1,1))-AVERAGE(OFFSET($H$3,0,0,'Données projet'!$E$9+1,1))</f>
        <v>199.65420589615553</v>
      </c>
      <c r="T125" s="60">
        <f t="shared" si="88"/>
        <v>477.85821088970999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0">
        <f t="shared" si="59"/>
        <v>276.85792040752415</v>
      </c>
      <c r="AN125" s="60">
        <f ca="1">AVERAGE(OFFSET($AM$3,0,0,'Données projet'!$E$10+1,1))-AVERAGE(OFFSET($H$3,0,0,'Données projet'!$E$10+1,1))</f>
        <v>199.65420589615553</v>
      </c>
      <c r="AO125" s="60">
        <f t="shared" si="90"/>
        <v>477.85821088970999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1.5961632016114892E-13</v>
      </c>
      <c r="BF125" s="14">
        <f t="shared" si="91"/>
        <v>2.2708641912150958E-12</v>
      </c>
      <c r="BG125" s="22">
        <f t="shared" si="61"/>
        <v>4.2330868906469593E-12</v>
      </c>
      <c r="BH125" s="60">
        <f t="shared" si="62"/>
        <v>276.85792040752636</v>
      </c>
      <c r="BI125" s="60">
        <f ca="1">AVERAGE(OFFSET($BH$3,0,0,'Données projet'!$E$11+1,1))-AVERAGE(OFFSET($H$3,0,0,'Données projet'!$E$11+1,1))</f>
        <v>374.62597460242665</v>
      </c>
      <c r="BJ125" s="60">
        <f t="shared" si="92"/>
        <v>277.50105097454616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1.0286385077051818E-13</v>
      </c>
      <c r="CA125" s="14">
        <f t="shared" si="93"/>
        <v>1.5402366592183556E-12</v>
      </c>
      <c r="CB125" s="22">
        <f t="shared" si="64"/>
        <v>2.8617333882306215E-12</v>
      </c>
      <c r="CC125" s="60">
        <f t="shared" si="65"/>
        <v>276.857920407525</v>
      </c>
      <c r="CD125" s="60">
        <f ca="1">AVERAGE(OFFSET($CC$3,0,0,'Données projet'!$E$12+1,1))-AVERAGE(OFFSET($H$3,0,0,'Données projet'!$E$12+1,1))</f>
        <v>434.56763649859136</v>
      </c>
      <c r="CE125" s="60">
        <f t="shared" si="94"/>
        <v>271.90302066766264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9.5769792096689348E-14</v>
      </c>
      <c r="CV125" s="14">
        <f t="shared" si="95"/>
        <v>1.4459910566979609E-12</v>
      </c>
      <c r="CW125" s="22">
        <f t="shared" si="67"/>
        <v>2.6852334783173491E-12</v>
      </c>
      <c r="CX125" s="60">
        <f t="shared" si="68"/>
        <v>276.85792040752483</v>
      </c>
      <c r="CY125" s="60">
        <f ca="1">AVERAGE(OFFSET($CX$3,0,0,'Données projet'!$E$13+1,1))-AVERAGE(OFFSET($H$3,0,0,'Données projet'!$E$13+1,1))</f>
        <v>411.64829629901465</v>
      </c>
      <c r="CZ125" s="60">
        <f t="shared" si="96"/>
        <v>258.66864562757917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1.1527845344971866E-13</v>
      </c>
      <c r="DQ125" s="14">
        <f t="shared" si="97"/>
        <v>1.7033846239409443E-12</v>
      </c>
      <c r="DR125" s="22">
        <f t="shared" si="70"/>
        <v>3.1675048597887374E-12</v>
      </c>
      <c r="DS125" s="60">
        <f t="shared" si="71"/>
        <v>276.85792040752534</v>
      </c>
      <c r="DT125" s="60">
        <f ca="1">AVERAGE(OFFSET($DS$3,0,0,'Données projet'!$E$14+1,1))-AVERAGE(OFFSET($H$3,0,0,'Données projet'!$E$14+1,1))</f>
        <v>474.59791006623266</v>
      </c>
      <c r="DU125" s="60">
        <f t="shared" si="98"/>
        <v>295.01432800690293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-4.9658410716801891E-14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334.73467807584336</v>
      </c>
      <c r="EP125" s="60">
        <f t="shared" si="100"/>
        <v>463.8772059551726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1.3698704991128614</v>
      </c>
      <c r="EW125" s="23">
        <f>EXP(-LN(2)/25)*EW124+(1-EXP(-LN(2)/25))/(LN(2)/25)*Calculateur!ER125*Calculateur!ET125*VLOOKUP('Données projet'!$B$15,Paramètres!$A$1:$I$89,3,0)*0.475*44/12</f>
        <v>1.487283603876892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2.8571541029897531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135.66666666666666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0">
        <f t="shared" si="55"/>
        <v>277.14373198828173</v>
      </c>
      <c r="S126" s="60">
        <f ca="1">AVERAGE(OFFSET($R$3,0,0,'Données projet'!$E$9+1,1))-AVERAGE(OFFSET($H$3,0,0,'Données projet'!$E$9+1,1))</f>
        <v>199.65420589615553</v>
      </c>
      <c r="T126" s="60">
        <f t="shared" si="88"/>
        <v>477.85821088970999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0">
        <f t="shared" si="59"/>
        <v>277.14373198828173</v>
      </c>
      <c r="AN126" s="60">
        <f ca="1">AVERAGE(OFFSET($AM$3,0,0,'Données projet'!$E$10+1,1))-AVERAGE(OFFSET($H$3,0,0,'Données projet'!$E$10+1,1))</f>
        <v>199.65420589615553</v>
      </c>
      <c r="AO126" s="60">
        <f t="shared" si="90"/>
        <v>477.85821088970999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1.5961632016114892E-13</v>
      </c>
      <c r="BF126" s="14">
        <f t="shared" si="91"/>
        <v>2.2708641912150958E-12</v>
      </c>
      <c r="BG126" s="22">
        <f t="shared" si="61"/>
        <v>4.2330868906469593E-12</v>
      </c>
      <c r="BH126" s="60">
        <f t="shared" si="62"/>
        <v>277.14373198828395</v>
      </c>
      <c r="BI126" s="60">
        <f ca="1">AVERAGE(OFFSET($BH$3,0,0,'Données projet'!$E$11+1,1))-AVERAGE(OFFSET($H$3,0,0,'Données projet'!$E$11+1,1))</f>
        <v>374.62597460242665</v>
      </c>
      <c r="BJ126" s="60">
        <f t="shared" si="92"/>
        <v>277.50105097454616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1.0286385077051818E-13</v>
      </c>
      <c r="CA126" s="14">
        <f t="shared" si="93"/>
        <v>1.5402366592183556E-12</v>
      </c>
      <c r="CB126" s="22">
        <f t="shared" si="64"/>
        <v>2.8617333882306215E-12</v>
      </c>
      <c r="CC126" s="60">
        <f t="shared" si="65"/>
        <v>277.14373198828258</v>
      </c>
      <c r="CD126" s="60">
        <f ca="1">AVERAGE(OFFSET($CC$3,0,0,'Données projet'!$E$12+1,1))-AVERAGE(OFFSET($H$3,0,0,'Données projet'!$E$12+1,1))</f>
        <v>434.56763649859136</v>
      </c>
      <c r="CE126" s="60">
        <f t="shared" si="94"/>
        <v>271.90302066766264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9.5769792096689348E-14</v>
      </c>
      <c r="CV126" s="14">
        <f t="shared" si="95"/>
        <v>1.4459910566979609E-12</v>
      </c>
      <c r="CW126" s="22">
        <f t="shared" si="67"/>
        <v>2.6852334783173491E-12</v>
      </c>
      <c r="CX126" s="60">
        <f t="shared" si="68"/>
        <v>277.14373198828241</v>
      </c>
      <c r="CY126" s="60">
        <f ca="1">AVERAGE(OFFSET($CX$3,0,0,'Données projet'!$E$13+1,1))-AVERAGE(OFFSET($H$3,0,0,'Données projet'!$E$13+1,1))</f>
        <v>411.64829629901465</v>
      </c>
      <c r="CZ126" s="60">
        <f t="shared" si="96"/>
        <v>258.66864562757917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1.1527845344971866E-13</v>
      </c>
      <c r="DQ126" s="14">
        <f t="shared" si="97"/>
        <v>1.7033846239409443E-12</v>
      </c>
      <c r="DR126" s="22">
        <f t="shared" si="70"/>
        <v>3.1675048597887374E-12</v>
      </c>
      <c r="DS126" s="60">
        <f t="shared" si="71"/>
        <v>277.14373198828292</v>
      </c>
      <c r="DT126" s="60">
        <f ca="1">AVERAGE(OFFSET($DS$3,0,0,'Données projet'!$E$14+1,1))-AVERAGE(OFFSET($H$3,0,0,'Données projet'!$E$14+1,1))</f>
        <v>474.59791006623266</v>
      </c>
      <c r="DU126" s="60">
        <f t="shared" si="98"/>
        <v>295.01432800690293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-4.9658410716801891E-14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334.73467807584336</v>
      </c>
      <c r="EP126" s="60">
        <f t="shared" si="100"/>
        <v>463.8772059551726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1.3430081741637601</v>
      </c>
      <c r="EW126" s="23">
        <f>EXP(-LN(2)/25)*EW125+(1-EXP(-LN(2)/25))/(LN(2)/25)*Calculateur!ER126*Calculateur!ET126*VLOOKUP('Données projet'!$B$15,Paramètres!$A$1:$I$89,3,0)*0.475*44/12</f>
        <v>1.4466137555160328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2.7896219296797931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135.66666666666666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0">
        <f t="shared" si="55"/>
        <v>277.42458537709211</v>
      </c>
      <c r="S127" s="60">
        <f ca="1">AVERAGE(OFFSET($R$3,0,0,'Données projet'!$E$9+1,1))-AVERAGE(OFFSET($H$3,0,0,'Données projet'!$E$9+1,1))</f>
        <v>199.65420589615553</v>
      </c>
      <c r="T127" s="60">
        <f t="shared" si="88"/>
        <v>477.85821088970999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0">
        <f t="shared" si="59"/>
        <v>277.42458537709211</v>
      </c>
      <c r="AN127" s="60">
        <f ca="1">AVERAGE(OFFSET($AM$3,0,0,'Données projet'!$E$10+1,1))-AVERAGE(OFFSET($H$3,0,0,'Données projet'!$E$10+1,1))</f>
        <v>199.65420589615553</v>
      </c>
      <c r="AO127" s="60">
        <f t="shared" si="90"/>
        <v>477.85821088970999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1.5961632016114892E-13</v>
      </c>
      <c r="BF127" s="14">
        <f t="shared" si="91"/>
        <v>2.2708641912150958E-12</v>
      </c>
      <c r="BG127" s="22">
        <f t="shared" si="61"/>
        <v>4.2330868906469593E-12</v>
      </c>
      <c r="BH127" s="60">
        <f t="shared" si="62"/>
        <v>277.42458537709433</v>
      </c>
      <c r="BI127" s="60">
        <f ca="1">AVERAGE(OFFSET($BH$3,0,0,'Données projet'!$E$11+1,1))-AVERAGE(OFFSET($H$3,0,0,'Données projet'!$E$11+1,1))</f>
        <v>374.62597460242665</v>
      </c>
      <c r="BJ127" s="60">
        <f t="shared" si="92"/>
        <v>277.50105097454616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1.0286385077051818E-13</v>
      </c>
      <c r="CA127" s="14">
        <f t="shared" si="93"/>
        <v>1.5402366592183556E-12</v>
      </c>
      <c r="CB127" s="22">
        <f t="shared" si="64"/>
        <v>2.8617333882306215E-12</v>
      </c>
      <c r="CC127" s="60">
        <f t="shared" si="65"/>
        <v>277.42458537709297</v>
      </c>
      <c r="CD127" s="60">
        <f ca="1">AVERAGE(OFFSET($CC$3,0,0,'Données projet'!$E$12+1,1))-AVERAGE(OFFSET($H$3,0,0,'Données projet'!$E$12+1,1))</f>
        <v>434.56763649859136</v>
      </c>
      <c r="CE127" s="60">
        <f t="shared" si="94"/>
        <v>271.90302066766264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9.5769792096689348E-14</v>
      </c>
      <c r="CV127" s="14">
        <f t="shared" si="95"/>
        <v>1.4459910566979609E-12</v>
      </c>
      <c r="CW127" s="22">
        <f t="shared" si="67"/>
        <v>2.6852334783173491E-12</v>
      </c>
      <c r="CX127" s="60">
        <f t="shared" si="68"/>
        <v>277.4245853770928</v>
      </c>
      <c r="CY127" s="60">
        <f ca="1">AVERAGE(OFFSET($CX$3,0,0,'Données projet'!$E$13+1,1))-AVERAGE(OFFSET($H$3,0,0,'Données projet'!$E$13+1,1))</f>
        <v>411.64829629901465</v>
      </c>
      <c r="CZ127" s="60">
        <f t="shared" si="96"/>
        <v>258.66864562757917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1.1527845344971866E-13</v>
      </c>
      <c r="DQ127" s="14">
        <f t="shared" si="97"/>
        <v>1.7033846239409443E-12</v>
      </c>
      <c r="DR127" s="22">
        <f t="shared" si="70"/>
        <v>3.1675048597887374E-12</v>
      </c>
      <c r="DS127" s="60">
        <f t="shared" si="71"/>
        <v>277.42458537709331</v>
      </c>
      <c r="DT127" s="60">
        <f ca="1">AVERAGE(OFFSET($DS$3,0,0,'Données projet'!$E$14+1,1))-AVERAGE(OFFSET($H$3,0,0,'Données projet'!$E$14+1,1))</f>
        <v>474.59791006623266</v>
      </c>
      <c r="DU127" s="60">
        <f t="shared" si="98"/>
        <v>295.01432800690293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-4.9658410716801891E-14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334.73467807584336</v>
      </c>
      <c r="EP127" s="60">
        <f t="shared" si="100"/>
        <v>463.8772059551726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1.3166726030225102</v>
      </c>
      <c r="EW127" s="23">
        <f>EXP(-LN(2)/25)*EW126+(1-EXP(-LN(2)/25))/(LN(2)/25)*Calculateur!ER127*Calculateur!ET127*VLOOKUP('Données projet'!$B$15,Paramètres!$A$1:$I$89,3,0)*0.475*44/12</f>
        <v>1.4070560262973357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2.7237286293198459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135.66666666666666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0">
        <f t="shared" si="55"/>
        <v>277.70056658750076</v>
      </c>
      <c r="S128" s="60">
        <f ca="1">AVERAGE(OFFSET($R$3,0,0,'Données projet'!$E$9+1,1))-AVERAGE(OFFSET($H$3,0,0,'Données projet'!$E$9+1,1))</f>
        <v>199.65420589615553</v>
      </c>
      <c r="T128" s="60">
        <f t="shared" si="88"/>
        <v>477.85821088970999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0">
        <f t="shared" si="59"/>
        <v>277.70056658750076</v>
      </c>
      <c r="AN128" s="60">
        <f ca="1">AVERAGE(OFFSET($AM$3,0,0,'Données projet'!$E$10+1,1))-AVERAGE(OFFSET($H$3,0,0,'Données projet'!$E$10+1,1))</f>
        <v>199.65420589615553</v>
      </c>
      <c r="AO128" s="60">
        <f t="shared" si="90"/>
        <v>477.85821088970999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1.5961632016114892E-13</v>
      </c>
      <c r="BF128" s="14">
        <f t="shared" si="91"/>
        <v>2.2708641912150958E-12</v>
      </c>
      <c r="BG128" s="22">
        <f t="shared" si="61"/>
        <v>4.2330868906469593E-12</v>
      </c>
      <c r="BH128" s="60">
        <f t="shared" si="62"/>
        <v>277.70056658750298</v>
      </c>
      <c r="BI128" s="60">
        <f ca="1">AVERAGE(OFFSET($BH$3,0,0,'Données projet'!$E$11+1,1))-AVERAGE(OFFSET($H$3,0,0,'Données projet'!$E$11+1,1))</f>
        <v>374.62597460242665</v>
      </c>
      <c r="BJ128" s="60">
        <f t="shared" si="92"/>
        <v>277.50105097454616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1.0286385077051818E-13</v>
      </c>
      <c r="CA128" s="14">
        <f t="shared" si="93"/>
        <v>1.5402366592183556E-12</v>
      </c>
      <c r="CB128" s="22">
        <f t="shared" si="64"/>
        <v>2.8617333882306215E-12</v>
      </c>
      <c r="CC128" s="60">
        <f t="shared" si="65"/>
        <v>277.70056658750161</v>
      </c>
      <c r="CD128" s="60">
        <f ca="1">AVERAGE(OFFSET($CC$3,0,0,'Données projet'!$E$12+1,1))-AVERAGE(OFFSET($H$3,0,0,'Données projet'!$E$12+1,1))</f>
        <v>434.56763649859136</v>
      </c>
      <c r="CE128" s="60">
        <f t="shared" si="94"/>
        <v>271.90302066766264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9.5769792096689348E-14</v>
      </c>
      <c r="CV128" s="14">
        <f t="shared" si="95"/>
        <v>1.4459910566979609E-12</v>
      </c>
      <c r="CW128" s="22">
        <f t="shared" si="67"/>
        <v>2.6852334783173491E-12</v>
      </c>
      <c r="CX128" s="60">
        <f t="shared" si="68"/>
        <v>277.70056658750144</v>
      </c>
      <c r="CY128" s="60">
        <f ca="1">AVERAGE(OFFSET($CX$3,0,0,'Données projet'!$E$13+1,1))-AVERAGE(OFFSET($H$3,0,0,'Données projet'!$E$13+1,1))</f>
        <v>411.64829629901465</v>
      </c>
      <c r="CZ128" s="60">
        <f t="shared" si="96"/>
        <v>258.66864562757917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1.1527845344971866E-13</v>
      </c>
      <c r="DQ128" s="14">
        <f t="shared" si="97"/>
        <v>1.7033846239409443E-12</v>
      </c>
      <c r="DR128" s="22">
        <f t="shared" si="70"/>
        <v>3.1675048597887374E-12</v>
      </c>
      <c r="DS128" s="60">
        <f t="shared" si="71"/>
        <v>277.70056658750195</v>
      </c>
      <c r="DT128" s="60">
        <f ca="1">AVERAGE(OFFSET($DS$3,0,0,'Données projet'!$E$14+1,1))-AVERAGE(OFFSET($H$3,0,0,'Données projet'!$E$14+1,1))</f>
        <v>474.59791006623266</v>
      </c>
      <c r="DU128" s="60">
        <f t="shared" si="98"/>
        <v>295.01432800690293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-4.9658410716801891E-14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334.73467807584336</v>
      </c>
      <c r="EP128" s="60">
        <f t="shared" si="100"/>
        <v>463.8772059551726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1.2908534563682279</v>
      </c>
      <c r="EW128" s="23">
        <f>EXP(-LN(2)/25)*EW127+(1-EXP(-LN(2)/25))/(LN(2)/25)*Calculateur!ER128*Calculateur!ET128*VLOOKUP('Données projet'!$B$15,Paramètres!$A$1:$I$89,3,0)*0.475*44/12</f>
        <v>1.3685800052643746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2.6594334616326023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135.66666666666666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0">
        <f t="shared" si="55"/>
        <v>277.97176014091036</v>
      </c>
      <c r="S129" s="60">
        <f ca="1">AVERAGE(OFFSET($R$3,0,0,'Données projet'!$E$9+1,1))-AVERAGE(OFFSET($H$3,0,0,'Données projet'!$E$9+1,1))</f>
        <v>199.65420589615553</v>
      </c>
      <c r="T129" s="60">
        <f t="shared" si="88"/>
        <v>477.85821088970999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0">
        <f t="shared" si="59"/>
        <v>277.97176014091036</v>
      </c>
      <c r="AN129" s="60">
        <f ca="1">AVERAGE(OFFSET($AM$3,0,0,'Données projet'!$E$10+1,1))-AVERAGE(OFFSET($H$3,0,0,'Données projet'!$E$10+1,1))</f>
        <v>199.65420589615553</v>
      </c>
      <c r="AO129" s="60">
        <f t="shared" si="90"/>
        <v>477.85821088970999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1.5961632016114892E-13</v>
      </c>
      <c r="BF129" s="14">
        <f t="shared" si="91"/>
        <v>2.2708641912150958E-12</v>
      </c>
      <c r="BG129" s="22">
        <f t="shared" si="61"/>
        <v>4.2330868906469593E-12</v>
      </c>
      <c r="BH129" s="60">
        <f t="shared" si="62"/>
        <v>277.97176014091258</v>
      </c>
      <c r="BI129" s="60">
        <f ca="1">AVERAGE(OFFSET($BH$3,0,0,'Données projet'!$E$11+1,1))-AVERAGE(OFFSET($H$3,0,0,'Données projet'!$E$11+1,1))</f>
        <v>374.62597460242665</v>
      </c>
      <c r="BJ129" s="60">
        <f t="shared" si="92"/>
        <v>277.50105097454616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1.0286385077051818E-13</v>
      </c>
      <c r="CA129" s="14">
        <f t="shared" si="93"/>
        <v>1.5402366592183556E-12</v>
      </c>
      <c r="CB129" s="22">
        <f t="shared" si="64"/>
        <v>2.8617333882306215E-12</v>
      </c>
      <c r="CC129" s="60">
        <f t="shared" si="65"/>
        <v>277.97176014091121</v>
      </c>
      <c r="CD129" s="60">
        <f ca="1">AVERAGE(OFFSET($CC$3,0,0,'Données projet'!$E$12+1,1))-AVERAGE(OFFSET($H$3,0,0,'Données projet'!$E$12+1,1))</f>
        <v>434.56763649859136</v>
      </c>
      <c r="CE129" s="60">
        <f t="shared" si="94"/>
        <v>271.90302066766264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9.5769792096689348E-14</v>
      </c>
      <c r="CV129" s="14">
        <f t="shared" si="95"/>
        <v>1.4459910566979609E-12</v>
      </c>
      <c r="CW129" s="22">
        <f t="shared" si="67"/>
        <v>2.6852334783173491E-12</v>
      </c>
      <c r="CX129" s="60">
        <f t="shared" si="68"/>
        <v>277.97176014091104</v>
      </c>
      <c r="CY129" s="60">
        <f ca="1">AVERAGE(OFFSET($CX$3,0,0,'Données projet'!$E$13+1,1))-AVERAGE(OFFSET($H$3,0,0,'Données projet'!$E$13+1,1))</f>
        <v>411.64829629901465</v>
      </c>
      <c r="CZ129" s="60">
        <f t="shared" si="96"/>
        <v>258.66864562757917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1.1527845344971866E-13</v>
      </c>
      <c r="DQ129" s="14">
        <f t="shared" si="97"/>
        <v>1.7033846239409443E-12</v>
      </c>
      <c r="DR129" s="22">
        <f t="shared" si="70"/>
        <v>3.1675048597887374E-12</v>
      </c>
      <c r="DS129" s="60">
        <f t="shared" si="71"/>
        <v>277.97176014091156</v>
      </c>
      <c r="DT129" s="60">
        <f ca="1">AVERAGE(OFFSET($DS$3,0,0,'Données projet'!$E$14+1,1))-AVERAGE(OFFSET($H$3,0,0,'Données projet'!$E$14+1,1))</f>
        <v>474.59791006623266</v>
      </c>
      <c r="DU129" s="60">
        <f t="shared" si="98"/>
        <v>295.01432800690293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-4.9658410716801891E-14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334.73467807584336</v>
      </c>
      <c r="EP129" s="60">
        <f t="shared" si="100"/>
        <v>463.8772059551726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1.2655406074317117</v>
      </c>
      <c r="EW129" s="23">
        <f>EXP(-LN(2)/25)*EW128+(1-EXP(-LN(2)/25))/(LN(2)/25)*Calculateur!ER129*Calculateur!ET129*VLOOKUP('Données projet'!$B$15,Paramètres!$A$1:$I$89,3,0)*0.475*44/12</f>
        <v>1.3311561130499256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2.5966967204816376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135.66666666666666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0">
        <f t="shared" si="55"/>
        <v>278.23824909246628</v>
      </c>
      <c r="S130" s="60">
        <f ca="1">AVERAGE(OFFSET($R$3,0,0,'Données projet'!$E$9+1,1))-AVERAGE(OFFSET($H$3,0,0,'Données projet'!$E$9+1,1))</f>
        <v>199.65420589615553</v>
      </c>
      <c r="T130" s="60">
        <f t="shared" si="88"/>
        <v>477.85821088970999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0">
        <f t="shared" si="59"/>
        <v>278.23824909246628</v>
      </c>
      <c r="AN130" s="60">
        <f ca="1">AVERAGE(OFFSET($AM$3,0,0,'Données projet'!$E$10+1,1))-AVERAGE(OFFSET($H$3,0,0,'Données projet'!$E$10+1,1))</f>
        <v>199.65420589615553</v>
      </c>
      <c r="AO130" s="60">
        <f t="shared" si="90"/>
        <v>477.85821088970999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1.5961632016114892E-13</v>
      </c>
      <c r="BF130" s="14">
        <f t="shared" si="91"/>
        <v>2.2708641912150958E-12</v>
      </c>
      <c r="BG130" s="22">
        <f t="shared" si="61"/>
        <v>4.2330868906469593E-12</v>
      </c>
      <c r="BH130" s="60">
        <f t="shared" si="62"/>
        <v>278.23824909246849</v>
      </c>
      <c r="BI130" s="60">
        <f ca="1">AVERAGE(OFFSET($BH$3,0,0,'Données projet'!$E$11+1,1))-AVERAGE(OFFSET($H$3,0,0,'Données projet'!$E$11+1,1))</f>
        <v>374.62597460242665</v>
      </c>
      <c r="BJ130" s="60">
        <f t="shared" si="92"/>
        <v>277.50105097454616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1.0286385077051818E-13</v>
      </c>
      <c r="CA130" s="14">
        <f t="shared" si="93"/>
        <v>1.5402366592183556E-12</v>
      </c>
      <c r="CB130" s="22">
        <f t="shared" si="64"/>
        <v>2.8617333882306215E-12</v>
      </c>
      <c r="CC130" s="60">
        <f t="shared" si="65"/>
        <v>278.23824909246713</v>
      </c>
      <c r="CD130" s="60">
        <f ca="1">AVERAGE(OFFSET($CC$3,0,0,'Données projet'!$E$12+1,1))-AVERAGE(OFFSET($H$3,0,0,'Données projet'!$E$12+1,1))</f>
        <v>434.56763649859136</v>
      </c>
      <c r="CE130" s="60">
        <f t="shared" si="94"/>
        <v>271.90302066766264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9.5769792096689348E-14</v>
      </c>
      <c r="CV130" s="14">
        <f t="shared" si="95"/>
        <v>1.4459910566979609E-12</v>
      </c>
      <c r="CW130" s="22">
        <f t="shared" si="67"/>
        <v>2.6852334783173491E-12</v>
      </c>
      <c r="CX130" s="60">
        <f t="shared" si="68"/>
        <v>278.23824909246696</v>
      </c>
      <c r="CY130" s="60">
        <f ca="1">AVERAGE(OFFSET($CX$3,0,0,'Données projet'!$E$13+1,1))-AVERAGE(OFFSET($H$3,0,0,'Données projet'!$E$13+1,1))</f>
        <v>411.64829629901465</v>
      </c>
      <c r="CZ130" s="60">
        <f t="shared" si="96"/>
        <v>258.66864562757917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1.1527845344971866E-13</v>
      </c>
      <c r="DQ130" s="14">
        <f t="shared" si="97"/>
        <v>1.7033846239409443E-12</v>
      </c>
      <c r="DR130" s="22">
        <f t="shared" si="70"/>
        <v>3.1675048597887374E-12</v>
      </c>
      <c r="DS130" s="60">
        <f t="shared" si="71"/>
        <v>278.23824909246747</v>
      </c>
      <c r="DT130" s="60">
        <f ca="1">AVERAGE(OFFSET($DS$3,0,0,'Données projet'!$E$14+1,1))-AVERAGE(OFFSET($H$3,0,0,'Données projet'!$E$14+1,1))</f>
        <v>474.59791006623266</v>
      </c>
      <c r="DU130" s="60">
        <f t="shared" si="98"/>
        <v>295.01432800690293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-4.9658410716801891E-14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334.73467807584336</v>
      </c>
      <c r="EP130" s="60">
        <f t="shared" si="100"/>
        <v>463.8772059551726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1.2407241280235273</v>
      </c>
      <c r="EW130" s="23">
        <f>EXP(-LN(2)/25)*EW129+(1-EXP(-LN(2)/25))/(LN(2)/25)*Calculateur!ER130*Calculateur!ET130*VLOOKUP('Données projet'!$B$15,Paramètres!$A$1:$I$89,3,0)*0.475*44/12</f>
        <v>1.2947555791361178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2.5354797071596451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135.66666666666666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0">
        <f t="shared" ref="R131:R194" si="109">Q131+(I131+J131)*44/12</f>
        <v>278.50011505649275</v>
      </c>
      <c r="S131" s="60">
        <f ca="1">AVERAGE(OFFSET($R$3,0,0,'Données projet'!$E$9+1,1))-AVERAGE(OFFSET($H$3,0,0,'Données projet'!$E$9+1,1))</f>
        <v>199.65420589615553</v>
      </c>
      <c r="T131" s="60">
        <f t="shared" si="88"/>
        <v>477.85821088970999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0">
        <f t="shared" si="59"/>
        <v>278.50011505649275</v>
      </c>
      <c r="AN131" s="60">
        <f ca="1">AVERAGE(OFFSET($AM$3,0,0,'Données projet'!$E$10+1,1))-AVERAGE(OFFSET($H$3,0,0,'Données projet'!$E$10+1,1))</f>
        <v>199.65420589615553</v>
      </c>
      <c r="AO131" s="60">
        <f t="shared" si="90"/>
        <v>477.85821088970999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1.5961632016114892E-13</v>
      </c>
      <c r="BF131" s="14">
        <f t="shared" si="91"/>
        <v>2.2708641912150958E-12</v>
      </c>
      <c r="BG131" s="22">
        <f t="shared" si="61"/>
        <v>4.2330868906469593E-12</v>
      </c>
      <c r="BH131" s="60">
        <f t="shared" si="62"/>
        <v>278.50011505649496</v>
      </c>
      <c r="BI131" s="60">
        <f ca="1">AVERAGE(OFFSET($BH$3,0,0,'Données projet'!$E$11+1,1))-AVERAGE(OFFSET($H$3,0,0,'Données projet'!$E$11+1,1))</f>
        <v>374.62597460242665</v>
      </c>
      <c r="BJ131" s="60">
        <f t="shared" si="92"/>
        <v>277.50105097454616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1.0286385077051818E-13</v>
      </c>
      <c r="CA131" s="14">
        <f t="shared" si="93"/>
        <v>1.5402366592183556E-12</v>
      </c>
      <c r="CB131" s="22">
        <f t="shared" si="64"/>
        <v>2.8617333882306215E-12</v>
      </c>
      <c r="CC131" s="60">
        <f t="shared" si="65"/>
        <v>278.5001150564936</v>
      </c>
      <c r="CD131" s="60">
        <f ca="1">AVERAGE(OFFSET($CC$3,0,0,'Données projet'!$E$12+1,1))-AVERAGE(OFFSET($H$3,0,0,'Données projet'!$E$12+1,1))</f>
        <v>434.56763649859136</v>
      </c>
      <c r="CE131" s="60">
        <f t="shared" si="94"/>
        <v>271.90302066766264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9.5769792096689348E-14</v>
      </c>
      <c r="CV131" s="14">
        <f t="shared" si="95"/>
        <v>1.4459910566979609E-12</v>
      </c>
      <c r="CW131" s="22">
        <f t="shared" si="67"/>
        <v>2.6852334783173491E-12</v>
      </c>
      <c r="CX131" s="60">
        <f t="shared" si="68"/>
        <v>278.50011505649343</v>
      </c>
      <c r="CY131" s="60">
        <f ca="1">AVERAGE(OFFSET($CX$3,0,0,'Données projet'!$E$13+1,1))-AVERAGE(OFFSET($H$3,0,0,'Données projet'!$E$13+1,1))</f>
        <v>411.64829629901465</v>
      </c>
      <c r="CZ131" s="60">
        <f t="shared" si="96"/>
        <v>258.66864562757917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1.1527845344971866E-13</v>
      </c>
      <c r="DQ131" s="14">
        <f t="shared" si="97"/>
        <v>1.7033846239409443E-12</v>
      </c>
      <c r="DR131" s="22">
        <f t="shared" si="70"/>
        <v>3.1675048597887374E-12</v>
      </c>
      <c r="DS131" s="60">
        <f t="shared" si="71"/>
        <v>278.50011505649394</v>
      </c>
      <c r="DT131" s="60">
        <f ca="1">AVERAGE(OFFSET($DS$3,0,0,'Données projet'!$E$14+1,1))-AVERAGE(OFFSET($H$3,0,0,'Données projet'!$E$14+1,1))</f>
        <v>474.59791006623266</v>
      </c>
      <c r="DU131" s="60">
        <f t="shared" si="98"/>
        <v>295.01432800690293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-4.9658410716801891E-14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334.73467807584336</v>
      </c>
      <c r="EP131" s="60">
        <f t="shared" si="100"/>
        <v>463.8772059551726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1.2163942846399796</v>
      </c>
      <c r="EW131" s="23">
        <f>EXP(-LN(2)/25)*EW130+(1-EXP(-LN(2)/25))/(LN(2)/25)*Calculateur!ER131*Calculateur!ET131*VLOOKUP('Données projet'!$B$15,Paramètres!$A$1:$I$89,3,0)*0.475*44/12</f>
        <v>1.259350419736404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2.4757447043763836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135.66666666666666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0">
        <f t="shared" si="109"/>
        <v>278.75743823148792</v>
      </c>
      <c r="S132" s="60">
        <f ca="1">AVERAGE(OFFSET($R$3,0,0,'Données projet'!$E$9+1,1))-AVERAGE(OFFSET($H$3,0,0,'Données projet'!$E$9+1,1))</f>
        <v>199.65420589615553</v>
      </c>
      <c r="T132" s="60">
        <f t="shared" si="88"/>
        <v>477.85821088970999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0">
        <f t="shared" ref="AM132:AM195" si="113">AL132+(AD132+AE132)*44/12</f>
        <v>278.75743823148792</v>
      </c>
      <c r="AN132" s="60">
        <f ca="1">AVERAGE(OFFSET($AM$3,0,0,'Données projet'!$E$10+1,1))-AVERAGE(OFFSET($H$3,0,0,'Données projet'!$E$10+1,1))</f>
        <v>199.65420589615553</v>
      </c>
      <c r="AO132" s="60">
        <f t="shared" si="90"/>
        <v>477.85821088970999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1.5961632016114892E-13</v>
      </c>
      <c r="BF132" s="14">
        <f t="shared" si="91"/>
        <v>2.2708641912150958E-12</v>
      </c>
      <c r="BG132" s="22">
        <f t="shared" ref="BG132:BG153" si="115">(BE132+BF132)*0.475*44/12</f>
        <v>4.2330868906469593E-12</v>
      </c>
      <c r="BH132" s="60">
        <f t="shared" ref="BH132:BH195" si="116">BG132+(AY132+AZ132)*44/12</f>
        <v>278.75743823149014</v>
      </c>
      <c r="BI132" s="60">
        <f ca="1">AVERAGE(OFFSET($BH$3,0,0,'Données projet'!$E$11+1,1))-AVERAGE(OFFSET($H$3,0,0,'Données projet'!$E$11+1,1))</f>
        <v>374.62597460242665</v>
      </c>
      <c r="BJ132" s="60">
        <f t="shared" si="92"/>
        <v>277.50105097454616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1.0286385077051818E-13</v>
      </c>
      <c r="CA132" s="14">
        <f t="shared" si="93"/>
        <v>1.5402366592183556E-12</v>
      </c>
      <c r="CB132" s="22">
        <f t="shared" ref="CB132:CB153" si="118">(BZ132+CA132)*0.475*44/12</f>
        <v>2.8617333882306215E-12</v>
      </c>
      <c r="CC132" s="60">
        <f t="shared" ref="CC132:CC195" si="119">CB132+(BT132+BU132)*44/12</f>
        <v>278.75743823148878</v>
      </c>
      <c r="CD132" s="60">
        <f ca="1">AVERAGE(OFFSET($CC$3,0,0,'Données projet'!$E$12+1,1))-AVERAGE(OFFSET($H$3,0,0,'Données projet'!$E$12+1,1))</f>
        <v>434.56763649859136</v>
      </c>
      <c r="CE132" s="60">
        <f t="shared" si="94"/>
        <v>271.90302066766264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9.5769792096689348E-14</v>
      </c>
      <c r="CV132" s="14">
        <f t="shared" si="95"/>
        <v>1.4459910566979609E-12</v>
      </c>
      <c r="CW132" s="22">
        <f t="shared" ref="CW132:CW153" si="121">(CU132+CV132)*0.475*44/12</f>
        <v>2.6852334783173491E-12</v>
      </c>
      <c r="CX132" s="60">
        <f t="shared" ref="CX132:CX195" si="122">CW132+(CO132+CP132)*44/12</f>
        <v>278.75743823148861</v>
      </c>
      <c r="CY132" s="60">
        <f ca="1">AVERAGE(OFFSET($CX$3,0,0,'Données projet'!$E$13+1,1))-AVERAGE(OFFSET($H$3,0,0,'Données projet'!$E$13+1,1))</f>
        <v>411.64829629901465</v>
      </c>
      <c r="CZ132" s="60">
        <f t="shared" si="96"/>
        <v>258.66864562757917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1.1527845344971866E-13</v>
      </c>
      <c r="DQ132" s="14">
        <f t="shared" si="97"/>
        <v>1.7033846239409443E-12</v>
      </c>
      <c r="DR132" s="22">
        <f t="shared" ref="DR132:DR153" si="124">(DP132+DQ132)*0.475*44/12</f>
        <v>3.1675048597887374E-12</v>
      </c>
      <c r="DS132" s="60">
        <f t="shared" ref="DS132:DS195" si="125">DR132+(DJ132+DK132)*44/12</f>
        <v>278.75743823148912</v>
      </c>
      <c r="DT132" s="60">
        <f ca="1">AVERAGE(OFFSET($DS$3,0,0,'Données projet'!$E$14+1,1))-AVERAGE(OFFSET($H$3,0,0,'Données projet'!$E$14+1,1))</f>
        <v>474.59791006623266</v>
      </c>
      <c r="DU132" s="60">
        <f t="shared" si="98"/>
        <v>295.01432800690293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-4.9658410716801891E-14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334.73467807584336</v>
      </c>
      <c r="EP132" s="60">
        <f t="shared" si="100"/>
        <v>463.8772059551726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1.192541534645444</v>
      </c>
      <c r="EW132" s="23">
        <f>EXP(-LN(2)/25)*EW131+(1-EXP(-LN(2)/25))/(LN(2)/25)*Calculateur!ER132*Calculateur!ET132*VLOOKUP('Données projet'!$B$15,Paramètres!$A$1:$I$89,3,0)*0.475*44/12</f>
        <v>1.2249134162823518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2.4174549509277958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135.66666666666666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0">
        <f t="shared" si="109"/>
        <v>279.0102974246854</v>
      </c>
      <c r="S133" s="60">
        <f ca="1">AVERAGE(OFFSET($R$3,0,0,'Données projet'!$E$9+1,1))-AVERAGE(OFFSET($H$3,0,0,'Données projet'!$E$9+1,1))</f>
        <v>199.65420589615553</v>
      </c>
      <c r="T133" s="60">
        <f t="shared" ref="T133:T196" si="142">$T$3</f>
        <v>477.85821088970999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0">
        <f t="shared" si="113"/>
        <v>279.0102974246854</v>
      </c>
      <c r="AN133" s="60">
        <f ca="1">AVERAGE(OFFSET($AM$3,0,0,'Données projet'!$E$10+1,1))-AVERAGE(OFFSET($H$3,0,0,'Données projet'!$E$10+1,1))</f>
        <v>199.65420589615553</v>
      </c>
      <c r="AO133" s="60">
        <f t="shared" ref="AO133:AO196" si="144">$AO$3</f>
        <v>477.85821088970999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1.5961632016114892E-13</v>
      </c>
      <c r="BF133" s="14">
        <f t="shared" ref="BF133:BF153" si="145">EXP(-1.0587+0.8836*LN(BE133)+0.284)</f>
        <v>2.2708641912150958E-12</v>
      </c>
      <c r="BG133" s="22">
        <f t="shared" si="115"/>
        <v>4.2330868906469593E-12</v>
      </c>
      <c r="BH133" s="60">
        <f t="shared" si="116"/>
        <v>279.01029742468762</v>
      </c>
      <c r="BI133" s="60">
        <f ca="1">AVERAGE(OFFSET($BH$3,0,0,'Données projet'!$E$11+1,1))-AVERAGE(OFFSET($H$3,0,0,'Données projet'!$E$11+1,1))</f>
        <v>374.62597460242665</v>
      </c>
      <c r="BJ133" s="60">
        <f t="shared" ref="BJ133:BJ196" si="146">$BJ$3</f>
        <v>277.50105097454616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1.0286385077051818E-13</v>
      </c>
      <c r="CA133" s="14">
        <f t="shared" ref="CA133:CA153" si="147">EXP(-1.0587+0.8836*LN(BZ133)+0.284)</f>
        <v>1.5402366592183556E-12</v>
      </c>
      <c r="CB133" s="22">
        <f t="shared" si="118"/>
        <v>2.8617333882306215E-12</v>
      </c>
      <c r="CC133" s="60">
        <f t="shared" si="119"/>
        <v>279.01029742468626</v>
      </c>
      <c r="CD133" s="60">
        <f ca="1">AVERAGE(OFFSET($CC$3,0,0,'Données projet'!$E$12+1,1))-AVERAGE(OFFSET($H$3,0,0,'Données projet'!$E$12+1,1))</f>
        <v>434.56763649859136</v>
      </c>
      <c r="CE133" s="60">
        <f t="shared" ref="CE133:CE196" si="148">$CE$3</f>
        <v>271.90302066766264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9.5769792096689348E-14</v>
      </c>
      <c r="CV133" s="14">
        <f t="shared" ref="CV133:CV153" si="149">EXP(-1.0587+0.8836*LN(CU133)+0.284)</f>
        <v>1.4459910566979609E-12</v>
      </c>
      <c r="CW133" s="22">
        <f t="shared" si="121"/>
        <v>2.6852334783173491E-12</v>
      </c>
      <c r="CX133" s="60">
        <f t="shared" si="122"/>
        <v>279.01029742468609</v>
      </c>
      <c r="CY133" s="60">
        <f ca="1">AVERAGE(OFFSET($CX$3,0,0,'Données projet'!$E$13+1,1))-AVERAGE(OFFSET($H$3,0,0,'Données projet'!$E$13+1,1))</f>
        <v>411.64829629901465</v>
      </c>
      <c r="CZ133" s="60">
        <f t="shared" ref="CZ133:CZ196" si="150">$CZ$3</f>
        <v>258.66864562757917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1.1527845344971866E-13</v>
      </c>
      <c r="DQ133" s="14">
        <f t="shared" ref="DQ133:DQ153" si="151">EXP(-1.0587+0.8836*LN(DP133)+0.284)</f>
        <v>1.7033846239409443E-12</v>
      </c>
      <c r="DR133" s="22">
        <f t="shared" si="124"/>
        <v>3.1675048597887374E-12</v>
      </c>
      <c r="DS133" s="60">
        <f t="shared" si="125"/>
        <v>279.0102974246866</v>
      </c>
      <c r="DT133" s="60">
        <f ca="1">AVERAGE(OFFSET($DS$3,0,0,'Données projet'!$E$14+1,1))-AVERAGE(OFFSET($H$3,0,0,'Données projet'!$E$14+1,1))</f>
        <v>474.59791006623266</v>
      </c>
      <c r="DU133" s="60">
        <f t="shared" ref="DU133:DU196" si="152">$DU$3</f>
        <v>295.01432800690293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-4.9658410716801891E-14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334.73467807584336</v>
      </c>
      <c r="EP133" s="60">
        <f t="shared" ref="EP133:EP196" si="154">$EP$3</f>
        <v>463.8772059551726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1.1691565225295604</v>
      </c>
      <c r="EW133" s="23">
        <f>EXP(-LN(2)/25)*EW132+(1-EXP(-LN(2)/25))/(LN(2)/25)*Calculateur!ER133*Calculateur!ET133*VLOOKUP('Données projet'!$B$15,Paramètres!$A$1:$I$89,3,0)*0.475*44/12</f>
        <v>1.1914180944987141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2.3605746170282744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135.66666666666666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0">
        <f t="shared" si="109"/>
        <v>279.25877007618936</v>
      </c>
      <c r="S134" s="60">
        <f ca="1">AVERAGE(OFFSET($R$3,0,0,'Données projet'!$E$9+1,1))-AVERAGE(OFFSET($H$3,0,0,'Données projet'!$E$9+1,1))</f>
        <v>199.65420589615553</v>
      </c>
      <c r="T134" s="60">
        <f t="shared" si="142"/>
        <v>477.85821088970999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0">
        <f t="shared" si="113"/>
        <v>279.25877007618936</v>
      </c>
      <c r="AN134" s="60">
        <f ca="1">AVERAGE(OFFSET($AM$3,0,0,'Données projet'!$E$10+1,1))-AVERAGE(OFFSET($H$3,0,0,'Données projet'!$E$10+1,1))</f>
        <v>199.65420589615553</v>
      </c>
      <c r="AO134" s="60">
        <f t="shared" si="144"/>
        <v>477.85821088970999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1.5961632016114892E-13</v>
      </c>
      <c r="BF134" s="14">
        <f t="shared" si="145"/>
        <v>2.2708641912150958E-12</v>
      </c>
      <c r="BG134" s="22">
        <f t="shared" si="115"/>
        <v>4.2330868906469593E-12</v>
      </c>
      <c r="BH134" s="60">
        <f t="shared" si="116"/>
        <v>279.25877007619158</v>
      </c>
      <c r="BI134" s="60">
        <f ca="1">AVERAGE(OFFSET($BH$3,0,0,'Données projet'!$E$11+1,1))-AVERAGE(OFFSET($H$3,0,0,'Données projet'!$E$11+1,1))</f>
        <v>374.62597460242665</v>
      </c>
      <c r="BJ134" s="60">
        <f t="shared" si="146"/>
        <v>277.50105097454616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1.0286385077051818E-13</v>
      </c>
      <c r="CA134" s="14">
        <f t="shared" si="147"/>
        <v>1.5402366592183556E-12</v>
      </c>
      <c r="CB134" s="22">
        <f t="shared" si="118"/>
        <v>2.8617333882306215E-12</v>
      </c>
      <c r="CC134" s="60">
        <f t="shared" si="119"/>
        <v>279.25877007619022</v>
      </c>
      <c r="CD134" s="60">
        <f ca="1">AVERAGE(OFFSET($CC$3,0,0,'Données projet'!$E$12+1,1))-AVERAGE(OFFSET($H$3,0,0,'Données projet'!$E$12+1,1))</f>
        <v>434.56763649859136</v>
      </c>
      <c r="CE134" s="60">
        <f t="shared" si="148"/>
        <v>271.90302066766264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9.5769792096689348E-14</v>
      </c>
      <c r="CV134" s="14">
        <f t="shared" si="149"/>
        <v>1.4459910566979609E-12</v>
      </c>
      <c r="CW134" s="22">
        <f t="shared" si="121"/>
        <v>2.6852334783173491E-12</v>
      </c>
      <c r="CX134" s="60">
        <f t="shared" si="122"/>
        <v>279.25877007619005</v>
      </c>
      <c r="CY134" s="60">
        <f ca="1">AVERAGE(OFFSET($CX$3,0,0,'Données projet'!$E$13+1,1))-AVERAGE(OFFSET($H$3,0,0,'Données projet'!$E$13+1,1))</f>
        <v>411.64829629901465</v>
      </c>
      <c r="CZ134" s="60">
        <f t="shared" si="150"/>
        <v>258.66864562757917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1.1527845344971866E-13</v>
      </c>
      <c r="DQ134" s="14">
        <f t="shared" si="151"/>
        <v>1.7033846239409443E-12</v>
      </c>
      <c r="DR134" s="22">
        <f t="shared" si="124"/>
        <v>3.1675048597887374E-12</v>
      </c>
      <c r="DS134" s="60">
        <f t="shared" si="125"/>
        <v>279.25877007619056</v>
      </c>
      <c r="DT134" s="60">
        <f ca="1">AVERAGE(OFFSET($DS$3,0,0,'Données projet'!$E$14+1,1))-AVERAGE(OFFSET($H$3,0,0,'Données projet'!$E$14+1,1))</f>
        <v>474.59791006623266</v>
      </c>
      <c r="DU134" s="60">
        <f t="shared" si="152"/>
        <v>295.01432800690293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-4.9658410716801891E-14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334.73467807584336</v>
      </c>
      <c r="EP134" s="60">
        <f t="shared" si="154"/>
        <v>463.8772059551726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1.1462300762378201</v>
      </c>
      <c r="EW134" s="23">
        <f>EXP(-LN(2)/25)*EW133+(1-EXP(-LN(2)/25))/(LN(2)/25)*Calculateur!ER134*Calculateur!ET134*VLOOKUP('Données projet'!$B$15,Paramètres!$A$1:$I$89,3,0)*0.475*44/12</f>
        <v>1.1588387040506922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2.3050687802885124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135.66666666666666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0">
        <f t="shared" si="109"/>
        <v>279.5029322826914</v>
      </c>
      <c r="S135" s="60">
        <f ca="1">AVERAGE(OFFSET($R$3,0,0,'Données projet'!$E$9+1,1))-AVERAGE(OFFSET($H$3,0,0,'Données projet'!$E$9+1,1))</f>
        <v>199.65420589615553</v>
      </c>
      <c r="T135" s="60">
        <f t="shared" si="142"/>
        <v>477.85821088970999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0">
        <f t="shared" si="113"/>
        <v>279.5029322826914</v>
      </c>
      <c r="AN135" s="60">
        <f ca="1">AVERAGE(OFFSET($AM$3,0,0,'Données projet'!$E$10+1,1))-AVERAGE(OFFSET($H$3,0,0,'Données projet'!$E$10+1,1))</f>
        <v>199.65420589615553</v>
      </c>
      <c r="AO135" s="60">
        <f t="shared" si="144"/>
        <v>477.85821088970999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1.5961632016114892E-13</v>
      </c>
      <c r="BF135" s="14">
        <f t="shared" si="145"/>
        <v>2.2708641912150958E-12</v>
      </c>
      <c r="BG135" s="22">
        <f t="shared" si="115"/>
        <v>4.2330868906469593E-12</v>
      </c>
      <c r="BH135" s="60">
        <f t="shared" si="116"/>
        <v>279.50293228269362</v>
      </c>
      <c r="BI135" s="60">
        <f ca="1">AVERAGE(OFFSET($BH$3,0,0,'Données projet'!$E$11+1,1))-AVERAGE(OFFSET($H$3,0,0,'Données projet'!$E$11+1,1))</f>
        <v>374.62597460242665</v>
      </c>
      <c r="BJ135" s="60">
        <f t="shared" si="146"/>
        <v>277.50105097454616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1.0286385077051818E-13</v>
      </c>
      <c r="CA135" s="14">
        <f t="shared" si="147"/>
        <v>1.5402366592183556E-12</v>
      </c>
      <c r="CB135" s="22">
        <f t="shared" si="118"/>
        <v>2.8617333882306215E-12</v>
      </c>
      <c r="CC135" s="60">
        <f t="shared" si="119"/>
        <v>279.50293228269226</v>
      </c>
      <c r="CD135" s="60">
        <f ca="1">AVERAGE(OFFSET($CC$3,0,0,'Données projet'!$E$12+1,1))-AVERAGE(OFFSET($H$3,0,0,'Données projet'!$E$12+1,1))</f>
        <v>434.56763649859136</v>
      </c>
      <c r="CE135" s="60">
        <f t="shared" si="148"/>
        <v>271.90302066766264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9.5769792096689348E-14</v>
      </c>
      <c r="CV135" s="14">
        <f t="shared" si="149"/>
        <v>1.4459910566979609E-12</v>
      </c>
      <c r="CW135" s="22">
        <f t="shared" si="121"/>
        <v>2.6852334783173491E-12</v>
      </c>
      <c r="CX135" s="60">
        <f t="shared" si="122"/>
        <v>279.50293228269209</v>
      </c>
      <c r="CY135" s="60">
        <f ca="1">AVERAGE(OFFSET($CX$3,0,0,'Données projet'!$E$13+1,1))-AVERAGE(OFFSET($H$3,0,0,'Données projet'!$E$13+1,1))</f>
        <v>411.64829629901465</v>
      </c>
      <c r="CZ135" s="60">
        <f t="shared" si="150"/>
        <v>258.66864562757917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1.1527845344971866E-13</v>
      </c>
      <c r="DQ135" s="14">
        <f t="shared" si="151"/>
        <v>1.7033846239409443E-12</v>
      </c>
      <c r="DR135" s="22">
        <f t="shared" si="124"/>
        <v>3.1675048597887374E-12</v>
      </c>
      <c r="DS135" s="60">
        <f t="shared" si="125"/>
        <v>279.5029322826926</v>
      </c>
      <c r="DT135" s="60">
        <f ca="1">AVERAGE(OFFSET($DS$3,0,0,'Données projet'!$E$14+1,1))-AVERAGE(OFFSET($H$3,0,0,'Données projet'!$E$14+1,1))</f>
        <v>474.59791006623266</v>
      </c>
      <c r="DU135" s="60">
        <f t="shared" si="152"/>
        <v>295.01432800690293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-4.9658410716801891E-14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334.73467807584336</v>
      </c>
      <c r="EP135" s="60">
        <f t="shared" si="154"/>
        <v>463.8772059551726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1.1237532035741096</v>
      </c>
      <c r="EW135" s="23">
        <f>EXP(-LN(2)/25)*EW134+(1-EXP(-LN(2)/25))/(LN(2)/25)*Calculateur!ER135*Calculateur!ET135*VLOOKUP('Données projet'!$B$15,Paramètres!$A$1:$I$89,3,0)*0.475*44/12</f>
        <v>1.1271501987477472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2.2509034023218568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135.66666666666666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0">
        <f t="shared" si="109"/>
        <v>279.7428588207755</v>
      </c>
      <c r="S136" s="60">
        <f ca="1">AVERAGE(OFFSET($R$3,0,0,'Données projet'!$E$9+1,1))-AVERAGE(OFFSET($H$3,0,0,'Données projet'!$E$9+1,1))</f>
        <v>199.65420589615553</v>
      </c>
      <c r="T136" s="60">
        <f t="shared" si="142"/>
        <v>477.85821088970999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0">
        <f t="shared" si="113"/>
        <v>279.7428588207755</v>
      </c>
      <c r="AN136" s="60">
        <f ca="1">AVERAGE(OFFSET($AM$3,0,0,'Données projet'!$E$10+1,1))-AVERAGE(OFFSET($H$3,0,0,'Données projet'!$E$10+1,1))</f>
        <v>199.65420589615553</v>
      </c>
      <c r="AO136" s="60">
        <f t="shared" si="144"/>
        <v>477.85821088970999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1.5961632016114892E-13</v>
      </c>
      <c r="BF136" s="14">
        <f t="shared" si="145"/>
        <v>2.2708641912150958E-12</v>
      </c>
      <c r="BG136" s="22">
        <f t="shared" si="115"/>
        <v>4.2330868906469593E-12</v>
      </c>
      <c r="BH136" s="60">
        <f t="shared" si="116"/>
        <v>279.74285882077771</v>
      </c>
      <c r="BI136" s="60">
        <f ca="1">AVERAGE(OFFSET($BH$3,0,0,'Données projet'!$E$11+1,1))-AVERAGE(OFFSET($H$3,0,0,'Données projet'!$E$11+1,1))</f>
        <v>374.62597460242665</v>
      </c>
      <c r="BJ136" s="60">
        <f t="shared" si="146"/>
        <v>277.50105097454616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1.0286385077051818E-13</v>
      </c>
      <c r="CA136" s="14">
        <f t="shared" si="147"/>
        <v>1.5402366592183556E-12</v>
      </c>
      <c r="CB136" s="22">
        <f t="shared" si="118"/>
        <v>2.8617333882306215E-12</v>
      </c>
      <c r="CC136" s="60">
        <f t="shared" si="119"/>
        <v>279.74285882077635</v>
      </c>
      <c r="CD136" s="60">
        <f ca="1">AVERAGE(OFFSET($CC$3,0,0,'Données projet'!$E$12+1,1))-AVERAGE(OFFSET($H$3,0,0,'Données projet'!$E$12+1,1))</f>
        <v>434.56763649859136</v>
      </c>
      <c r="CE136" s="60">
        <f t="shared" si="148"/>
        <v>271.90302066766264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9.5769792096689348E-14</v>
      </c>
      <c r="CV136" s="14">
        <f t="shared" si="149"/>
        <v>1.4459910566979609E-12</v>
      </c>
      <c r="CW136" s="22">
        <f t="shared" si="121"/>
        <v>2.6852334783173491E-12</v>
      </c>
      <c r="CX136" s="60">
        <f t="shared" si="122"/>
        <v>279.74285882077618</v>
      </c>
      <c r="CY136" s="60">
        <f ca="1">AVERAGE(OFFSET($CX$3,0,0,'Données projet'!$E$13+1,1))-AVERAGE(OFFSET($H$3,0,0,'Données projet'!$E$13+1,1))</f>
        <v>411.64829629901465</v>
      </c>
      <c r="CZ136" s="60">
        <f t="shared" si="150"/>
        <v>258.66864562757917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1.1527845344971866E-13</v>
      </c>
      <c r="DQ136" s="14">
        <f t="shared" si="151"/>
        <v>1.7033846239409443E-12</v>
      </c>
      <c r="DR136" s="22">
        <f t="shared" si="124"/>
        <v>3.1675048597887374E-12</v>
      </c>
      <c r="DS136" s="60">
        <f t="shared" si="125"/>
        <v>279.74285882077669</v>
      </c>
      <c r="DT136" s="60">
        <f ca="1">AVERAGE(OFFSET($DS$3,0,0,'Données projet'!$E$14+1,1))-AVERAGE(OFFSET($H$3,0,0,'Données projet'!$E$14+1,1))</f>
        <v>474.59791006623266</v>
      </c>
      <c r="DU136" s="60">
        <f t="shared" si="152"/>
        <v>295.01432800690293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-4.9658410716801891E-14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334.73467807584336</v>
      </c>
      <c r="EP136" s="60">
        <f t="shared" si="154"/>
        <v>463.8772059551726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1.1017170886737957</v>
      </c>
      <c r="EW136" s="23">
        <f>EXP(-LN(2)/25)*EW135+(1-EXP(-LN(2)/25))/(LN(2)/25)*Calculateur!ER136*Calculateur!ET136*VLOOKUP('Données projet'!$B$15,Paramètres!$A$1:$I$89,3,0)*0.475*44/12</f>
        <v>1.0963282172887372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2.1980453059625331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135.66666666666666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0">
        <f t="shared" si="109"/>
        <v>279.97862316981923</v>
      </c>
      <c r="S137" s="60">
        <f ca="1">AVERAGE(OFFSET($R$3,0,0,'Données projet'!$E$9+1,1))-AVERAGE(OFFSET($H$3,0,0,'Données projet'!$E$9+1,1))</f>
        <v>199.65420589615553</v>
      </c>
      <c r="T137" s="60">
        <f t="shared" si="142"/>
        <v>477.85821088970999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0">
        <f t="shared" si="113"/>
        <v>279.97862316981923</v>
      </c>
      <c r="AN137" s="60">
        <f ca="1">AVERAGE(OFFSET($AM$3,0,0,'Données projet'!$E$10+1,1))-AVERAGE(OFFSET($H$3,0,0,'Données projet'!$E$10+1,1))</f>
        <v>199.65420589615553</v>
      </c>
      <c r="AO137" s="60">
        <f t="shared" si="144"/>
        <v>477.85821088970999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1.5961632016114892E-13</v>
      </c>
      <c r="BF137" s="14">
        <f t="shared" si="145"/>
        <v>2.2708641912150958E-12</v>
      </c>
      <c r="BG137" s="22">
        <f t="shared" si="115"/>
        <v>4.2330868906469593E-12</v>
      </c>
      <c r="BH137" s="60">
        <f t="shared" si="116"/>
        <v>279.97862316982145</v>
      </c>
      <c r="BI137" s="60">
        <f ca="1">AVERAGE(OFFSET($BH$3,0,0,'Données projet'!$E$11+1,1))-AVERAGE(OFFSET($H$3,0,0,'Données projet'!$E$11+1,1))</f>
        <v>374.62597460242665</v>
      </c>
      <c r="BJ137" s="60">
        <f t="shared" si="146"/>
        <v>277.50105097454616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1.0286385077051818E-13</v>
      </c>
      <c r="CA137" s="14">
        <f t="shared" si="147"/>
        <v>1.5402366592183556E-12</v>
      </c>
      <c r="CB137" s="22">
        <f t="shared" si="118"/>
        <v>2.8617333882306215E-12</v>
      </c>
      <c r="CC137" s="60">
        <f t="shared" si="119"/>
        <v>279.97862316982008</v>
      </c>
      <c r="CD137" s="60">
        <f ca="1">AVERAGE(OFFSET($CC$3,0,0,'Données projet'!$E$12+1,1))-AVERAGE(OFFSET($H$3,0,0,'Données projet'!$E$12+1,1))</f>
        <v>434.56763649859136</v>
      </c>
      <c r="CE137" s="60">
        <f t="shared" si="148"/>
        <v>271.90302066766264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9.5769792096689348E-14</v>
      </c>
      <c r="CV137" s="14">
        <f t="shared" si="149"/>
        <v>1.4459910566979609E-12</v>
      </c>
      <c r="CW137" s="22">
        <f t="shared" si="121"/>
        <v>2.6852334783173491E-12</v>
      </c>
      <c r="CX137" s="60">
        <f t="shared" si="122"/>
        <v>279.97862316981991</v>
      </c>
      <c r="CY137" s="60">
        <f ca="1">AVERAGE(OFFSET($CX$3,0,0,'Données projet'!$E$13+1,1))-AVERAGE(OFFSET($H$3,0,0,'Données projet'!$E$13+1,1))</f>
        <v>411.64829629901465</v>
      </c>
      <c r="CZ137" s="60">
        <f t="shared" si="150"/>
        <v>258.66864562757917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1.1527845344971866E-13</v>
      </c>
      <c r="DQ137" s="14">
        <f t="shared" si="151"/>
        <v>1.7033846239409443E-12</v>
      </c>
      <c r="DR137" s="22">
        <f t="shared" si="124"/>
        <v>3.1675048597887374E-12</v>
      </c>
      <c r="DS137" s="60">
        <f t="shared" si="125"/>
        <v>279.97862316982042</v>
      </c>
      <c r="DT137" s="60">
        <f ca="1">AVERAGE(OFFSET($DS$3,0,0,'Données projet'!$E$14+1,1))-AVERAGE(OFFSET($H$3,0,0,'Données projet'!$E$14+1,1))</f>
        <v>474.59791006623266</v>
      </c>
      <c r="DU137" s="60">
        <f t="shared" si="152"/>
        <v>295.01432800690293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-4.9658410716801891E-14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334.73467807584336</v>
      </c>
      <c r="EP137" s="60">
        <f t="shared" si="154"/>
        <v>463.8772059551726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1.080113088545974</v>
      </c>
      <c r="EW137" s="23">
        <f>EXP(-LN(2)/25)*EW136+(1-EXP(-LN(2)/25))/(LN(2)/25)*Calculateur!ER137*Calculateur!ET137*VLOOKUP('Données projet'!$B$15,Paramètres!$A$1:$I$89,3,0)*0.475*44/12</f>
        <v>1.0663490645335814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2.1464621530795553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135.66666666666666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0">
        <f t="shared" si="109"/>
        <v>280.21029753449716</v>
      </c>
      <c r="S138" s="60">
        <f ca="1">AVERAGE(OFFSET($R$3,0,0,'Données projet'!$E$9+1,1))-AVERAGE(OFFSET($H$3,0,0,'Données projet'!$E$9+1,1))</f>
        <v>199.65420589615553</v>
      </c>
      <c r="T138" s="60">
        <f t="shared" si="142"/>
        <v>477.85821088970999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0">
        <f t="shared" si="113"/>
        <v>280.21029753449716</v>
      </c>
      <c r="AN138" s="60">
        <f ca="1">AVERAGE(OFFSET($AM$3,0,0,'Données projet'!$E$10+1,1))-AVERAGE(OFFSET($H$3,0,0,'Données projet'!$E$10+1,1))</f>
        <v>199.65420589615553</v>
      </c>
      <c r="AO138" s="60">
        <f t="shared" si="144"/>
        <v>477.85821088970999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1.5961632016114892E-13</v>
      </c>
      <c r="BF138" s="14">
        <f t="shared" si="145"/>
        <v>2.2708641912150958E-12</v>
      </c>
      <c r="BG138" s="22">
        <f t="shared" si="115"/>
        <v>4.2330868906469593E-12</v>
      </c>
      <c r="BH138" s="60">
        <f t="shared" si="116"/>
        <v>280.21029753449938</v>
      </c>
      <c r="BI138" s="60">
        <f ca="1">AVERAGE(OFFSET($BH$3,0,0,'Données projet'!$E$11+1,1))-AVERAGE(OFFSET($H$3,0,0,'Données projet'!$E$11+1,1))</f>
        <v>374.62597460242665</v>
      </c>
      <c r="BJ138" s="60">
        <f t="shared" si="146"/>
        <v>277.50105097454616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1.0286385077051818E-13</v>
      </c>
      <c r="CA138" s="14">
        <f t="shared" si="147"/>
        <v>1.5402366592183556E-12</v>
      </c>
      <c r="CB138" s="22">
        <f t="shared" si="118"/>
        <v>2.8617333882306215E-12</v>
      </c>
      <c r="CC138" s="60">
        <f t="shared" si="119"/>
        <v>280.21029753449801</v>
      </c>
      <c r="CD138" s="60">
        <f ca="1">AVERAGE(OFFSET($CC$3,0,0,'Données projet'!$E$12+1,1))-AVERAGE(OFFSET($H$3,0,0,'Données projet'!$E$12+1,1))</f>
        <v>434.56763649859136</v>
      </c>
      <c r="CE138" s="60">
        <f t="shared" si="148"/>
        <v>271.90302066766264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9.5769792096689348E-14</v>
      </c>
      <c r="CV138" s="14">
        <f t="shared" si="149"/>
        <v>1.4459910566979609E-12</v>
      </c>
      <c r="CW138" s="22">
        <f t="shared" si="121"/>
        <v>2.6852334783173491E-12</v>
      </c>
      <c r="CX138" s="60">
        <f t="shared" si="122"/>
        <v>280.21029753449784</v>
      </c>
      <c r="CY138" s="60">
        <f ca="1">AVERAGE(OFFSET($CX$3,0,0,'Données projet'!$E$13+1,1))-AVERAGE(OFFSET($H$3,0,0,'Données projet'!$E$13+1,1))</f>
        <v>411.64829629901465</v>
      </c>
      <c r="CZ138" s="60">
        <f t="shared" si="150"/>
        <v>258.66864562757917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1.1527845344971866E-13</v>
      </c>
      <c r="DQ138" s="14">
        <f t="shared" si="151"/>
        <v>1.7033846239409443E-12</v>
      </c>
      <c r="DR138" s="22">
        <f t="shared" si="124"/>
        <v>3.1675048597887374E-12</v>
      </c>
      <c r="DS138" s="60">
        <f t="shared" si="125"/>
        <v>280.21029753449835</v>
      </c>
      <c r="DT138" s="60">
        <f ca="1">AVERAGE(OFFSET($DS$3,0,0,'Données projet'!$E$14+1,1))-AVERAGE(OFFSET($H$3,0,0,'Données projet'!$E$14+1,1))</f>
        <v>474.59791006623266</v>
      </c>
      <c r="DU138" s="60">
        <f t="shared" si="152"/>
        <v>295.01432800690293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-4.9658410716801891E-14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334.73467807584336</v>
      </c>
      <c r="EP138" s="60">
        <f t="shared" si="154"/>
        <v>463.8772059551726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1.05893272968352</v>
      </c>
      <c r="EW138" s="23">
        <f>EXP(-LN(2)/25)*EW137+(1-EXP(-LN(2)/25))/(LN(2)/25)*Calculateur!ER138*Calculateur!ET138*VLOOKUP('Données projet'!$B$15,Paramètres!$A$1:$I$89,3,0)*0.475*44/12</f>
        <v>1.0371896932870504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2.0961224229705704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135.66666666666666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0">
        <f t="shared" si="109"/>
        <v>280.43795286689414</v>
      </c>
      <c r="S139" s="60">
        <f ca="1">AVERAGE(OFFSET($R$3,0,0,'Données projet'!$E$9+1,1))-AVERAGE(OFFSET($H$3,0,0,'Données projet'!$E$9+1,1))</f>
        <v>199.65420589615553</v>
      </c>
      <c r="T139" s="60">
        <f t="shared" si="142"/>
        <v>477.85821088970999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0">
        <f t="shared" si="113"/>
        <v>280.43795286689414</v>
      </c>
      <c r="AN139" s="60">
        <f ca="1">AVERAGE(OFFSET($AM$3,0,0,'Données projet'!$E$10+1,1))-AVERAGE(OFFSET($H$3,0,0,'Données projet'!$E$10+1,1))</f>
        <v>199.65420589615553</v>
      </c>
      <c r="AO139" s="60">
        <f t="shared" si="144"/>
        <v>477.85821088970999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1.5961632016114892E-13</v>
      </c>
      <c r="BF139" s="14">
        <f t="shared" si="145"/>
        <v>2.2708641912150958E-12</v>
      </c>
      <c r="BG139" s="22">
        <f t="shared" si="115"/>
        <v>4.2330868906469593E-12</v>
      </c>
      <c r="BH139" s="60">
        <f t="shared" si="116"/>
        <v>280.43795286689635</v>
      </c>
      <c r="BI139" s="60">
        <f ca="1">AVERAGE(OFFSET($BH$3,0,0,'Données projet'!$E$11+1,1))-AVERAGE(OFFSET($H$3,0,0,'Données projet'!$E$11+1,1))</f>
        <v>374.62597460242665</v>
      </c>
      <c r="BJ139" s="60">
        <f t="shared" si="146"/>
        <v>277.50105097454616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1.0286385077051818E-13</v>
      </c>
      <c r="CA139" s="14">
        <f t="shared" si="147"/>
        <v>1.5402366592183556E-12</v>
      </c>
      <c r="CB139" s="22">
        <f t="shared" si="118"/>
        <v>2.8617333882306215E-12</v>
      </c>
      <c r="CC139" s="60">
        <f t="shared" si="119"/>
        <v>280.43795286689499</v>
      </c>
      <c r="CD139" s="60">
        <f ca="1">AVERAGE(OFFSET($CC$3,0,0,'Données projet'!$E$12+1,1))-AVERAGE(OFFSET($H$3,0,0,'Données projet'!$E$12+1,1))</f>
        <v>434.56763649859136</v>
      </c>
      <c r="CE139" s="60">
        <f t="shared" si="148"/>
        <v>271.90302066766264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9.5769792096689348E-14</v>
      </c>
      <c r="CV139" s="14">
        <f t="shared" si="149"/>
        <v>1.4459910566979609E-12</v>
      </c>
      <c r="CW139" s="22">
        <f t="shared" si="121"/>
        <v>2.6852334783173491E-12</v>
      </c>
      <c r="CX139" s="60">
        <f t="shared" si="122"/>
        <v>280.43795286689482</v>
      </c>
      <c r="CY139" s="60">
        <f ca="1">AVERAGE(OFFSET($CX$3,0,0,'Données projet'!$E$13+1,1))-AVERAGE(OFFSET($H$3,0,0,'Données projet'!$E$13+1,1))</f>
        <v>411.64829629901465</v>
      </c>
      <c r="CZ139" s="60">
        <f t="shared" si="150"/>
        <v>258.66864562757917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1.1527845344971866E-13</v>
      </c>
      <c r="DQ139" s="14">
        <f t="shared" si="151"/>
        <v>1.7033846239409443E-12</v>
      </c>
      <c r="DR139" s="22">
        <f t="shared" si="124"/>
        <v>3.1675048597887374E-12</v>
      </c>
      <c r="DS139" s="60">
        <f t="shared" si="125"/>
        <v>280.43795286689533</v>
      </c>
      <c r="DT139" s="60">
        <f ca="1">AVERAGE(OFFSET($DS$3,0,0,'Données projet'!$E$14+1,1))-AVERAGE(OFFSET($H$3,0,0,'Données projet'!$E$14+1,1))</f>
        <v>474.59791006623266</v>
      </c>
      <c r="DU139" s="60">
        <f t="shared" si="152"/>
        <v>295.01432800690293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-4.9658410716801891E-14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334.73467807584336</v>
      </c>
      <c r="EP139" s="60">
        <f t="shared" si="154"/>
        <v>463.8772059551726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1.0381677047396154</v>
      </c>
      <c r="EW139" s="23">
        <f>EXP(-LN(2)/25)*EW138+(1-EXP(-LN(2)/25))/(LN(2)/25)*Calculateur!ER139*Calculateur!ET139*VLOOKUP('Données projet'!$B$15,Paramètres!$A$1:$I$89,3,0)*0.475*44/12</f>
        <v>1.0088276865806804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2.0469953913202961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135.66666666666666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0">
        <f t="shared" si="109"/>
        <v>280.66165888823519</v>
      </c>
      <c r="S140" s="60">
        <f ca="1">AVERAGE(OFFSET($R$3,0,0,'Données projet'!$E$9+1,1))-AVERAGE(OFFSET($H$3,0,0,'Données projet'!$E$9+1,1))</f>
        <v>199.65420589615553</v>
      </c>
      <c r="T140" s="60">
        <f t="shared" si="142"/>
        <v>477.85821088970999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0">
        <f t="shared" si="113"/>
        <v>280.66165888823519</v>
      </c>
      <c r="AN140" s="60">
        <f ca="1">AVERAGE(OFFSET($AM$3,0,0,'Données projet'!$E$10+1,1))-AVERAGE(OFFSET($H$3,0,0,'Données projet'!$E$10+1,1))</f>
        <v>199.65420589615553</v>
      </c>
      <c r="AO140" s="60">
        <f t="shared" si="144"/>
        <v>477.85821088970999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1.5961632016114892E-13</v>
      </c>
      <c r="BF140" s="14">
        <f t="shared" si="145"/>
        <v>2.2708641912150958E-12</v>
      </c>
      <c r="BG140" s="22">
        <f t="shared" si="115"/>
        <v>4.2330868906469593E-12</v>
      </c>
      <c r="BH140" s="60">
        <f t="shared" si="116"/>
        <v>280.66165888823741</v>
      </c>
      <c r="BI140" s="60">
        <f ca="1">AVERAGE(OFFSET($BH$3,0,0,'Données projet'!$E$11+1,1))-AVERAGE(OFFSET($H$3,0,0,'Données projet'!$E$11+1,1))</f>
        <v>374.62597460242665</v>
      </c>
      <c r="BJ140" s="60">
        <f t="shared" si="146"/>
        <v>277.50105097454616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1.0286385077051818E-13</v>
      </c>
      <c r="CA140" s="14">
        <f t="shared" si="147"/>
        <v>1.5402366592183556E-12</v>
      </c>
      <c r="CB140" s="22">
        <f t="shared" si="118"/>
        <v>2.8617333882306215E-12</v>
      </c>
      <c r="CC140" s="60">
        <f t="shared" si="119"/>
        <v>280.66165888823605</v>
      </c>
      <c r="CD140" s="60">
        <f ca="1">AVERAGE(OFFSET($CC$3,0,0,'Données projet'!$E$12+1,1))-AVERAGE(OFFSET($H$3,0,0,'Données projet'!$E$12+1,1))</f>
        <v>434.56763649859136</v>
      </c>
      <c r="CE140" s="60">
        <f t="shared" si="148"/>
        <v>271.90302066766264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9.5769792096689348E-14</v>
      </c>
      <c r="CV140" s="14">
        <f t="shared" si="149"/>
        <v>1.4459910566979609E-12</v>
      </c>
      <c r="CW140" s="22">
        <f t="shared" si="121"/>
        <v>2.6852334783173491E-12</v>
      </c>
      <c r="CX140" s="60">
        <f t="shared" si="122"/>
        <v>280.66165888823588</v>
      </c>
      <c r="CY140" s="60">
        <f ca="1">AVERAGE(OFFSET($CX$3,0,0,'Données projet'!$E$13+1,1))-AVERAGE(OFFSET($H$3,0,0,'Données projet'!$E$13+1,1))</f>
        <v>411.64829629901465</v>
      </c>
      <c r="CZ140" s="60">
        <f t="shared" si="150"/>
        <v>258.66864562757917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1.1527845344971866E-13</v>
      </c>
      <c r="DQ140" s="14">
        <f t="shared" si="151"/>
        <v>1.7033846239409443E-12</v>
      </c>
      <c r="DR140" s="22">
        <f t="shared" si="124"/>
        <v>3.1675048597887374E-12</v>
      </c>
      <c r="DS140" s="60">
        <f t="shared" si="125"/>
        <v>280.66165888823639</v>
      </c>
      <c r="DT140" s="60">
        <f ca="1">AVERAGE(OFFSET($DS$3,0,0,'Données projet'!$E$14+1,1))-AVERAGE(OFFSET($H$3,0,0,'Données projet'!$E$14+1,1))</f>
        <v>474.59791006623266</v>
      </c>
      <c r="DU140" s="60">
        <f t="shared" si="152"/>
        <v>295.01432800690293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-4.9658410716801891E-14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334.73467807584336</v>
      </c>
      <c r="EP140" s="60">
        <f t="shared" si="154"/>
        <v>463.8772059551726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1.0178098692694462</v>
      </c>
      <c r="EW140" s="23">
        <f>EXP(-LN(2)/25)*EW139+(1-EXP(-LN(2)/25))/(LN(2)/25)*Calculateur!ER140*Calculateur!ET140*VLOOKUP('Données projet'!$B$15,Paramètres!$A$1:$I$89,3,0)*0.475*44/12</f>
        <v>0.98124124043918937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1.9990511097086356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135.66666666666666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0">
        <f t="shared" si="109"/>
        <v>280.88148411023769</v>
      </c>
      <c r="S141" s="60">
        <f ca="1">AVERAGE(OFFSET($R$3,0,0,'Données projet'!$E$9+1,1))-AVERAGE(OFFSET($H$3,0,0,'Données projet'!$E$9+1,1))</f>
        <v>199.65420589615553</v>
      </c>
      <c r="T141" s="60">
        <f t="shared" si="142"/>
        <v>477.85821088970999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0">
        <f t="shared" si="113"/>
        <v>280.88148411023769</v>
      </c>
      <c r="AN141" s="60">
        <f ca="1">AVERAGE(OFFSET($AM$3,0,0,'Données projet'!$E$10+1,1))-AVERAGE(OFFSET($H$3,0,0,'Données projet'!$E$10+1,1))</f>
        <v>199.65420589615553</v>
      </c>
      <c r="AO141" s="60">
        <f t="shared" si="144"/>
        <v>477.85821088970999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1.5961632016114892E-13</v>
      </c>
      <c r="BF141" s="14">
        <f t="shared" si="145"/>
        <v>2.2708641912150958E-12</v>
      </c>
      <c r="BG141" s="22">
        <f t="shared" si="115"/>
        <v>4.2330868906469593E-12</v>
      </c>
      <c r="BH141" s="60">
        <f t="shared" si="116"/>
        <v>280.88148411023991</v>
      </c>
      <c r="BI141" s="60">
        <f ca="1">AVERAGE(OFFSET($BH$3,0,0,'Données projet'!$E$11+1,1))-AVERAGE(OFFSET($H$3,0,0,'Données projet'!$E$11+1,1))</f>
        <v>374.62597460242665</v>
      </c>
      <c r="BJ141" s="60">
        <f t="shared" si="146"/>
        <v>277.50105097454616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1.0286385077051818E-13</v>
      </c>
      <c r="CA141" s="14">
        <f t="shared" si="147"/>
        <v>1.5402366592183556E-12</v>
      </c>
      <c r="CB141" s="22">
        <f t="shared" si="118"/>
        <v>2.8617333882306215E-12</v>
      </c>
      <c r="CC141" s="60">
        <f t="shared" si="119"/>
        <v>280.88148411023855</v>
      </c>
      <c r="CD141" s="60">
        <f ca="1">AVERAGE(OFFSET($CC$3,0,0,'Données projet'!$E$12+1,1))-AVERAGE(OFFSET($H$3,0,0,'Données projet'!$E$12+1,1))</f>
        <v>434.56763649859136</v>
      </c>
      <c r="CE141" s="60">
        <f t="shared" si="148"/>
        <v>271.90302066766264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9.5769792096689348E-14</v>
      </c>
      <c r="CV141" s="14">
        <f t="shared" si="149"/>
        <v>1.4459910566979609E-12</v>
      </c>
      <c r="CW141" s="22">
        <f t="shared" si="121"/>
        <v>2.6852334783173491E-12</v>
      </c>
      <c r="CX141" s="60">
        <f t="shared" si="122"/>
        <v>280.88148411023838</v>
      </c>
      <c r="CY141" s="60">
        <f ca="1">AVERAGE(OFFSET($CX$3,0,0,'Données projet'!$E$13+1,1))-AVERAGE(OFFSET($H$3,0,0,'Données projet'!$E$13+1,1))</f>
        <v>411.64829629901465</v>
      </c>
      <c r="CZ141" s="60">
        <f t="shared" si="150"/>
        <v>258.66864562757917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1.1527845344971866E-13</v>
      </c>
      <c r="DQ141" s="14">
        <f t="shared" si="151"/>
        <v>1.7033846239409443E-12</v>
      </c>
      <c r="DR141" s="22">
        <f t="shared" si="124"/>
        <v>3.1675048597887374E-12</v>
      </c>
      <c r="DS141" s="60">
        <f t="shared" si="125"/>
        <v>280.88148411023889</v>
      </c>
      <c r="DT141" s="60">
        <f ca="1">AVERAGE(OFFSET($DS$3,0,0,'Données projet'!$E$14+1,1))-AVERAGE(OFFSET($H$3,0,0,'Données projet'!$E$14+1,1))</f>
        <v>474.59791006623266</v>
      </c>
      <c r="DU141" s="60">
        <f t="shared" si="152"/>
        <v>295.01432800690293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-4.9658410716801891E-14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334.73467807584336</v>
      </c>
      <c r="EP141" s="60">
        <f t="shared" si="154"/>
        <v>463.8772059551726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0.99785123853579338</v>
      </c>
      <c r="EW141" s="23">
        <f>EXP(-LN(2)/25)*EW140+(1-EXP(-LN(2)/25))/(LN(2)/25)*Calculateur!ER141*Calculateur!ET141*VLOOKUP('Données projet'!$B$15,Paramètres!$A$1:$I$89,3,0)*0.475*44/12</f>
        <v>0.95440914711814551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1.9522603856539389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135.66666666666666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0">
        <f t="shared" si="109"/>
        <v>281.09749585609404</v>
      </c>
      <c r="S142" s="60">
        <f ca="1">AVERAGE(OFFSET($R$3,0,0,'Données projet'!$E$9+1,1))-AVERAGE(OFFSET($H$3,0,0,'Données projet'!$E$9+1,1))</f>
        <v>199.65420589615553</v>
      </c>
      <c r="T142" s="60">
        <f t="shared" si="142"/>
        <v>477.85821088970999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0">
        <f t="shared" si="113"/>
        <v>281.09749585609404</v>
      </c>
      <c r="AN142" s="60">
        <f ca="1">AVERAGE(OFFSET($AM$3,0,0,'Données projet'!$E$10+1,1))-AVERAGE(OFFSET($H$3,0,0,'Données projet'!$E$10+1,1))</f>
        <v>199.65420589615553</v>
      </c>
      <c r="AO142" s="60">
        <f t="shared" si="144"/>
        <v>477.85821088970999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1.5961632016114892E-13</v>
      </c>
      <c r="BF142" s="14">
        <f t="shared" si="145"/>
        <v>2.2708641912150958E-12</v>
      </c>
      <c r="BG142" s="22">
        <f t="shared" si="115"/>
        <v>4.2330868906469593E-12</v>
      </c>
      <c r="BH142" s="60">
        <f t="shared" si="116"/>
        <v>281.09749585609626</v>
      </c>
      <c r="BI142" s="60">
        <f ca="1">AVERAGE(OFFSET($BH$3,0,0,'Données projet'!$E$11+1,1))-AVERAGE(OFFSET($H$3,0,0,'Données projet'!$E$11+1,1))</f>
        <v>374.62597460242665</v>
      </c>
      <c r="BJ142" s="60">
        <f t="shared" si="146"/>
        <v>277.50105097454616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1.0286385077051818E-13</v>
      </c>
      <c r="CA142" s="14">
        <f t="shared" si="147"/>
        <v>1.5402366592183556E-12</v>
      </c>
      <c r="CB142" s="22">
        <f t="shared" si="118"/>
        <v>2.8617333882306215E-12</v>
      </c>
      <c r="CC142" s="60">
        <f t="shared" si="119"/>
        <v>281.09749585609489</v>
      </c>
      <c r="CD142" s="60">
        <f ca="1">AVERAGE(OFFSET($CC$3,0,0,'Données projet'!$E$12+1,1))-AVERAGE(OFFSET($H$3,0,0,'Données projet'!$E$12+1,1))</f>
        <v>434.56763649859136</v>
      </c>
      <c r="CE142" s="60">
        <f t="shared" si="148"/>
        <v>271.90302066766264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9.5769792096689348E-14</v>
      </c>
      <c r="CV142" s="14">
        <f t="shared" si="149"/>
        <v>1.4459910566979609E-12</v>
      </c>
      <c r="CW142" s="22">
        <f t="shared" si="121"/>
        <v>2.6852334783173491E-12</v>
      </c>
      <c r="CX142" s="60">
        <f t="shared" si="122"/>
        <v>281.09749585609472</v>
      </c>
      <c r="CY142" s="60">
        <f ca="1">AVERAGE(OFFSET($CX$3,0,0,'Données projet'!$E$13+1,1))-AVERAGE(OFFSET($H$3,0,0,'Données projet'!$E$13+1,1))</f>
        <v>411.64829629901465</v>
      </c>
      <c r="CZ142" s="60">
        <f t="shared" si="150"/>
        <v>258.66864562757917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1.1527845344971866E-13</v>
      </c>
      <c r="DQ142" s="14">
        <f t="shared" si="151"/>
        <v>1.7033846239409443E-12</v>
      </c>
      <c r="DR142" s="22">
        <f t="shared" si="124"/>
        <v>3.1675048597887374E-12</v>
      </c>
      <c r="DS142" s="60">
        <f t="shared" si="125"/>
        <v>281.09749585609524</v>
      </c>
      <c r="DT142" s="60">
        <f ca="1">AVERAGE(OFFSET($DS$3,0,0,'Données projet'!$E$14+1,1))-AVERAGE(OFFSET($H$3,0,0,'Données projet'!$E$14+1,1))</f>
        <v>474.59791006623266</v>
      </c>
      <c r="DU142" s="60">
        <f t="shared" si="152"/>
        <v>295.01432800690293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-4.9658410716801891E-14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334.73467807584336</v>
      </c>
      <c r="EP142" s="60">
        <f t="shared" si="154"/>
        <v>463.8772059551726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0.97828398437726483</v>
      </c>
      <c r="EW142" s="23">
        <f>EXP(-LN(2)/25)*EW141+(1-EXP(-LN(2)/25))/(LN(2)/25)*Calculateur!ER142*Calculateur!ET142*VLOOKUP('Données projet'!$B$15,Paramètres!$A$1:$I$89,3,0)*0.475*44/12</f>
        <v>0.92831077880000412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1.9065947631772691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135.66666666666666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0">
        <f t="shared" si="109"/>
        <v>281.30976028108972</v>
      </c>
      <c r="S143" s="60">
        <f ca="1">AVERAGE(OFFSET($R$3,0,0,'Données projet'!$E$9+1,1))-AVERAGE(OFFSET($H$3,0,0,'Données projet'!$E$9+1,1))</f>
        <v>199.65420589615553</v>
      </c>
      <c r="T143" s="60">
        <f t="shared" si="142"/>
        <v>477.85821088970999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0">
        <f t="shared" si="113"/>
        <v>281.30976028108972</v>
      </c>
      <c r="AN143" s="60">
        <f ca="1">AVERAGE(OFFSET($AM$3,0,0,'Données projet'!$E$10+1,1))-AVERAGE(OFFSET($H$3,0,0,'Données projet'!$E$10+1,1))</f>
        <v>199.65420589615553</v>
      </c>
      <c r="AO143" s="60">
        <f t="shared" si="144"/>
        <v>477.85821088970999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1.5961632016114892E-13</v>
      </c>
      <c r="BF143" s="14">
        <f t="shared" si="145"/>
        <v>2.2708641912150958E-12</v>
      </c>
      <c r="BG143" s="22">
        <f t="shared" si="115"/>
        <v>4.2330868906469593E-12</v>
      </c>
      <c r="BH143" s="60">
        <f t="shared" si="116"/>
        <v>281.30976028109194</v>
      </c>
      <c r="BI143" s="60">
        <f ca="1">AVERAGE(OFFSET($BH$3,0,0,'Données projet'!$E$11+1,1))-AVERAGE(OFFSET($H$3,0,0,'Données projet'!$E$11+1,1))</f>
        <v>374.62597460242665</v>
      </c>
      <c r="BJ143" s="60">
        <f t="shared" si="146"/>
        <v>277.50105097454616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1.0286385077051818E-13</v>
      </c>
      <c r="CA143" s="14">
        <f t="shared" si="147"/>
        <v>1.5402366592183556E-12</v>
      </c>
      <c r="CB143" s="22">
        <f t="shared" si="118"/>
        <v>2.8617333882306215E-12</v>
      </c>
      <c r="CC143" s="60">
        <f t="shared" si="119"/>
        <v>281.30976028109058</v>
      </c>
      <c r="CD143" s="60">
        <f ca="1">AVERAGE(OFFSET($CC$3,0,0,'Données projet'!$E$12+1,1))-AVERAGE(OFFSET($H$3,0,0,'Données projet'!$E$12+1,1))</f>
        <v>434.56763649859136</v>
      </c>
      <c r="CE143" s="60">
        <f t="shared" si="148"/>
        <v>271.90302066766264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9.5769792096689348E-14</v>
      </c>
      <c r="CV143" s="14">
        <f t="shared" si="149"/>
        <v>1.4459910566979609E-12</v>
      </c>
      <c r="CW143" s="22">
        <f t="shared" si="121"/>
        <v>2.6852334783173491E-12</v>
      </c>
      <c r="CX143" s="60">
        <f t="shared" si="122"/>
        <v>281.3097602810904</v>
      </c>
      <c r="CY143" s="60">
        <f ca="1">AVERAGE(OFFSET($CX$3,0,0,'Données projet'!$E$13+1,1))-AVERAGE(OFFSET($H$3,0,0,'Données projet'!$E$13+1,1))</f>
        <v>411.64829629901465</v>
      </c>
      <c r="CZ143" s="60">
        <f t="shared" si="150"/>
        <v>258.66864562757917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1.1527845344971866E-13</v>
      </c>
      <c r="DQ143" s="14">
        <f t="shared" si="151"/>
        <v>1.7033846239409443E-12</v>
      </c>
      <c r="DR143" s="22">
        <f t="shared" si="124"/>
        <v>3.1675048597887374E-12</v>
      </c>
      <c r="DS143" s="60">
        <f t="shared" si="125"/>
        <v>281.30976028109092</v>
      </c>
      <c r="DT143" s="60">
        <f ca="1">AVERAGE(OFFSET($DS$3,0,0,'Données projet'!$E$14+1,1))-AVERAGE(OFFSET($H$3,0,0,'Données projet'!$E$14+1,1))</f>
        <v>474.59791006623266</v>
      </c>
      <c r="DU143" s="60">
        <f t="shared" si="152"/>
        <v>295.01432800690293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-4.9658410716801891E-14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334.73467807584336</v>
      </c>
      <c r="EP143" s="60">
        <f t="shared" si="154"/>
        <v>463.8772059551726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0.9591004321379385</v>
      </c>
      <c r="EW143" s="23">
        <f>EXP(-LN(2)/25)*EW142+(1-EXP(-LN(2)/25))/(LN(2)/25)*Calculateur!ER143*Calculateur!ET143*VLOOKUP('Données projet'!$B$15,Paramètres!$A$1:$I$89,3,0)*0.475*44/12</f>
        <v>0.90292607173597583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1.8620265038739143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135.66666666666666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0">
        <f t="shared" si="109"/>
        <v>281.51834239286381</v>
      </c>
      <c r="S144" s="60">
        <f ca="1">AVERAGE(OFFSET($R$3,0,0,'Données projet'!$E$9+1,1))-AVERAGE(OFFSET($H$3,0,0,'Données projet'!$E$9+1,1))</f>
        <v>199.65420589615553</v>
      </c>
      <c r="T144" s="60">
        <f t="shared" si="142"/>
        <v>477.85821088970999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0">
        <f t="shared" si="113"/>
        <v>281.51834239286381</v>
      </c>
      <c r="AN144" s="60">
        <f ca="1">AVERAGE(OFFSET($AM$3,0,0,'Données projet'!$E$10+1,1))-AVERAGE(OFFSET($H$3,0,0,'Données projet'!$E$10+1,1))</f>
        <v>199.65420589615553</v>
      </c>
      <c r="AO144" s="60">
        <f t="shared" si="144"/>
        <v>477.85821088970999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1.5961632016114892E-13</v>
      </c>
      <c r="BF144" s="14">
        <f t="shared" si="145"/>
        <v>2.2708641912150958E-12</v>
      </c>
      <c r="BG144" s="22">
        <f t="shared" si="115"/>
        <v>4.2330868906469593E-12</v>
      </c>
      <c r="BH144" s="60">
        <f t="shared" si="116"/>
        <v>281.51834239286603</v>
      </c>
      <c r="BI144" s="60">
        <f ca="1">AVERAGE(OFFSET($BH$3,0,0,'Données projet'!$E$11+1,1))-AVERAGE(OFFSET($H$3,0,0,'Données projet'!$E$11+1,1))</f>
        <v>374.62597460242665</v>
      </c>
      <c r="BJ144" s="60">
        <f t="shared" si="146"/>
        <v>277.50105097454616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1.0286385077051818E-13</v>
      </c>
      <c r="CA144" s="14">
        <f t="shared" si="147"/>
        <v>1.5402366592183556E-12</v>
      </c>
      <c r="CB144" s="22">
        <f t="shared" si="118"/>
        <v>2.8617333882306215E-12</v>
      </c>
      <c r="CC144" s="60">
        <f t="shared" si="119"/>
        <v>281.51834239286467</v>
      </c>
      <c r="CD144" s="60">
        <f ca="1">AVERAGE(OFFSET($CC$3,0,0,'Données projet'!$E$12+1,1))-AVERAGE(OFFSET($H$3,0,0,'Données projet'!$E$12+1,1))</f>
        <v>434.56763649859136</v>
      </c>
      <c r="CE144" s="60">
        <f t="shared" si="148"/>
        <v>271.90302066766264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9.5769792096689348E-14</v>
      </c>
      <c r="CV144" s="14">
        <f t="shared" si="149"/>
        <v>1.4459910566979609E-12</v>
      </c>
      <c r="CW144" s="22">
        <f t="shared" si="121"/>
        <v>2.6852334783173491E-12</v>
      </c>
      <c r="CX144" s="60">
        <f t="shared" si="122"/>
        <v>281.5183423928645</v>
      </c>
      <c r="CY144" s="60">
        <f ca="1">AVERAGE(OFFSET($CX$3,0,0,'Données projet'!$E$13+1,1))-AVERAGE(OFFSET($H$3,0,0,'Données projet'!$E$13+1,1))</f>
        <v>411.64829629901465</v>
      </c>
      <c r="CZ144" s="60">
        <f t="shared" si="150"/>
        <v>258.66864562757917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1.1527845344971866E-13</v>
      </c>
      <c r="DQ144" s="14">
        <f t="shared" si="151"/>
        <v>1.7033846239409443E-12</v>
      </c>
      <c r="DR144" s="22">
        <f t="shared" si="124"/>
        <v>3.1675048597887374E-12</v>
      </c>
      <c r="DS144" s="60">
        <f t="shared" si="125"/>
        <v>281.51834239286501</v>
      </c>
      <c r="DT144" s="60">
        <f ca="1">AVERAGE(OFFSET($DS$3,0,0,'Données projet'!$E$14+1,1))-AVERAGE(OFFSET($H$3,0,0,'Données projet'!$E$14+1,1))</f>
        <v>474.59791006623266</v>
      </c>
      <c r="DU144" s="60">
        <f t="shared" si="152"/>
        <v>295.01432800690293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-4.9658410716801891E-14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334.73467807584336</v>
      </c>
      <c r="EP144" s="60">
        <f t="shared" si="154"/>
        <v>463.8772059551726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0.94029305765721383</v>
      </c>
      <c r="EW144" s="23">
        <f>EXP(-LN(2)/25)*EW143+(1-EXP(-LN(2)/25))/(LN(2)/25)*Calculateur!ER144*Calculateur!ET144*VLOOKUP('Données projet'!$B$15,Paramètres!$A$1:$I$89,3,0)*0.475*44/12</f>
        <v>0.87823551082153717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1.8185285684787509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135.66666666666666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0">
        <f t="shared" si="109"/>
        <v>281.72330607131846</v>
      </c>
      <c r="S145" s="60">
        <f ca="1">AVERAGE(OFFSET($R$3,0,0,'Données projet'!$E$9+1,1))-AVERAGE(OFFSET($H$3,0,0,'Données projet'!$E$9+1,1))</f>
        <v>199.65420589615553</v>
      </c>
      <c r="T145" s="60">
        <f t="shared" si="142"/>
        <v>477.85821088970999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0">
        <f t="shared" si="113"/>
        <v>281.72330607131846</v>
      </c>
      <c r="AN145" s="60">
        <f ca="1">AVERAGE(OFFSET($AM$3,0,0,'Données projet'!$E$10+1,1))-AVERAGE(OFFSET($H$3,0,0,'Données projet'!$E$10+1,1))</f>
        <v>199.65420589615553</v>
      </c>
      <c r="AO145" s="60">
        <f t="shared" si="144"/>
        <v>477.85821088970999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1.5961632016114892E-13</v>
      </c>
      <c r="BF145" s="14">
        <f t="shared" si="145"/>
        <v>2.2708641912150958E-12</v>
      </c>
      <c r="BG145" s="22">
        <f t="shared" si="115"/>
        <v>4.2330868906469593E-12</v>
      </c>
      <c r="BH145" s="60">
        <f t="shared" si="116"/>
        <v>281.72330607132068</v>
      </c>
      <c r="BI145" s="60">
        <f ca="1">AVERAGE(OFFSET($BH$3,0,0,'Données projet'!$E$11+1,1))-AVERAGE(OFFSET($H$3,0,0,'Données projet'!$E$11+1,1))</f>
        <v>374.62597460242665</v>
      </c>
      <c r="BJ145" s="60">
        <f t="shared" si="146"/>
        <v>277.50105097454616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1.0286385077051818E-13</v>
      </c>
      <c r="CA145" s="14">
        <f t="shared" si="147"/>
        <v>1.5402366592183556E-12</v>
      </c>
      <c r="CB145" s="22">
        <f t="shared" si="118"/>
        <v>2.8617333882306215E-12</v>
      </c>
      <c r="CC145" s="60">
        <f t="shared" si="119"/>
        <v>281.72330607131931</v>
      </c>
      <c r="CD145" s="60">
        <f ca="1">AVERAGE(OFFSET($CC$3,0,0,'Données projet'!$E$12+1,1))-AVERAGE(OFFSET($H$3,0,0,'Données projet'!$E$12+1,1))</f>
        <v>434.56763649859136</v>
      </c>
      <c r="CE145" s="60">
        <f t="shared" si="148"/>
        <v>271.90302066766264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9.5769792096689348E-14</v>
      </c>
      <c r="CV145" s="14">
        <f t="shared" si="149"/>
        <v>1.4459910566979609E-12</v>
      </c>
      <c r="CW145" s="22">
        <f t="shared" si="121"/>
        <v>2.6852334783173491E-12</v>
      </c>
      <c r="CX145" s="60">
        <f t="shared" si="122"/>
        <v>281.72330607131914</v>
      </c>
      <c r="CY145" s="60">
        <f ca="1">AVERAGE(OFFSET($CX$3,0,0,'Données projet'!$E$13+1,1))-AVERAGE(OFFSET($H$3,0,0,'Données projet'!$E$13+1,1))</f>
        <v>411.64829629901465</v>
      </c>
      <c r="CZ145" s="60">
        <f t="shared" si="150"/>
        <v>258.66864562757917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1.1527845344971866E-13</v>
      </c>
      <c r="DQ145" s="14">
        <f t="shared" si="151"/>
        <v>1.7033846239409443E-12</v>
      </c>
      <c r="DR145" s="22">
        <f t="shared" si="124"/>
        <v>3.1675048597887374E-12</v>
      </c>
      <c r="DS145" s="60">
        <f t="shared" si="125"/>
        <v>281.72330607131966</v>
      </c>
      <c r="DT145" s="60">
        <f ca="1">AVERAGE(OFFSET($DS$3,0,0,'Données projet'!$E$14+1,1))-AVERAGE(OFFSET($H$3,0,0,'Données projet'!$E$14+1,1))</f>
        <v>474.59791006623266</v>
      </c>
      <c r="DU145" s="60">
        <f t="shared" si="152"/>
        <v>295.01432800690293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-4.9658410716801891E-14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334.73467807584336</v>
      </c>
      <c r="EP145" s="60">
        <f t="shared" si="154"/>
        <v>463.8772059551726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0.92185448431869044</v>
      </c>
      <c r="EW145" s="23">
        <f>EXP(-LN(2)/25)*EW144+(1-EXP(-LN(2)/25))/(LN(2)/25)*Calculateur!ER145*Calculateur!ET145*VLOOKUP('Données projet'!$B$15,Paramètres!$A$1:$I$89,3,0)*0.475*44/12</f>
        <v>0.85422011459372393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1.7760745989124143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135.66666666666666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0">
        <f t="shared" si="109"/>
        <v>281.92471408818199</v>
      </c>
      <c r="S146" s="60">
        <f ca="1">AVERAGE(OFFSET($R$3,0,0,'Données projet'!$E$9+1,1))-AVERAGE(OFFSET($H$3,0,0,'Données projet'!$E$9+1,1))</f>
        <v>199.65420589615553</v>
      </c>
      <c r="T146" s="60">
        <f t="shared" si="142"/>
        <v>477.85821088970999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0">
        <f t="shared" si="113"/>
        <v>281.92471408818199</v>
      </c>
      <c r="AN146" s="60">
        <f ca="1">AVERAGE(OFFSET($AM$3,0,0,'Données projet'!$E$10+1,1))-AVERAGE(OFFSET($H$3,0,0,'Données projet'!$E$10+1,1))</f>
        <v>199.65420589615553</v>
      </c>
      <c r="AO146" s="60">
        <f t="shared" si="144"/>
        <v>477.85821088970999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1.5961632016114892E-13</v>
      </c>
      <c r="BF146" s="14">
        <f t="shared" si="145"/>
        <v>2.2708641912150958E-12</v>
      </c>
      <c r="BG146" s="22">
        <f t="shared" si="115"/>
        <v>4.2330868906469593E-12</v>
      </c>
      <c r="BH146" s="60">
        <f t="shared" si="116"/>
        <v>281.9247140881842</v>
      </c>
      <c r="BI146" s="60">
        <f ca="1">AVERAGE(OFFSET($BH$3,0,0,'Données projet'!$E$11+1,1))-AVERAGE(OFFSET($H$3,0,0,'Données projet'!$E$11+1,1))</f>
        <v>374.62597460242665</v>
      </c>
      <c r="BJ146" s="60">
        <f t="shared" si="146"/>
        <v>277.50105097454616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1.0286385077051818E-13</v>
      </c>
      <c r="CA146" s="14">
        <f t="shared" si="147"/>
        <v>1.5402366592183556E-12</v>
      </c>
      <c r="CB146" s="22">
        <f t="shared" si="118"/>
        <v>2.8617333882306215E-12</v>
      </c>
      <c r="CC146" s="60">
        <f t="shared" si="119"/>
        <v>281.92471408818284</v>
      </c>
      <c r="CD146" s="60">
        <f ca="1">AVERAGE(OFFSET($CC$3,0,0,'Données projet'!$E$12+1,1))-AVERAGE(OFFSET($H$3,0,0,'Données projet'!$E$12+1,1))</f>
        <v>434.56763649859136</v>
      </c>
      <c r="CE146" s="60">
        <f t="shared" si="148"/>
        <v>271.90302066766264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9.5769792096689348E-14</v>
      </c>
      <c r="CV146" s="14">
        <f t="shared" si="149"/>
        <v>1.4459910566979609E-12</v>
      </c>
      <c r="CW146" s="22">
        <f t="shared" si="121"/>
        <v>2.6852334783173491E-12</v>
      </c>
      <c r="CX146" s="60">
        <f t="shared" si="122"/>
        <v>281.92471408818267</v>
      </c>
      <c r="CY146" s="60">
        <f ca="1">AVERAGE(OFFSET($CX$3,0,0,'Données projet'!$E$13+1,1))-AVERAGE(OFFSET($H$3,0,0,'Données projet'!$E$13+1,1))</f>
        <v>411.64829629901465</v>
      </c>
      <c r="CZ146" s="60">
        <f t="shared" si="150"/>
        <v>258.66864562757917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1.1527845344971866E-13</v>
      </c>
      <c r="DQ146" s="14">
        <f t="shared" si="151"/>
        <v>1.7033846239409443E-12</v>
      </c>
      <c r="DR146" s="22">
        <f t="shared" si="124"/>
        <v>3.1675048597887374E-12</v>
      </c>
      <c r="DS146" s="60">
        <f t="shared" si="125"/>
        <v>281.92471408818318</v>
      </c>
      <c r="DT146" s="60">
        <f ca="1">AVERAGE(OFFSET($DS$3,0,0,'Données projet'!$E$14+1,1))-AVERAGE(OFFSET($H$3,0,0,'Données projet'!$E$14+1,1))</f>
        <v>474.59791006623266</v>
      </c>
      <c r="DU146" s="60">
        <f t="shared" si="152"/>
        <v>295.01432800690293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-4.9658410716801891E-14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334.73467807584336</v>
      </c>
      <c r="EP146" s="60">
        <f t="shared" si="154"/>
        <v>463.8772059551726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0.90377748015691628</v>
      </c>
      <c r="EW146" s="23">
        <f>EXP(-LN(2)/25)*EW145+(1-EXP(-LN(2)/25))/(LN(2)/25)*Calculateur!ER146*Calculateur!ET146*VLOOKUP('Données projet'!$B$15,Paramètres!$A$1:$I$89,3,0)*0.475*44/12</f>
        <v>0.83086142063867507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1.7346389007955914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135.66666666666666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0">
        <f t="shared" si="109"/>
        <v>282.12262812623374</v>
      </c>
      <c r="S147" s="60">
        <f ca="1">AVERAGE(OFFSET($R$3,0,0,'Données projet'!$E$9+1,1))-AVERAGE(OFFSET($H$3,0,0,'Données projet'!$E$9+1,1))</f>
        <v>199.65420589615553</v>
      </c>
      <c r="T147" s="60">
        <f t="shared" si="142"/>
        <v>477.85821088970999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0">
        <f t="shared" si="113"/>
        <v>282.12262812623374</v>
      </c>
      <c r="AN147" s="60">
        <f ca="1">AVERAGE(OFFSET($AM$3,0,0,'Données projet'!$E$10+1,1))-AVERAGE(OFFSET($H$3,0,0,'Données projet'!$E$10+1,1))</f>
        <v>199.65420589615553</v>
      </c>
      <c r="AO147" s="60">
        <f t="shared" si="144"/>
        <v>477.85821088970999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1.5961632016114892E-13</v>
      </c>
      <c r="BF147" s="14">
        <f t="shared" si="145"/>
        <v>2.2708641912150958E-12</v>
      </c>
      <c r="BG147" s="22">
        <f t="shared" si="115"/>
        <v>4.2330868906469593E-12</v>
      </c>
      <c r="BH147" s="60">
        <f t="shared" si="116"/>
        <v>282.12262812623595</v>
      </c>
      <c r="BI147" s="60">
        <f ca="1">AVERAGE(OFFSET($BH$3,0,0,'Données projet'!$E$11+1,1))-AVERAGE(OFFSET($H$3,0,0,'Données projet'!$E$11+1,1))</f>
        <v>374.62597460242665</v>
      </c>
      <c r="BJ147" s="60">
        <f t="shared" si="146"/>
        <v>277.50105097454616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1.0286385077051818E-13</v>
      </c>
      <c r="CA147" s="14">
        <f t="shared" si="147"/>
        <v>1.5402366592183556E-12</v>
      </c>
      <c r="CB147" s="22">
        <f t="shared" si="118"/>
        <v>2.8617333882306215E-12</v>
      </c>
      <c r="CC147" s="60">
        <f t="shared" si="119"/>
        <v>282.12262812623459</v>
      </c>
      <c r="CD147" s="60">
        <f ca="1">AVERAGE(OFFSET($CC$3,0,0,'Données projet'!$E$12+1,1))-AVERAGE(OFFSET($H$3,0,0,'Données projet'!$E$12+1,1))</f>
        <v>434.56763649859136</v>
      </c>
      <c r="CE147" s="60">
        <f t="shared" si="148"/>
        <v>271.90302066766264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9.5769792096689348E-14</v>
      </c>
      <c r="CV147" s="14">
        <f t="shared" si="149"/>
        <v>1.4459910566979609E-12</v>
      </c>
      <c r="CW147" s="22">
        <f t="shared" si="121"/>
        <v>2.6852334783173491E-12</v>
      </c>
      <c r="CX147" s="60">
        <f t="shared" si="122"/>
        <v>282.12262812623442</v>
      </c>
      <c r="CY147" s="60">
        <f ca="1">AVERAGE(OFFSET($CX$3,0,0,'Données projet'!$E$13+1,1))-AVERAGE(OFFSET($H$3,0,0,'Données projet'!$E$13+1,1))</f>
        <v>411.64829629901465</v>
      </c>
      <c r="CZ147" s="60">
        <f t="shared" si="150"/>
        <v>258.66864562757917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1.1527845344971866E-13</v>
      </c>
      <c r="DQ147" s="14">
        <f t="shared" si="151"/>
        <v>1.7033846239409443E-12</v>
      </c>
      <c r="DR147" s="22">
        <f t="shared" si="124"/>
        <v>3.1675048597887374E-12</v>
      </c>
      <c r="DS147" s="60">
        <f t="shared" si="125"/>
        <v>282.12262812623493</v>
      </c>
      <c r="DT147" s="60">
        <f ca="1">AVERAGE(OFFSET($DS$3,0,0,'Données projet'!$E$14+1,1))-AVERAGE(OFFSET($H$3,0,0,'Données projet'!$E$14+1,1))</f>
        <v>474.59791006623266</v>
      </c>
      <c r="DU147" s="60">
        <f t="shared" si="152"/>
        <v>295.01432800690293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-4.9658410716801891E-14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334.73467807584336</v>
      </c>
      <c r="EP147" s="60">
        <f t="shared" si="154"/>
        <v>463.8772059551726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0.88605495502087062</v>
      </c>
      <c r="EW147" s="23">
        <f>EXP(-LN(2)/25)*EW146+(1-EXP(-LN(2)/25))/(LN(2)/25)*Calculateur!ER147*Calculateur!ET147*VLOOKUP('Données projet'!$B$15,Paramètres!$A$1:$I$89,3,0)*0.475*44/12</f>
        <v>0.80814147139820736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1.6941964264190781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135.66666666666666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0">
        <f t="shared" si="109"/>
        <v>282.31710879819497</v>
      </c>
      <c r="S148" s="60">
        <f ca="1">AVERAGE(OFFSET($R$3,0,0,'Données projet'!$E$9+1,1))-AVERAGE(OFFSET($H$3,0,0,'Données projet'!$E$9+1,1))</f>
        <v>199.65420589615553</v>
      </c>
      <c r="T148" s="60">
        <f t="shared" si="142"/>
        <v>477.85821088970999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0">
        <f t="shared" si="113"/>
        <v>282.31710879819497</v>
      </c>
      <c r="AN148" s="60">
        <f ca="1">AVERAGE(OFFSET($AM$3,0,0,'Données projet'!$E$10+1,1))-AVERAGE(OFFSET($H$3,0,0,'Données projet'!$E$10+1,1))</f>
        <v>199.65420589615553</v>
      </c>
      <c r="AO148" s="60">
        <f t="shared" si="144"/>
        <v>477.85821088970999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1.5961632016114892E-13</v>
      </c>
      <c r="BF148" s="14">
        <f t="shared" si="145"/>
        <v>2.2708641912150958E-12</v>
      </c>
      <c r="BG148" s="22">
        <f t="shared" si="115"/>
        <v>4.2330868906469593E-12</v>
      </c>
      <c r="BH148" s="60">
        <f t="shared" si="116"/>
        <v>282.31710879819718</v>
      </c>
      <c r="BI148" s="60">
        <f ca="1">AVERAGE(OFFSET($BH$3,0,0,'Données projet'!$E$11+1,1))-AVERAGE(OFFSET($H$3,0,0,'Données projet'!$E$11+1,1))</f>
        <v>374.62597460242665</v>
      </c>
      <c r="BJ148" s="60">
        <f t="shared" si="146"/>
        <v>277.50105097454616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1.0286385077051818E-13</v>
      </c>
      <c r="CA148" s="14">
        <f t="shared" si="147"/>
        <v>1.5402366592183556E-12</v>
      </c>
      <c r="CB148" s="22">
        <f t="shared" si="118"/>
        <v>2.8617333882306215E-12</v>
      </c>
      <c r="CC148" s="60">
        <f t="shared" si="119"/>
        <v>282.31710879819582</v>
      </c>
      <c r="CD148" s="60">
        <f ca="1">AVERAGE(OFFSET($CC$3,0,0,'Données projet'!$E$12+1,1))-AVERAGE(OFFSET($H$3,0,0,'Données projet'!$E$12+1,1))</f>
        <v>434.56763649859136</v>
      </c>
      <c r="CE148" s="60">
        <f t="shared" si="148"/>
        <v>271.90302066766264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9.5769792096689348E-14</v>
      </c>
      <c r="CV148" s="14">
        <f t="shared" si="149"/>
        <v>1.4459910566979609E-12</v>
      </c>
      <c r="CW148" s="22">
        <f t="shared" si="121"/>
        <v>2.6852334783173491E-12</v>
      </c>
      <c r="CX148" s="60">
        <f t="shared" si="122"/>
        <v>282.31710879819565</v>
      </c>
      <c r="CY148" s="60">
        <f ca="1">AVERAGE(OFFSET($CX$3,0,0,'Données projet'!$E$13+1,1))-AVERAGE(OFFSET($H$3,0,0,'Données projet'!$E$13+1,1))</f>
        <v>411.64829629901465</v>
      </c>
      <c r="CZ148" s="60">
        <f t="shared" si="150"/>
        <v>258.66864562757917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1.1527845344971866E-13</v>
      </c>
      <c r="DQ148" s="14">
        <f t="shared" si="151"/>
        <v>1.7033846239409443E-12</v>
      </c>
      <c r="DR148" s="22">
        <f t="shared" si="124"/>
        <v>3.1675048597887374E-12</v>
      </c>
      <c r="DS148" s="60">
        <f t="shared" si="125"/>
        <v>282.31710879819616</v>
      </c>
      <c r="DT148" s="60">
        <f ca="1">AVERAGE(OFFSET($DS$3,0,0,'Données projet'!$E$14+1,1))-AVERAGE(OFFSET($H$3,0,0,'Données projet'!$E$14+1,1))</f>
        <v>474.59791006623266</v>
      </c>
      <c r="DU148" s="60">
        <f t="shared" si="152"/>
        <v>295.01432800690293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-4.9658410716801891E-14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334.73467807584336</v>
      </c>
      <c r="EP148" s="60">
        <f t="shared" si="154"/>
        <v>463.8772059551726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0.86867995779306983</v>
      </c>
      <c r="EW148" s="23">
        <f>EXP(-LN(2)/25)*EW147+(1-EXP(-LN(2)/25))/(LN(2)/25)*Calculateur!ER148*Calculateur!ET148*VLOOKUP('Données projet'!$B$15,Paramètres!$A$1:$I$89,3,0)*0.475*44/12</f>
        <v>0.78604280036451046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1.6547227581575803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135.66666666666666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0">
        <f t="shared" si="109"/>
        <v>282.50821566529123</v>
      </c>
      <c r="S149" s="60">
        <f ca="1">AVERAGE(OFFSET($R$3,0,0,'Données projet'!$E$9+1,1))-AVERAGE(OFFSET($H$3,0,0,'Données projet'!$E$9+1,1))</f>
        <v>199.65420589615553</v>
      </c>
      <c r="T149" s="60">
        <f t="shared" si="142"/>
        <v>477.85821088970999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0">
        <f t="shared" si="113"/>
        <v>282.50821566529123</v>
      </c>
      <c r="AN149" s="60">
        <f ca="1">AVERAGE(OFFSET($AM$3,0,0,'Données projet'!$E$10+1,1))-AVERAGE(OFFSET($H$3,0,0,'Données projet'!$E$10+1,1))</f>
        <v>199.65420589615553</v>
      </c>
      <c r="AO149" s="60">
        <f t="shared" si="144"/>
        <v>477.85821088970999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1.5961632016114892E-13</v>
      </c>
      <c r="BF149" s="14">
        <f t="shared" si="145"/>
        <v>2.2708641912150958E-12</v>
      </c>
      <c r="BG149" s="22">
        <f t="shared" si="115"/>
        <v>4.2330868906469593E-12</v>
      </c>
      <c r="BH149" s="60">
        <f t="shared" si="116"/>
        <v>282.50821566529345</v>
      </c>
      <c r="BI149" s="60">
        <f ca="1">AVERAGE(OFFSET($BH$3,0,0,'Données projet'!$E$11+1,1))-AVERAGE(OFFSET($H$3,0,0,'Données projet'!$E$11+1,1))</f>
        <v>374.62597460242665</v>
      </c>
      <c r="BJ149" s="60">
        <f t="shared" si="146"/>
        <v>277.50105097454616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1.0286385077051818E-13</v>
      </c>
      <c r="CA149" s="14">
        <f t="shared" si="147"/>
        <v>1.5402366592183556E-12</v>
      </c>
      <c r="CB149" s="22">
        <f t="shared" si="118"/>
        <v>2.8617333882306215E-12</v>
      </c>
      <c r="CC149" s="60">
        <f t="shared" si="119"/>
        <v>282.50821566529208</v>
      </c>
      <c r="CD149" s="60">
        <f ca="1">AVERAGE(OFFSET($CC$3,0,0,'Données projet'!$E$12+1,1))-AVERAGE(OFFSET($H$3,0,0,'Données projet'!$E$12+1,1))</f>
        <v>434.56763649859136</v>
      </c>
      <c r="CE149" s="60">
        <f t="shared" si="148"/>
        <v>271.90302066766264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9.5769792096689348E-14</v>
      </c>
      <c r="CV149" s="14">
        <f t="shared" si="149"/>
        <v>1.4459910566979609E-12</v>
      </c>
      <c r="CW149" s="22">
        <f t="shared" si="121"/>
        <v>2.6852334783173491E-12</v>
      </c>
      <c r="CX149" s="60">
        <f t="shared" si="122"/>
        <v>282.50821566529191</v>
      </c>
      <c r="CY149" s="60">
        <f ca="1">AVERAGE(OFFSET($CX$3,0,0,'Données projet'!$E$13+1,1))-AVERAGE(OFFSET($H$3,0,0,'Données projet'!$E$13+1,1))</f>
        <v>411.64829629901465</v>
      </c>
      <c r="CZ149" s="60">
        <f t="shared" si="150"/>
        <v>258.66864562757917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1.1527845344971866E-13</v>
      </c>
      <c r="DQ149" s="14">
        <f t="shared" si="151"/>
        <v>1.7033846239409443E-12</v>
      </c>
      <c r="DR149" s="22">
        <f t="shared" si="124"/>
        <v>3.1675048597887374E-12</v>
      </c>
      <c r="DS149" s="60">
        <f t="shared" si="125"/>
        <v>282.50821566529243</v>
      </c>
      <c r="DT149" s="60">
        <f ca="1">AVERAGE(OFFSET($DS$3,0,0,'Données projet'!$E$14+1,1))-AVERAGE(OFFSET($H$3,0,0,'Données projet'!$E$14+1,1))</f>
        <v>474.59791006623266</v>
      </c>
      <c r="DU149" s="60">
        <f t="shared" si="152"/>
        <v>295.01432800690293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-4.9658410716801891E-14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334.73467807584336</v>
      </c>
      <c r="EP149" s="60">
        <f t="shared" si="154"/>
        <v>463.8772059551726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0.85164567366320443</v>
      </c>
      <c r="EW149" s="23">
        <f>EXP(-LN(2)/25)*EW148+(1-EXP(-LN(2)/25))/(LN(2)/25)*Calculateur!ER149*Calculateur!ET149*VLOOKUP('Données projet'!$B$15,Paramètres!$A$1:$I$89,3,0)*0.475*44/12</f>
        <v>0.76454841865234857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1.6161940923155531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135.66666666666666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0">
        <f t="shared" si="109"/>
        <v>282.69600725549429</v>
      </c>
      <c r="S150" s="60">
        <f ca="1">AVERAGE(OFFSET($R$3,0,0,'Données projet'!$E$9+1,1))-AVERAGE(OFFSET($H$3,0,0,'Données projet'!$E$9+1,1))</f>
        <v>199.65420589615553</v>
      </c>
      <c r="T150" s="60">
        <f t="shared" si="142"/>
        <v>477.85821088970999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0">
        <f t="shared" si="113"/>
        <v>282.69600725549429</v>
      </c>
      <c r="AN150" s="60">
        <f ca="1">AVERAGE(OFFSET($AM$3,0,0,'Données projet'!$E$10+1,1))-AVERAGE(OFFSET($H$3,0,0,'Données projet'!$E$10+1,1))</f>
        <v>199.65420589615553</v>
      </c>
      <c r="AO150" s="60">
        <f t="shared" si="144"/>
        <v>477.85821088970999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1.5961632016114892E-13</v>
      </c>
      <c r="BF150" s="14">
        <f t="shared" si="145"/>
        <v>2.2708641912150958E-12</v>
      </c>
      <c r="BG150" s="22">
        <f t="shared" si="115"/>
        <v>4.2330868906469593E-12</v>
      </c>
      <c r="BH150" s="60">
        <f t="shared" si="116"/>
        <v>282.69600725549651</v>
      </c>
      <c r="BI150" s="60">
        <f ca="1">AVERAGE(OFFSET($BH$3,0,0,'Données projet'!$E$11+1,1))-AVERAGE(OFFSET($H$3,0,0,'Données projet'!$E$11+1,1))</f>
        <v>374.62597460242665</v>
      </c>
      <c r="BJ150" s="60">
        <f t="shared" si="146"/>
        <v>277.50105097454616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1.0286385077051818E-13</v>
      </c>
      <c r="CA150" s="14">
        <f t="shared" si="147"/>
        <v>1.5402366592183556E-12</v>
      </c>
      <c r="CB150" s="22">
        <f t="shared" si="118"/>
        <v>2.8617333882306215E-12</v>
      </c>
      <c r="CC150" s="60">
        <f t="shared" si="119"/>
        <v>282.69600725549515</v>
      </c>
      <c r="CD150" s="60">
        <f ca="1">AVERAGE(OFFSET($CC$3,0,0,'Données projet'!$E$12+1,1))-AVERAGE(OFFSET($H$3,0,0,'Données projet'!$E$12+1,1))</f>
        <v>434.56763649859136</v>
      </c>
      <c r="CE150" s="60">
        <f t="shared" si="148"/>
        <v>271.90302066766264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9.5769792096689348E-14</v>
      </c>
      <c r="CV150" s="14">
        <f t="shared" si="149"/>
        <v>1.4459910566979609E-12</v>
      </c>
      <c r="CW150" s="22">
        <f t="shared" si="121"/>
        <v>2.6852334783173491E-12</v>
      </c>
      <c r="CX150" s="60">
        <f t="shared" si="122"/>
        <v>282.69600725549498</v>
      </c>
      <c r="CY150" s="60">
        <f ca="1">AVERAGE(OFFSET($CX$3,0,0,'Données projet'!$E$13+1,1))-AVERAGE(OFFSET($H$3,0,0,'Données projet'!$E$13+1,1))</f>
        <v>411.64829629901465</v>
      </c>
      <c r="CZ150" s="60">
        <f t="shared" si="150"/>
        <v>258.66864562757917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1.1527845344971866E-13</v>
      </c>
      <c r="DQ150" s="14">
        <f t="shared" si="151"/>
        <v>1.7033846239409443E-12</v>
      </c>
      <c r="DR150" s="22">
        <f t="shared" si="124"/>
        <v>3.1675048597887374E-12</v>
      </c>
      <c r="DS150" s="60">
        <f t="shared" si="125"/>
        <v>282.69600725549549</v>
      </c>
      <c r="DT150" s="60">
        <f ca="1">AVERAGE(OFFSET($DS$3,0,0,'Données projet'!$E$14+1,1))-AVERAGE(OFFSET($H$3,0,0,'Données projet'!$E$14+1,1))</f>
        <v>474.59791006623266</v>
      </c>
      <c r="DU150" s="60">
        <f t="shared" si="152"/>
        <v>295.01432800690293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-4.9658410716801891E-14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334.73467807584336</v>
      </c>
      <c r="EP150" s="60">
        <f t="shared" si="154"/>
        <v>463.8772059551726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0.8349454214552382</v>
      </c>
      <c r="EW150" s="23">
        <f>EXP(-LN(2)/25)*EW149+(1-EXP(-LN(2)/25))/(LN(2)/25)*Calculateur!ER150*Calculateur!ET150*VLOOKUP('Données projet'!$B$15,Paramètres!$A$1:$I$89,3,0)*0.475*44/12</f>
        <v>0.7436418019384462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1.5785872233936844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135.66666666666666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0">
        <f t="shared" si="109"/>
        <v>282.88054108144644</v>
      </c>
      <c r="S151" s="60">
        <f ca="1">AVERAGE(OFFSET($R$3,0,0,'Données projet'!$E$9+1,1))-AVERAGE(OFFSET($H$3,0,0,'Données projet'!$E$9+1,1))</f>
        <v>199.65420589615553</v>
      </c>
      <c r="T151" s="60">
        <f t="shared" si="142"/>
        <v>477.85821088970999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0">
        <f t="shared" si="113"/>
        <v>282.88054108144644</v>
      </c>
      <c r="AN151" s="60">
        <f ca="1">AVERAGE(OFFSET($AM$3,0,0,'Données projet'!$E$10+1,1))-AVERAGE(OFFSET($H$3,0,0,'Données projet'!$E$10+1,1))</f>
        <v>199.65420589615553</v>
      </c>
      <c r="AO151" s="60">
        <f t="shared" si="144"/>
        <v>477.85821088970999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1.5961632016114892E-13</v>
      </c>
      <c r="BF151" s="14">
        <f t="shared" si="145"/>
        <v>2.2708641912150958E-12</v>
      </c>
      <c r="BG151" s="22">
        <f t="shared" si="115"/>
        <v>4.2330868906469593E-12</v>
      </c>
      <c r="BH151" s="60">
        <f t="shared" si="116"/>
        <v>282.88054108144865</v>
      </c>
      <c r="BI151" s="60">
        <f ca="1">AVERAGE(OFFSET($BH$3,0,0,'Données projet'!$E$11+1,1))-AVERAGE(OFFSET($H$3,0,0,'Données projet'!$E$11+1,1))</f>
        <v>374.62597460242665</v>
      </c>
      <c r="BJ151" s="60">
        <f t="shared" si="146"/>
        <v>277.50105097454616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1.0286385077051818E-13</v>
      </c>
      <c r="CA151" s="14">
        <f t="shared" si="147"/>
        <v>1.5402366592183556E-12</v>
      </c>
      <c r="CB151" s="22">
        <f t="shared" si="118"/>
        <v>2.8617333882306215E-12</v>
      </c>
      <c r="CC151" s="60">
        <f t="shared" si="119"/>
        <v>282.88054108144729</v>
      </c>
      <c r="CD151" s="60">
        <f ca="1">AVERAGE(OFFSET($CC$3,0,0,'Données projet'!$E$12+1,1))-AVERAGE(OFFSET($H$3,0,0,'Données projet'!$E$12+1,1))</f>
        <v>434.56763649859136</v>
      </c>
      <c r="CE151" s="60">
        <f t="shared" si="148"/>
        <v>271.90302066766264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9.5769792096689348E-14</v>
      </c>
      <c r="CV151" s="14">
        <f t="shared" si="149"/>
        <v>1.4459910566979609E-12</v>
      </c>
      <c r="CW151" s="22">
        <f t="shared" si="121"/>
        <v>2.6852334783173491E-12</v>
      </c>
      <c r="CX151" s="60">
        <f t="shared" si="122"/>
        <v>282.88054108144712</v>
      </c>
      <c r="CY151" s="60">
        <f ca="1">AVERAGE(OFFSET($CX$3,0,0,'Données projet'!$E$13+1,1))-AVERAGE(OFFSET($H$3,0,0,'Données projet'!$E$13+1,1))</f>
        <v>411.64829629901465</v>
      </c>
      <c r="CZ151" s="60">
        <f t="shared" si="150"/>
        <v>258.66864562757917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1.1527845344971866E-13</v>
      </c>
      <c r="DQ151" s="14">
        <f t="shared" si="151"/>
        <v>1.7033846239409443E-12</v>
      </c>
      <c r="DR151" s="22">
        <f t="shared" si="124"/>
        <v>3.1675048597887374E-12</v>
      </c>
      <c r="DS151" s="60">
        <f t="shared" si="125"/>
        <v>282.88054108144763</v>
      </c>
      <c r="DT151" s="60">
        <f ca="1">AVERAGE(OFFSET($DS$3,0,0,'Données projet'!$E$14+1,1))-AVERAGE(OFFSET($H$3,0,0,'Données projet'!$E$14+1,1))</f>
        <v>474.59791006623266</v>
      </c>
      <c r="DU151" s="60">
        <f t="shared" si="152"/>
        <v>295.01432800690293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-4.9658410716801891E-14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334.73467807584336</v>
      </c>
      <c r="EP151" s="60">
        <f t="shared" si="154"/>
        <v>463.8772059551726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0.81857265100692223</v>
      </c>
      <c r="EW151" s="23">
        <f>EXP(-LN(2)/25)*EW150+(1-EXP(-LN(2)/25))/(LN(2)/25)*Calculateur!ER151*Calculateur!ET151*VLOOKUP('Données projet'!$B$15,Paramètres!$A$1:$I$89,3,0)*0.475*44/12</f>
        <v>0.72330687775801661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1.5418795287649387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135.66666666666666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0">
        <f t="shared" si="109"/>
        <v>283.06187365807415</v>
      </c>
      <c r="S152" s="60">
        <f ca="1">AVERAGE(OFFSET($R$3,0,0,'Données projet'!$E$9+1,1))-AVERAGE(OFFSET($H$3,0,0,'Données projet'!$E$9+1,1))</f>
        <v>199.65420589615553</v>
      </c>
      <c r="T152" s="60">
        <f t="shared" si="142"/>
        <v>477.85821088970999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0">
        <f t="shared" si="113"/>
        <v>283.06187365807415</v>
      </c>
      <c r="AN152" s="60">
        <f ca="1">AVERAGE(OFFSET($AM$3,0,0,'Données projet'!$E$10+1,1))-AVERAGE(OFFSET($H$3,0,0,'Données projet'!$E$10+1,1))</f>
        <v>199.65420589615553</v>
      </c>
      <c r="AO152" s="60">
        <f t="shared" si="144"/>
        <v>477.85821088970999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1.5961632016114892E-13</v>
      </c>
      <c r="BF152" s="14">
        <f t="shared" si="145"/>
        <v>2.2708641912150958E-12</v>
      </c>
      <c r="BG152" s="22">
        <f t="shared" si="115"/>
        <v>4.2330868906469593E-12</v>
      </c>
      <c r="BH152" s="60">
        <f t="shared" si="116"/>
        <v>283.06187365807637</v>
      </c>
      <c r="BI152" s="60">
        <f ca="1">AVERAGE(OFFSET($BH$3,0,0,'Données projet'!$E$11+1,1))-AVERAGE(OFFSET($H$3,0,0,'Données projet'!$E$11+1,1))</f>
        <v>374.62597460242665</v>
      </c>
      <c r="BJ152" s="60">
        <f t="shared" si="146"/>
        <v>277.50105097454616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1.0286385077051818E-13</v>
      </c>
      <c r="CA152" s="14">
        <f t="shared" si="147"/>
        <v>1.5402366592183556E-12</v>
      </c>
      <c r="CB152" s="22">
        <f t="shared" si="118"/>
        <v>2.8617333882306215E-12</v>
      </c>
      <c r="CC152" s="60">
        <f t="shared" si="119"/>
        <v>283.061873658075</v>
      </c>
      <c r="CD152" s="60">
        <f ca="1">AVERAGE(OFFSET($CC$3,0,0,'Données projet'!$E$12+1,1))-AVERAGE(OFFSET($H$3,0,0,'Données projet'!$E$12+1,1))</f>
        <v>434.56763649859136</v>
      </c>
      <c r="CE152" s="60">
        <f t="shared" si="148"/>
        <v>271.90302066766264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9.5769792096689348E-14</v>
      </c>
      <c r="CV152" s="14">
        <f t="shared" si="149"/>
        <v>1.4459910566979609E-12</v>
      </c>
      <c r="CW152" s="22">
        <f t="shared" si="121"/>
        <v>2.6852334783173491E-12</v>
      </c>
      <c r="CX152" s="60">
        <f t="shared" si="122"/>
        <v>283.06187365807483</v>
      </c>
      <c r="CY152" s="60">
        <f ca="1">AVERAGE(OFFSET($CX$3,0,0,'Données projet'!$E$13+1,1))-AVERAGE(OFFSET($H$3,0,0,'Données projet'!$E$13+1,1))</f>
        <v>411.64829629901465</v>
      </c>
      <c r="CZ152" s="60">
        <f t="shared" si="150"/>
        <v>258.66864562757917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1.1527845344971866E-13</v>
      </c>
      <c r="DQ152" s="14">
        <f t="shared" si="151"/>
        <v>1.7033846239409443E-12</v>
      </c>
      <c r="DR152" s="22">
        <f t="shared" si="124"/>
        <v>3.1675048597887374E-12</v>
      </c>
      <c r="DS152" s="60">
        <f t="shared" si="125"/>
        <v>283.06187365807534</v>
      </c>
      <c r="DT152" s="60">
        <f ca="1">AVERAGE(OFFSET($DS$3,0,0,'Données projet'!$E$14+1,1))-AVERAGE(OFFSET($H$3,0,0,'Données projet'!$E$14+1,1))</f>
        <v>474.59791006623266</v>
      </c>
      <c r="DU152" s="60">
        <f t="shared" si="152"/>
        <v>295.01432800690293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-4.9658410716801891E-14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334.73467807584336</v>
      </c>
      <c r="EP152" s="60">
        <f t="shared" si="154"/>
        <v>463.8772059551726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0.80252094060069379</v>
      </c>
      <c r="EW152" s="23">
        <f>EXP(-LN(2)/25)*EW151+(1-EXP(-LN(2)/25))/(LN(2)/25)*Calculateur!ER152*Calculateur!ET152*VLOOKUP('Données projet'!$B$15,Paramètres!$A$1:$I$89,3,0)*0.475*44/12</f>
        <v>0.70352801314866809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1.506048953749362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135.66666666666666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0">
        <f t="shared" si="109"/>
        <v>283.2400605198963</v>
      </c>
      <c r="S153" s="60">
        <f ca="1">AVERAGE(OFFSET($R$3,0,0,'Données projet'!$E$9+1,1))-AVERAGE(OFFSET($H$3,0,0,'Données projet'!$E$9+1,1))</f>
        <v>199.65420589615553</v>
      </c>
      <c r="T153" s="60">
        <f t="shared" si="142"/>
        <v>477.85821088970999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0">
        <f t="shared" si="113"/>
        <v>283.2400605198963</v>
      </c>
      <c r="AN153" s="60">
        <f ca="1">AVERAGE(OFFSET($AM$3,0,0,'Données projet'!$E$10+1,1))-AVERAGE(OFFSET($H$3,0,0,'Données projet'!$E$10+1,1))</f>
        <v>199.65420589615553</v>
      </c>
      <c r="AO153" s="60">
        <f t="shared" si="144"/>
        <v>477.85821088970999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1.5961632016114892E-13</v>
      </c>
      <c r="BF153" s="14">
        <f t="shared" si="145"/>
        <v>2.2708641912150958E-12</v>
      </c>
      <c r="BG153" s="22">
        <f t="shared" si="115"/>
        <v>4.2330868906469593E-12</v>
      </c>
      <c r="BH153" s="60">
        <f t="shared" si="116"/>
        <v>283.24006051989852</v>
      </c>
      <c r="BI153" s="60">
        <f ca="1">AVERAGE(OFFSET($BH$3,0,0,'Données projet'!$E$11+1,1))-AVERAGE(OFFSET($H$3,0,0,'Données projet'!$E$11+1,1))</f>
        <v>374.62597460242665</v>
      </c>
      <c r="BJ153" s="60">
        <f t="shared" si="146"/>
        <v>277.50105097454616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1.0286385077051818E-13</v>
      </c>
      <c r="CA153" s="14">
        <f t="shared" si="147"/>
        <v>1.5402366592183556E-12</v>
      </c>
      <c r="CB153" s="22">
        <f t="shared" si="118"/>
        <v>2.8617333882306215E-12</v>
      </c>
      <c r="CC153" s="60">
        <f t="shared" si="119"/>
        <v>283.24006051989716</v>
      </c>
      <c r="CD153" s="60">
        <f ca="1">AVERAGE(OFFSET($CC$3,0,0,'Données projet'!$E$12+1,1))-AVERAGE(OFFSET($H$3,0,0,'Données projet'!$E$12+1,1))</f>
        <v>434.56763649859136</v>
      </c>
      <c r="CE153" s="60">
        <f t="shared" si="148"/>
        <v>271.90302066766264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9.5769792096689348E-14</v>
      </c>
      <c r="CV153" s="14">
        <f t="shared" si="149"/>
        <v>1.4459910566979609E-12</v>
      </c>
      <c r="CW153" s="22">
        <f t="shared" si="121"/>
        <v>2.6852334783173491E-12</v>
      </c>
      <c r="CX153" s="60">
        <f t="shared" si="122"/>
        <v>283.24006051989699</v>
      </c>
      <c r="CY153" s="60">
        <f ca="1">AVERAGE(OFFSET($CX$3,0,0,'Données projet'!$E$13+1,1))-AVERAGE(OFFSET($H$3,0,0,'Données projet'!$E$13+1,1))</f>
        <v>411.64829629901465</v>
      </c>
      <c r="CZ153" s="60">
        <f t="shared" si="150"/>
        <v>258.66864562757917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1.1527845344971866E-13</v>
      </c>
      <c r="DQ153" s="14">
        <f t="shared" si="151"/>
        <v>1.7033846239409443E-12</v>
      </c>
      <c r="DR153" s="22">
        <f t="shared" si="124"/>
        <v>3.1675048597887374E-12</v>
      </c>
      <c r="DS153" s="60">
        <f t="shared" si="125"/>
        <v>283.2400605198975</v>
      </c>
      <c r="DT153" s="60">
        <f ca="1">AVERAGE(OFFSET($DS$3,0,0,'Données projet'!$E$14+1,1))-AVERAGE(OFFSET($H$3,0,0,'Données projet'!$E$14+1,1))</f>
        <v>474.59791006623266</v>
      </c>
      <c r="DU153" s="60">
        <f t="shared" si="152"/>
        <v>295.01432800690293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-4.9658410716801891E-14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334.73467807584336</v>
      </c>
      <c r="EP153" s="60">
        <f t="shared" si="154"/>
        <v>463.8772059551726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0.78678399444495484</v>
      </c>
      <c r="EW153" s="23">
        <f>EXP(-LN(2)/25)*EW152+(1-EXP(-LN(2)/25))/(LN(2)/25)*Calculateur!ER153*Calculateur!ET153*VLOOKUP('Données projet'!$B$15,Paramètres!$A$1:$I$89,3,0)*0.475*44/12</f>
        <v>0.68429000263218753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1.4710739970771423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135.66666666666666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0">
        <f t="shared" si="109"/>
        <v>283.41515623803195</v>
      </c>
      <c r="S154" s="60">
        <f ca="1">AVERAGE(OFFSET($R$3,0,0,'Données projet'!$E$9+1,1))-AVERAGE(OFFSET($H$3,0,0,'Données projet'!$E$9+1,1))</f>
        <v>199.65420589615553</v>
      </c>
      <c r="T154" s="60">
        <f t="shared" si="142"/>
        <v>477.85821088970999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0">
        <f t="shared" si="113"/>
        <v>283.41515623803195</v>
      </c>
      <c r="AN154" s="60">
        <f ca="1">AVERAGE(OFFSET($AM$3,0,0,'Données projet'!$E$10+1,1))-AVERAGE(OFFSET($H$3,0,0,'Données projet'!$E$10+1,1))</f>
        <v>199.65420589615553</v>
      </c>
      <c r="AO154" s="60">
        <f t="shared" si="144"/>
        <v>477.85821088970999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1.5961632016114892E-13</v>
      </c>
      <c r="BF154" s="14">
        <f t="shared" ref="BF154:BF203" si="167">EXP(-1.0587+0.8836*LN(BE154)+0.284)</f>
        <v>2.2708641912150958E-12</v>
      </c>
      <c r="BG154" s="22">
        <f t="shared" ref="BG154:BG203" si="168">(BE154+BF154)*0.475*44/12</f>
        <v>4.2330868906469593E-12</v>
      </c>
      <c r="BH154" s="60">
        <f t="shared" si="116"/>
        <v>283.41515623803417</v>
      </c>
      <c r="BI154" s="60">
        <f ca="1">AVERAGE(OFFSET($BH$3,0,0,'Données projet'!$E$11+1,1))-AVERAGE(OFFSET($H$3,0,0,'Données projet'!$E$11+1,1))</f>
        <v>374.62597460242665</v>
      </c>
      <c r="BJ154" s="60">
        <f t="shared" si="146"/>
        <v>277.50105097454616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1.0286385077051818E-13</v>
      </c>
      <c r="CA154" s="14">
        <f t="shared" ref="CA154:CA203" si="170">EXP(-1.0587+0.8836*LN(BZ154)+0.284)</f>
        <v>1.5402366592183556E-12</v>
      </c>
      <c r="CB154" s="22">
        <f t="shared" ref="CB154:CB203" si="171">(BZ154+CA154)*0.475*44/12</f>
        <v>2.8617333882306215E-12</v>
      </c>
      <c r="CC154" s="60">
        <f t="shared" si="119"/>
        <v>283.41515623803281</v>
      </c>
      <c r="CD154" s="60">
        <f ca="1">AVERAGE(OFFSET($CC$3,0,0,'Données projet'!$E$12+1,1))-AVERAGE(OFFSET($H$3,0,0,'Données projet'!$E$12+1,1))</f>
        <v>434.56763649859136</v>
      </c>
      <c r="CE154" s="60">
        <f t="shared" si="148"/>
        <v>271.90302066766264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9.5769792096689348E-14</v>
      </c>
      <c r="CV154" s="14">
        <f t="shared" ref="CV154:CV203" si="173">EXP(-1.0587+0.8836*LN(CU154)+0.284)</f>
        <v>1.4459910566979609E-12</v>
      </c>
      <c r="CW154" s="22">
        <f t="shared" ref="CW154:CW203" si="174">(CU154+CV154)*0.475*44/12</f>
        <v>2.6852334783173491E-12</v>
      </c>
      <c r="CX154" s="60">
        <f t="shared" si="122"/>
        <v>283.41515623803264</v>
      </c>
      <c r="CY154" s="60">
        <f ca="1">AVERAGE(OFFSET($CX$3,0,0,'Données projet'!$E$13+1,1))-AVERAGE(OFFSET($H$3,0,0,'Données projet'!$E$13+1,1))</f>
        <v>411.64829629901465</v>
      </c>
      <c r="CZ154" s="60">
        <f t="shared" si="150"/>
        <v>258.66864562757917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1.1527845344971866E-13</v>
      </c>
      <c r="DQ154" s="14">
        <f t="shared" ref="DQ154:DQ203" si="176">EXP(-1.0587+0.8836*LN(DP154)+0.284)</f>
        <v>1.7033846239409443E-12</v>
      </c>
      <c r="DR154" s="22">
        <f t="shared" ref="DR154:DR203" si="177">(DP154+DQ154)*0.475*44/12</f>
        <v>3.1675048597887374E-12</v>
      </c>
      <c r="DS154" s="60">
        <f t="shared" si="125"/>
        <v>283.41515623803315</v>
      </c>
      <c r="DT154" s="60">
        <f ca="1">AVERAGE(OFFSET($DS$3,0,0,'Données projet'!$E$14+1,1))-AVERAGE(OFFSET($H$3,0,0,'Données projet'!$E$14+1,1))</f>
        <v>474.59791006623266</v>
      </c>
      <c r="DU154" s="60">
        <f t="shared" si="152"/>
        <v>295.01432800690293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-4.9658410716801891E-14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334.73467807584336</v>
      </c>
      <c r="EP154" s="60">
        <f t="shared" si="154"/>
        <v>463.8772059551726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0.77135564020474057</v>
      </c>
      <c r="EW154" s="23">
        <f>EXP(-LN(2)/25)*EW153+(1-EXP(-LN(2)/25))/(LN(2)/25)*Calculateur!ER154*Calculateur!ET154*VLOOKUP('Données projet'!$B$15,Paramètres!$A$1:$I$89,3,0)*0.475*44/12</f>
        <v>0.66557805652496305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1.4369336967297035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135.66666666666666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0">
        <f t="shared" si="109"/>
        <v>283.58721443691337</v>
      </c>
      <c r="S155" s="60">
        <f ca="1">AVERAGE(OFFSET($R$3,0,0,'Données projet'!$E$9+1,1))-AVERAGE(OFFSET($H$3,0,0,'Données projet'!$E$9+1,1))</f>
        <v>199.65420589615553</v>
      </c>
      <c r="T155" s="60">
        <f t="shared" si="142"/>
        <v>477.85821088970999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0">
        <f t="shared" si="113"/>
        <v>283.58721443691337</v>
      </c>
      <c r="AN155" s="60">
        <f ca="1">AVERAGE(OFFSET($AM$3,0,0,'Données projet'!$E$10+1,1))-AVERAGE(OFFSET($H$3,0,0,'Données projet'!$E$10+1,1))</f>
        <v>199.65420589615553</v>
      </c>
      <c r="AO155" s="60">
        <f t="shared" si="144"/>
        <v>477.85821088970999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1.5961632016114892E-13</v>
      </c>
      <c r="BF155" s="14">
        <f t="shared" si="167"/>
        <v>2.2708641912150958E-12</v>
      </c>
      <c r="BG155" s="22">
        <f t="shared" si="168"/>
        <v>4.2330868906469593E-12</v>
      </c>
      <c r="BH155" s="60">
        <f t="shared" si="116"/>
        <v>283.58721443691559</v>
      </c>
      <c r="BI155" s="60">
        <f ca="1">AVERAGE(OFFSET($BH$3,0,0,'Données projet'!$E$11+1,1))-AVERAGE(OFFSET($H$3,0,0,'Données projet'!$E$11+1,1))</f>
        <v>374.62597460242665</v>
      </c>
      <c r="BJ155" s="60">
        <f t="shared" si="146"/>
        <v>277.50105097454616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1.0286385077051818E-13</v>
      </c>
      <c r="CA155" s="14">
        <f t="shared" si="170"/>
        <v>1.5402366592183556E-12</v>
      </c>
      <c r="CB155" s="22">
        <f t="shared" si="171"/>
        <v>2.8617333882306215E-12</v>
      </c>
      <c r="CC155" s="60">
        <f t="shared" si="119"/>
        <v>283.58721443691422</v>
      </c>
      <c r="CD155" s="60">
        <f ca="1">AVERAGE(OFFSET($CC$3,0,0,'Données projet'!$E$12+1,1))-AVERAGE(OFFSET($H$3,0,0,'Données projet'!$E$12+1,1))</f>
        <v>434.56763649859136</v>
      </c>
      <c r="CE155" s="60">
        <f t="shared" si="148"/>
        <v>271.90302066766264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9.5769792096689348E-14</v>
      </c>
      <c r="CV155" s="14">
        <f t="shared" si="173"/>
        <v>1.4459910566979609E-12</v>
      </c>
      <c r="CW155" s="22">
        <f t="shared" si="174"/>
        <v>2.6852334783173491E-12</v>
      </c>
      <c r="CX155" s="60">
        <f t="shared" si="122"/>
        <v>283.58721443691405</v>
      </c>
      <c r="CY155" s="60">
        <f ca="1">AVERAGE(OFFSET($CX$3,0,0,'Données projet'!$E$13+1,1))-AVERAGE(OFFSET($H$3,0,0,'Données projet'!$E$13+1,1))</f>
        <v>411.64829629901465</v>
      </c>
      <c r="CZ155" s="60">
        <f t="shared" si="150"/>
        <v>258.66864562757917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1.1527845344971866E-13</v>
      </c>
      <c r="DQ155" s="14">
        <f t="shared" si="176"/>
        <v>1.7033846239409443E-12</v>
      </c>
      <c r="DR155" s="22">
        <f t="shared" si="177"/>
        <v>3.1675048597887374E-12</v>
      </c>
      <c r="DS155" s="60">
        <f t="shared" si="125"/>
        <v>283.58721443691456</v>
      </c>
      <c r="DT155" s="60">
        <f ca="1">AVERAGE(OFFSET($DS$3,0,0,'Données projet'!$E$14+1,1))-AVERAGE(OFFSET($H$3,0,0,'Données projet'!$E$14+1,1))</f>
        <v>474.59791006623266</v>
      </c>
      <c r="DU155" s="60">
        <f t="shared" si="152"/>
        <v>295.01432800690293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-4.9658410716801891E-14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334.73467807584336</v>
      </c>
      <c r="EP155" s="60">
        <f t="shared" si="154"/>
        <v>463.8772059551726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0.75622982658081006</v>
      </c>
      <c r="EW155" s="23">
        <f>EXP(-LN(2)/25)*EW154+(1-EXP(-LN(2)/25))/(LN(2)/25)*Calculateur!ER155*Calculateur!ET155*VLOOKUP('Données projet'!$B$15,Paramètres!$A$1:$I$89,3,0)*0.475*44/12</f>
        <v>0.64737778956805914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1.4036076161488693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135.66666666666666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0">
        <f t="shared" si="109"/>
        <v>283.75628781070861</v>
      </c>
      <c r="S156" s="60">
        <f ca="1">AVERAGE(OFFSET($R$3,0,0,'Données projet'!$E$9+1,1))-AVERAGE(OFFSET($H$3,0,0,'Données projet'!$E$9+1,1))</f>
        <v>199.65420589615553</v>
      </c>
      <c r="T156" s="60">
        <f t="shared" si="142"/>
        <v>477.85821088970999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0">
        <f t="shared" si="113"/>
        <v>283.75628781070861</v>
      </c>
      <c r="AN156" s="60">
        <f ca="1">AVERAGE(OFFSET($AM$3,0,0,'Données projet'!$E$10+1,1))-AVERAGE(OFFSET($H$3,0,0,'Données projet'!$E$10+1,1))</f>
        <v>199.65420589615553</v>
      </c>
      <c r="AO156" s="60">
        <f t="shared" si="144"/>
        <v>477.85821088970999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1.5961632016114892E-13</v>
      </c>
      <c r="BF156" s="14">
        <f t="shared" si="167"/>
        <v>2.2708641912150958E-12</v>
      </c>
      <c r="BG156" s="22">
        <f t="shared" si="168"/>
        <v>4.2330868906469593E-12</v>
      </c>
      <c r="BH156" s="60">
        <f t="shared" si="116"/>
        <v>283.75628781071083</v>
      </c>
      <c r="BI156" s="60">
        <f ca="1">AVERAGE(OFFSET($BH$3,0,0,'Données projet'!$E$11+1,1))-AVERAGE(OFFSET($H$3,0,0,'Données projet'!$E$11+1,1))</f>
        <v>374.62597460242665</v>
      </c>
      <c r="BJ156" s="60">
        <f t="shared" si="146"/>
        <v>277.50105097454616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1.0286385077051818E-13</v>
      </c>
      <c r="CA156" s="14">
        <f t="shared" si="170"/>
        <v>1.5402366592183556E-12</v>
      </c>
      <c r="CB156" s="22">
        <f t="shared" si="171"/>
        <v>2.8617333882306215E-12</v>
      </c>
      <c r="CC156" s="60">
        <f t="shared" si="119"/>
        <v>283.75628781070947</v>
      </c>
      <c r="CD156" s="60">
        <f ca="1">AVERAGE(OFFSET($CC$3,0,0,'Données projet'!$E$12+1,1))-AVERAGE(OFFSET($H$3,0,0,'Données projet'!$E$12+1,1))</f>
        <v>434.56763649859136</v>
      </c>
      <c r="CE156" s="60">
        <f t="shared" si="148"/>
        <v>271.90302066766264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9.5769792096689348E-14</v>
      </c>
      <c r="CV156" s="14">
        <f t="shared" si="173"/>
        <v>1.4459910566979609E-12</v>
      </c>
      <c r="CW156" s="22">
        <f t="shared" si="174"/>
        <v>2.6852334783173491E-12</v>
      </c>
      <c r="CX156" s="60">
        <f t="shared" si="122"/>
        <v>283.7562878107093</v>
      </c>
      <c r="CY156" s="60">
        <f ca="1">AVERAGE(OFFSET($CX$3,0,0,'Données projet'!$E$13+1,1))-AVERAGE(OFFSET($H$3,0,0,'Données projet'!$E$13+1,1))</f>
        <v>411.64829629901465</v>
      </c>
      <c r="CZ156" s="60">
        <f t="shared" si="150"/>
        <v>258.66864562757917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1.1527845344971866E-13</v>
      </c>
      <c r="DQ156" s="14">
        <f t="shared" si="176"/>
        <v>1.7033846239409443E-12</v>
      </c>
      <c r="DR156" s="22">
        <f t="shared" si="177"/>
        <v>3.1675048597887374E-12</v>
      </c>
      <c r="DS156" s="60">
        <f t="shared" si="125"/>
        <v>283.75628781070981</v>
      </c>
      <c r="DT156" s="60">
        <f ca="1">AVERAGE(OFFSET($DS$3,0,0,'Données projet'!$E$14+1,1))-AVERAGE(OFFSET($H$3,0,0,'Données projet'!$E$14+1,1))</f>
        <v>474.59791006623266</v>
      </c>
      <c r="DU156" s="60">
        <f t="shared" si="152"/>
        <v>295.01432800690293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-4.9658410716801891E-14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334.73467807584336</v>
      </c>
      <c r="EP156" s="60">
        <f t="shared" si="154"/>
        <v>463.8772059551726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0.74140062093620951</v>
      </c>
      <c r="EW156" s="23">
        <f>EXP(-LN(2)/25)*EW155+(1-EXP(-LN(2)/25))/(LN(2)/25)*Calculateur!ER156*Calculateur!ET156*VLOOKUP('Données projet'!$B$15,Paramètres!$A$1:$I$89,3,0)*0.475*44/12</f>
        <v>0.62967520986820225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1.3710758308044118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135.66666666666666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0">
        <f t="shared" si="109"/>
        <v>283.92242813946007</v>
      </c>
      <c r="S157" s="60">
        <f ca="1">AVERAGE(OFFSET($R$3,0,0,'Données projet'!$E$9+1,1))-AVERAGE(OFFSET($H$3,0,0,'Données projet'!$E$9+1,1))</f>
        <v>199.65420589615553</v>
      </c>
      <c r="T157" s="60">
        <f t="shared" si="142"/>
        <v>477.85821088970999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0">
        <f t="shared" si="113"/>
        <v>283.92242813946007</v>
      </c>
      <c r="AN157" s="60">
        <f ca="1">AVERAGE(OFFSET($AM$3,0,0,'Données projet'!$E$10+1,1))-AVERAGE(OFFSET($H$3,0,0,'Données projet'!$E$10+1,1))</f>
        <v>199.65420589615553</v>
      </c>
      <c r="AO157" s="60">
        <f t="shared" si="144"/>
        <v>477.85821088970999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1.5961632016114892E-13</v>
      </c>
      <c r="BF157" s="14">
        <f t="shared" si="167"/>
        <v>2.2708641912150958E-12</v>
      </c>
      <c r="BG157" s="22">
        <f t="shared" si="168"/>
        <v>4.2330868906469593E-12</v>
      </c>
      <c r="BH157" s="60">
        <f t="shared" si="116"/>
        <v>283.92242813946228</v>
      </c>
      <c r="BI157" s="60">
        <f ca="1">AVERAGE(OFFSET($BH$3,0,0,'Données projet'!$E$11+1,1))-AVERAGE(OFFSET($H$3,0,0,'Données projet'!$E$11+1,1))</f>
        <v>374.62597460242665</v>
      </c>
      <c r="BJ157" s="60">
        <f t="shared" si="146"/>
        <v>277.50105097454616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1.0286385077051818E-13</v>
      </c>
      <c r="CA157" s="14">
        <f t="shared" si="170"/>
        <v>1.5402366592183556E-12</v>
      </c>
      <c r="CB157" s="22">
        <f t="shared" si="171"/>
        <v>2.8617333882306215E-12</v>
      </c>
      <c r="CC157" s="60">
        <f t="shared" si="119"/>
        <v>283.92242813946092</v>
      </c>
      <c r="CD157" s="60">
        <f ca="1">AVERAGE(OFFSET($CC$3,0,0,'Données projet'!$E$12+1,1))-AVERAGE(OFFSET($H$3,0,0,'Données projet'!$E$12+1,1))</f>
        <v>434.56763649859136</v>
      </c>
      <c r="CE157" s="60">
        <f t="shared" si="148"/>
        <v>271.90302066766264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9.5769792096689348E-14</v>
      </c>
      <c r="CV157" s="14">
        <f t="shared" si="173"/>
        <v>1.4459910566979609E-12</v>
      </c>
      <c r="CW157" s="22">
        <f t="shared" si="174"/>
        <v>2.6852334783173491E-12</v>
      </c>
      <c r="CX157" s="60">
        <f t="shared" si="122"/>
        <v>283.92242813946075</v>
      </c>
      <c r="CY157" s="60">
        <f ca="1">AVERAGE(OFFSET($CX$3,0,0,'Données projet'!$E$13+1,1))-AVERAGE(OFFSET($H$3,0,0,'Données projet'!$E$13+1,1))</f>
        <v>411.64829629901465</v>
      </c>
      <c r="CZ157" s="60">
        <f t="shared" si="150"/>
        <v>258.66864562757917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1.1527845344971866E-13</v>
      </c>
      <c r="DQ157" s="14">
        <f t="shared" si="176"/>
        <v>1.7033846239409443E-12</v>
      </c>
      <c r="DR157" s="22">
        <f t="shared" si="177"/>
        <v>3.1675048597887374E-12</v>
      </c>
      <c r="DS157" s="60">
        <f t="shared" si="125"/>
        <v>283.92242813946126</v>
      </c>
      <c r="DT157" s="60">
        <f ca="1">AVERAGE(OFFSET($DS$3,0,0,'Données projet'!$E$14+1,1))-AVERAGE(OFFSET($H$3,0,0,'Données projet'!$E$14+1,1))</f>
        <v>474.59791006623266</v>
      </c>
      <c r="DU157" s="60">
        <f t="shared" si="152"/>
        <v>295.01432800690293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-4.9658410716801891E-14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334.73467807584336</v>
      </c>
      <c r="EP157" s="60">
        <f t="shared" si="154"/>
        <v>463.8772059551726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0.7268622069693772</v>
      </c>
      <c r="EW157" s="23">
        <f>EXP(-LN(2)/25)*EW156+(1-EXP(-LN(2)/25))/(LN(2)/25)*Calculateur!ER157*Calculateur!ET157*VLOOKUP('Données projet'!$B$15,Paramètres!$A$1:$I$89,3,0)*0.475*44/12</f>
        <v>0.61245670814117614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1.3393189151105533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135.66666666666666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0">
        <f t="shared" si="109"/>
        <v>284.08568630494176</v>
      </c>
      <c r="S158" s="60">
        <f ca="1">AVERAGE(OFFSET($R$3,0,0,'Données projet'!$E$9+1,1))-AVERAGE(OFFSET($H$3,0,0,'Données projet'!$E$9+1,1))</f>
        <v>199.65420589615553</v>
      </c>
      <c r="T158" s="60">
        <f t="shared" si="142"/>
        <v>477.85821088970999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0">
        <f t="shared" si="113"/>
        <v>284.08568630494176</v>
      </c>
      <c r="AN158" s="60">
        <f ca="1">AVERAGE(OFFSET($AM$3,0,0,'Données projet'!$E$10+1,1))-AVERAGE(OFFSET($H$3,0,0,'Données projet'!$E$10+1,1))</f>
        <v>199.65420589615553</v>
      </c>
      <c r="AO158" s="60">
        <f t="shared" si="144"/>
        <v>477.85821088970999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1.5961632016114892E-13</v>
      </c>
      <c r="BF158" s="14">
        <f t="shared" si="167"/>
        <v>2.2708641912150958E-12</v>
      </c>
      <c r="BG158" s="22">
        <f t="shared" si="168"/>
        <v>4.2330868906469593E-12</v>
      </c>
      <c r="BH158" s="60">
        <f t="shared" si="116"/>
        <v>284.08568630494398</v>
      </c>
      <c r="BI158" s="60">
        <f ca="1">AVERAGE(OFFSET($BH$3,0,0,'Données projet'!$E$11+1,1))-AVERAGE(OFFSET($H$3,0,0,'Données projet'!$E$11+1,1))</f>
        <v>374.62597460242665</v>
      </c>
      <c r="BJ158" s="60">
        <f t="shared" si="146"/>
        <v>277.50105097454616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1.0286385077051818E-13</v>
      </c>
      <c r="CA158" s="14">
        <f t="shared" si="170"/>
        <v>1.5402366592183556E-12</v>
      </c>
      <c r="CB158" s="22">
        <f t="shared" si="171"/>
        <v>2.8617333882306215E-12</v>
      </c>
      <c r="CC158" s="60">
        <f t="shared" si="119"/>
        <v>284.08568630494261</v>
      </c>
      <c r="CD158" s="60">
        <f ca="1">AVERAGE(OFFSET($CC$3,0,0,'Données projet'!$E$12+1,1))-AVERAGE(OFFSET($H$3,0,0,'Données projet'!$E$12+1,1))</f>
        <v>434.56763649859136</v>
      </c>
      <c r="CE158" s="60">
        <f t="shared" si="148"/>
        <v>271.90302066766264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9.5769792096689348E-14</v>
      </c>
      <c r="CV158" s="14">
        <f t="shared" si="173"/>
        <v>1.4459910566979609E-12</v>
      </c>
      <c r="CW158" s="22">
        <f t="shared" si="174"/>
        <v>2.6852334783173491E-12</v>
      </c>
      <c r="CX158" s="60">
        <f t="shared" si="122"/>
        <v>284.08568630494244</v>
      </c>
      <c r="CY158" s="60">
        <f ca="1">AVERAGE(OFFSET($CX$3,0,0,'Données projet'!$E$13+1,1))-AVERAGE(OFFSET($H$3,0,0,'Données projet'!$E$13+1,1))</f>
        <v>411.64829629901465</v>
      </c>
      <c r="CZ158" s="60">
        <f t="shared" si="150"/>
        <v>258.66864562757917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1.1527845344971866E-13</v>
      </c>
      <c r="DQ158" s="14">
        <f t="shared" si="176"/>
        <v>1.7033846239409443E-12</v>
      </c>
      <c r="DR158" s="22">
        <f t="shared" si="177"/>
        <v>3.1675048597887374E-12</v>
      </c>
      <c r="DS158" s="60">
        <f t="shared" si="125"/>
        <v>284.08568630494295</v>
      </c>
      <c r="DT158" s="60">
        <f ca="1">AVERAGE(OFFSET($DS$3,0,0,'Données projet'!$E$14+1,1))-AVERAGE(OFFSET($H$3,0,0,'Données projet'!$E$14+1,1))</f>
        <v>474.59791006623266</v>
      </c>
      <c r="DU158" s="60">
        <f t="shared" si="152"/>
        <v>295.01432800690293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-4.9658410716801891E-14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334.73467807584336</v>
      </c>
      <c r="EP158" s="60">
        <f t="shared" si="154"/>
        <v>463.8772059551726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0.71260888243287757</v>
      </c>
      <c r="EW158" s="23">
        <f>EXP(-LN(2)/25)*EW157+(1-EXP(-LN(2)/25))/(LN(2)/25)*Calculateur!ER158*Calculateur!ET158*VLOOKUP('Données projet'!$B$15,Paramètres!$A$1:$I$89,3,0)*0.475*44/12</f>
        <v>0.59570904724935714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1.3083179296822347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135.66666666666666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0">
        <f t="shared" si="109"/>
        <v>284.24611230624294</v>
      </c>
      <c r="S159" s="60">
        <f ca="1">AVERAGE(OFFSET($R$3,0,0,'Données projet'!$E$9+1,1))-AVERAGE(OFFSET($H$3,0,0,'Données projet'!$E$9+1,1))</f>
        <v>199.65420589615553</v>
      </c>
      <c r="T159" s="60">
        <f t="shared" si="142"/>
        <v>477.85821088970999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0">
        <f t="shared" si="113"/>
        <v>284.24611230624294</v>
      </c>
      <c r="AN159" s="60">
        <f ca="1">AVERAGE(OFFSET($AM$3,0,0,'Données projet'!$E$10+1,1))-AVERAGE(OFFSET($H$3,0,0,'Données projet'!$E$10+1,1))</f>
        <v>199.65420589615553</v>
      </c>
      <c r="AO159" s="60">
        <f t="shared" si="144"/>
        <v>477.85821088970999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1.5961632016114892E-13</v>
      </c>
      <c r="BF159" s="14">
        <f t="shared" si="167"/>
        <v>2.2708641912150958E-12</v>
      </c>
      <c r="BG159" s="22">
        <f t="shared" si="168"/>
        <v>4.2330868906469593E-12</v>
      </c>
      <c r="BH159" s="60">
        <f t="shared" si="116"/>
        <v>284.24611230624515</v>
      </c>
      <c r="BI159" s="60">
        <f ca="1">AVERAGE(OFFSET($BH$3,0,0,'Données projet'!$E$11+1,1))-AVERAGE(OFFSET($H$3,0,0,'Données projet'!$E$11+1,1))</f>
        <v>374.62597460242665</v>
      </c>
      <c r="BJ159" s="60">
        <f t="shared" si="146"/>
        <v>277.50105097454616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1.0286385077051818E-13</v>
      </c>
      <c r="CA159" s="14">
        <f t="shared" si="170"/>
        <v>1.5402366592183556E-12</v>
      </c>
      <c r="CB159" s="22">
        <f t="shared" si="171"/>
        <v>2.8617333882306215E-12</v>
      </c>
      <c r="CC159" s="60">
        <f t="shared" si="119"/>
        <v>284.24611230624379</v>
      </c>
      <c r="CD159" s="60">
        <f ca="1">AVERAGE(OFFSET($CC$3,0,0,'Données projet'!$E$12+1,1))-AVERAGE(OFFSET($H$3,0,0,'Données projet'!$E$12+1,1))</f>
        <v>434.56763649859136</v>
      </c>
      <c r="CE159" s="60">
        <f t="shared" si="148"/>
        <v>271.90302066766264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9.5769792096689348E-14</v>
      </c>
      <c r="CV159" s="14">
        <f t="shared" si="173"/>
        <v>1.4459910566979609E-12</v>
      </c>
      <c r="CW159" s="22">
        <f t="shared" si="174"/>
        <v>2.6852334783173491E-12</v>
      </c>
      <c r="CX159" s="60">
        <f t="shared" si="122"/>
        <v>284.24611230624362</v>
      </c>
      <c r="CY159" s="60">
        <f ca="1">AVERAGE(OFFSET($CX$3,0,0,'Données projet'!$E$13+1,1))-AVERAGE(OFFSET($H$3,0,0,'Données projet'!$E$13+1,1))</f>
        <v>411.64829629901465</v>
      </c>
      <c r="CZ159" s="60">
        <f t="shared" si="150"/>
        <v>258.66864562757917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1.1527845344971866E-13</v>
      </c>
      <c r="DQ159" s="14">
        <f t="shared" si="176"/>
        <v>1.7033846239409443E-12</v>
      </c>
      <c r="DR159" s="22">
        <f t="shared" si="177"/>
        <v>3.1675048597887374E-12</v>
      </c>
      <c r="DS159" s="60">
        <f t="shared" si="125"/>
        <v>284.24611230624413</v>
      </c>
      <c r="DT159" s="60">
        <f ca="1">AVERAGE(OFFSET($DS$3,0,0,'Données projet'!$E$14+1,1))-AVERAGE(OFFSET($H$3,0,0,'Données projet'!$E$14+1,1))</f>
        <v>474.59791006623266</v>
      </c>
      <c r="DU159" s="60">
        <f t="shared" si="152"/>
        <v>295.01432800690293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-4.9658410716801891E-14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334.73467807584336</v>
      </c>
      <c r="EP159" s="60">
        <f t="shared" si="154"/>
        <v>463.8772059551726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0.69863505689686911</v>
      </c>
      <c r="EW159" s="23">
        <f>EXP(-LN(2)/25)*EW158+(1-EXP(-LN(2)/25))/(LN(2)/25)*Calculateur!ER159*Calculateur!ET159*VLOOKUP('Données projet'!$B$15,Paramètres!$A$1:$I$89,3,0)*0.475*44/12</f>
        <v>0.57941935202534622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1.2780544089222152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135.66666666666666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0">
        <f t="shared" si="109"/>
        <v>284.40375527508024</v>
      </c>
      <c r="S160" s="60">
        <f ca="1">AVERAGE(OFFSET($R$3,0,0,'Données projet'!$E$9+1,1))-AVERAGE(OFFSET($H$3,0,0,'Données projet'!$E$9+1,1))</f>
        <v>199.65420589615553</v>
      </c>
      <c r="T160" s="60">
        <f t="shared" si="142"/>
        <v>477.85821088970999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0">
        <f t="shared" si="113"/>
        <v>284.40375527508024</v>
      </c>
      <c r="AN160" s="60">
        <f ca="1">AVERAGE(OFFSET($AM$3,0,0,'Données projet'!$E$10+1,1))-AVERAGE(OFFSET($H$3,0,0,'Données projet'!$E$10+1,1))</f>
        <v>199.65420589615553</v>
      </c>
      <c r="AO160" s="60">
        <f t="shared" si="144"/>
        <v>477.85821088970999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1.5961632016114892E-13</v>
      </c>
      <c r="BF160" s="14">
        <f t="shared" si="167"/>
        <v>2.2708641912150958E-12</v>
      </c>
      <c r="BG160" s="22">
        <f t="shared" si="168"/>
        <v>4.2330868906469593E-12</v>
      </c>
      <c r="BH160" s="60">
        <f t="shared" si="116"/>
        <v>284.40375527508246</v>
      </c>
      <c r="BI160" s="60">
        <f ca="1">AVERAGE(OFFSET($BH$3,0,0,'Données projet'!$E$11+1,1))-AVERAGE(OFFSET($H$3,0,0,'Données projet'!$E$11+1,1))</f>
        <v>374.62597460242665</v>
      </c>
      <c r="BJ160" s="60">
        <f t="shared" si="146"/>
        <v>277.50105097454616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1.0286385077051818E-13</v>
      </c>
      <c r="CA160" s="14">
        <f t="shared" si="170"/>
        <v>1.5402366592183556E-12</v>
      </c>
      <c r="CB160" s="22">
        <f t="shared" si="171"/>
        <v>2.8617333882306215E-12</v>
      </c>
      <c r="CC160" s="60">
        <f t="shared" si="119"/>
        <v>284.4037552750811</v>
      </c>
      <c r="CD160" s="60">
        <f ca="1">AVERAGE(OFFSET($CC$3,0,0,'Données projet'!$E$12+1,1))-AVERAGE(OFFSET($H$3,0,0,'Données projet'!$E$12+1,1))</f>
        <v>434.56763649859136</v>
      </c>
      <c r="CE160" s="60">
        <f t="shared" si="148"/>
        <v>271.90302066766264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9.5769792096689348E-14</v>
      </c>
      <c r="CV160" s="14">
        <f t="shared" si="173"/>
        <v>1.4459910566979609E-12</v>
      </c>
      <c r="CW160" s="22">
        <f t="shared" si="174"/>
        <v>2.6852334783173491E-12</v>
      </c>
      <c r="CX160" s="60">
        <f t="shared" si="122"/>
        <v>284.40375527508093</v>
      </c>
      <c r="CY160" s="60">
        <f ca="1">AVERAGE(OFFSET($CX$3,0,0,'Données projet'!$E$13+1,1))-AVERAGE(OFFSET($H$3,0,0,'Données projet'!$E$13+1,1))</f>
        <v>411.64829629901465</v>
      </c>
      <c r="CZ160" s="60">
        <f t="shared" si="150"/>
        <v>258.66864562757917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1.1527845344971866E-13</v>
      </c>
      <c r="DQ160" s="14">
        <f t="shared" si="176"/>
        <v>1.7033846239409443E-12</v>
      </c>
      <c r="DR160" s="22">
        <f t="shared" si="177"/>
        <v>3.1675048597887374E-12</v>
      </c>
      <c r="DS160" s="60">
        <f t="shared" si="125"/>
        <v>284.40375527508144</v>
      </c>
      <c r="DT160" s="60">
        <f ca="1">AVERAGE(OFFSET($DS$3,0,0,'Données projet'!$E$14+1,1))-AVERAGE(OFFSET($H$3,0,0,'Données projet'!$E$14+1,1))</f>
        <v>474.59791006623266</v>
      </c>
      <c r="DU160" s="60">
        <f t="shared" si="152"/>
        <v>295.01432800690293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-4.9658410716801891E-14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334.73467807584336</v>
      </c>
      <c r="EP160" s="60">
        <f t="shared" si="154"/>
        <v>463.8772059551726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0.68493524955642981</v>
      </c>
      <c r="EW160" s="23">
        <f>EXP(-LN(2)/25)*EW159+(1-EXP(-LN(2)/25))/(LN(2)/25)*Calculateur!ER160*Calculateur!ET160*VLOOKUP('Données projet'!$B$15,Paramètres!$A$1:$I$89,3,0)*0.475*44/12</f>
        <v>0.56357509937387373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1.2485103489303035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135.66666666666666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0">
        <f t="shared" si="109"/>
        <v>284.55866349084522</v>
      </c>
      <c r="S161" s="60">
        <f ca="1">AVERAGE(OFFSET($R$3,0,0,'Données projet'!$E$9+1,1))-AVERAGE(OFFSET($H$3,0,0,'Données projet'!$E$9+1,1))</f>
        <v>199.65420589615553</v>
      </c>
      <c r="T161" s="60">
        <f t="shared" si="142"/>
        <v>477.85821088970999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0">
        <f t="shared" si="113"/>
        <v>284.55866349084522</v>
      </c>
      <c r="AN161" s="60">
        <f ca="1">AVERAGE(OFFSET($AM$3,0,0,'Données projet'!$E$10+1,1))-AVERAGE(OFFSET($H$3,0,0,'Données projet'!$E$10+1,1))</f>
        <v>199.65420589615553</v>
      </c>
      <c r="AO161" s="60">
        <f t="shared" si="144"/>
        <v>477.85821088970999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1.5961632016114892E-13</v>
      </c>
      <c r="BF161" s="14">
        <f t="shared" si="167"/>
        <v>2.2708641912150958E-12</v>
      </c>
      <c r="BG161" s="22">
        <f t="shared" si="168"/>
        <v>4.2330868906469593E-12</v>
      </c>
      <c r="BH161" s="60">
        <f t="shared" si="116"/>
        <v>284.55866349084744</v>
      </c>
      <c r="BI161" s="60">
        <f ca="1">AVERAGE(OFFSET($BH$3,0,0,'Données projet'!$E$11+1,1))-AVERAGE(OFFSET($H$3,0,0,'Données projet'!$E$11+1,1))</f>
        <v>374.62597460242665</v>
      </c>
      <c r="BJ161" s="60">
        <f t="shared" si="146"/>
        <v>277.50105097454616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1.0286385077051818E-13</v>
      </c>
      <c r="CA161" s="14">
        <f t="shared" si="170"/>
        <v>1.5402366592183556E-12</v>
      </c>
      <c r="CB161" s="22">
        <f t="shared" si="171"/>
        <v>2.8617333882306215E-12</v>
      </c>
      <c r="CC161" s="60">
        <f t="shared" si="119"/>
        <v>284.55866349084607</v>
      </c>
      <c r="CD161" s="60">
        <f ca="1">AVERAGE(OFFSET($CC$3,0,0,'Données projet'!$E$12+1,1))-AVERAGE(OFFSET($H$3,0,0,'Données projet'!$E$12+1,1))</f>
        <v>434.56763649859136</v>
      </c>
      <c r="CE161" s="60">
        <f t="shared" si="148"/>
        <v>271.90302066766264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9.5769792096689348E-14</v>
      </c>
      <c r="CV161" s="14">
        <f t="shared" si="173"/>
        <v>1.4459910566979609E-12</v>
      </c>
      <c r="CW161" s="22">
        <f t="shared" si="174"/>
        <v>2.6852334783173491E-12</v>
      </c>
      <c r="CX161" s="60">
        <f t="shared" si="122"/>
        <v>284.5586634908459</v>
      </c>
      <c r="CY161" s="60">
        <f ca="1">AVERAGE(OFFSET($CX$3,0,0,'Données projet'!$E$13+1,1))-AVERAGE(OFFSET($H$3,0,0,'Données projet'!$E$13+1,1))</f>
        <v>411.64829629901465</v>
      </c>
      <c r="CZ161" s="60">
        <f t="shared" si="150"/>
        <v>258.66864562757917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1.1527845344971866E-13</v>
      </c>
      <c r="DQ161" s="14">
        <f t="shared" si="176"/>
        <v>1.7033846239409443E-12</v>
      </c>
      <c r="DR161" s="22">
        <f t="shared" si="177"/>
        <v>3.1675048597887374E-12</v>
      </c>
      <c r="DS161" s="60">
        <f t="shared" si="125"/>
        <v>284.55866349084641</v>
      </c>
      <c r="DT161" s="60">
        <f ca="1">AVERAGE(OFFSET($DS$3,0,0,'Données projet'!$E$14+1,1))-AVERAGE(OFFSET($H$3,0,0,'Données projet'!$E$14+1,1))</f>
        <v>474.59791006623266</v>
      </c>
      <c r="DU161" s="60">
        <f t="shared" si="152"/>
        <v>295.01432800690293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-4.9658410716801891E-14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334.73467807584336</v>
      </c>
      <c r="EP161" s="60">
        <f t="shared" si="154"/>
        <v>463.8772059551726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0.67150408708187914</v>
      </c>
      <c r="EW161" s="23">
        <f>EXP(-LN(2)/25)*EW160+(1-EXP(-LN(2)/25))/(LN(2)/25)*Calculateur!ER161*Calculateur!ET161*VLOOKUP('Données projet'!$B$15,Paramètres!$A$1:$I$89,3,0)*0.475*44/12</f>
        <v>0.54816410864436871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1.2196681957262479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135.66666666666666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0">
        <f t="shared" si="109"/>
        <v>284.7108843953896</v>
      </c>
      <c r="S162" s="60">
        <f ca="1">AVERAGE(OFFSET($R$3,0,0,'Données projet'!$E$9+1,1))-AVERAGE(OFFSET($H$3,0,0,'Données projet'!$E$9+1,1))</f>
        <v>199.65420589615553</v>
      </c>
      <c r="T162" s="60">
        <f t="shared" si="142"/>
        <v>477.85821088970999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0">
        <f t="shared" si="113"/>
        <v>284.7108843953896</v>
      </c>
      <c r="AN162" s="60">
        <f ca="1">AVERAGE(OFFSET($AM$3,0,0,'Données projet'!$E$10+1,1))-AVERAGE(OFFSET($H$3,0,0,'Données projet'!$E$10+1,1))</f>
        <v>199.65420589615553</v>
      </c>
      <c r="AO162" s="60">
        <f t="shared" si="144"/>
        <v>477.85821088970999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1.5961632016114892E-13</v>
      </c>
      <c r="BF162" s="14">
        <f t="shared" si="167"/>
        <v>2.2708641912150958E-12</v>
      </c>
      <c r="BG162" s="22">
        <f t="shared" si="168"/>
        <v>4.2330868906469593E-12</v>
      </c>
      <c r="BH162" s="60">
        <f t="shared" si="116"/>
        <v>284.71088439539182</v>
      </c>
      <c r="BI162" s="60">
        <f ca="1">AVERAGE(OFFSET($BH$3,0,0,'Données projet'!$E$11+1,1))-AVERAGE(OFFSET($H$3,0,0,'Données projet'!$E$11+1,1))</f>
        <v>374.62597460242665</v>
      </c>
      <c r="BJ162" s="60">
        <f t="shared" si="146"/>
        <v>277.50105097454616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1.0286385077051818E-13</v>
      </c>
      <c r="CA162" s="14">
        <f t="shared" si="170"/>
        <v>1.5402366592183556E-12</v>
      </c>
      <c r="CB162" s="22">
        <f t="shared" si="171"/>
        <v>2.8617333882306215E-12</v>
      </c>
      <c r="CC162" s="60">
        <f t="shared" si="119"/>
        <v>284.71088439539045</v>
      </c>
      <c r="CD162" s="60">
        <f ca="1">AVERAGE(OFFSET($CC$3,0,0,'Données projet'!$E$12+1,1))-AVERAGE(OFFSET($H$3,0,0,'Données projet'!$E$12+1,1))</f>
        <v>434.56763649859136</v>
      </c>
      <c r="CE162" s="60">
        <f t="shared" si="148"/>
        <v>271.90302066766264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9.5769792096689348E-14</v>
      </c>
      <c r="CV162" s="14">
        <f t="shared" si="173"/>
        <v>1.4459910566979609E-12</v>
      </c>
      <c r="CW162" s="22">
        <f t="shared" si="174"/>
        <v>2.6852334783173491E-12</v>
      </c>
      <c r="CX162" s="60">
        <f t="shared" si="122"/>
        <v>284.71088439539028</v>
      </c>
      <c r="CY162" s="60">
        <f ca="1">AVERAGE(OFFSET($CX$3,0,0,'Données projet'!$E$13+1,1))-AVERAGE(OFFSET($H$3,0,0,'Données projet'!$E$13+1,1))</f>
        <v>411.64829629901465</v>
      </c>
      <c r="CZ162" s="60">
        <f t="shared" si="150"/>
        <v>258.66864562757917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1.1527845344971866E-13</v>
      </c>
      <c r="DQ162" s="14">
        <f t="shared" si="176"/>
        <v>1.7033846239409443E-12</v>
      </c>
      <c r="DR162" s="22">
        <f t="shared" si="177"/>
        <v>3.1675048597887374E-12</v>
      </c>
      <c r="DS162" s="60">
        <f t="shared" si="125"/>
        <v>284.71088439539079</v>
      </c>
      <c r="DT162" s="60">
        <f ca="1">AVERAGE(OFFSET($DS$3,0,0,'Données projet'!$E$14+1,1))-AVERAGE(OFFSET($H$3,0,0,'Données projet'!$E$14+1,1))</f>
        <v>474.59791006623266</v>
      </c>
      <c r="DU162" s="60">
        <f t="shared" si="152"/>
        <v>295.01432800690293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-4.9658410716801891E-14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334.73467807584336</v>
      </c>
      <c r="EP162" s="60">
        <f t="shared" si="154"/>
        <v>463.8772059551726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0.65833630151125422</v>
      </c>
      <c r="EW162" s="23">
        <f>EXP(-LN(2)/25)*EW161+(1-EXP(-LN(2)/25))/(LN(2)/25)*Calculateur!ER162*Calculateur!ET162*VLOOKUP('Données projet'!$B$15,Paramètres!$A$1:$I$89,3,0)*0.475*44/12</f>
        <v>0.53317453226679079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1.1915108337780449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135.66666666666666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0">
        <f t="shared" si="109"/>
        <v>284.86046460755495</v>
      </c>
      <c r="S163" s="60">
        <f ca="1">AVERAGE(OFFSET($R$3,0,0,'Données projet'!$E$9+1,1))-AVERAGE(OFFSET($H$3,0,0,'Données projet'!$E$9+1,1))</f>
        <v>199.65420589615553</v>
      </c>
      <c r="T163" s="60">
        <f t="shared" si="142"/>
        <v>477.85821088970999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0">
        <f t="shared" si="113"/>
        <v>284.86046460755495</v>
      </c>
      <c r="AN163" s="60">
        <f ca="1">AVERAGE(OFFSET($AM$3,0,0,'Données projet'!$E$10+1,1))-AVERAGE(OFFSET($H$3,0,0,'Données projet'!$E$10+1,1))</f>
        <v>199.65420589615553</v>
      </c>
      <c r="AO163" s="60">
        <f t="shared" si="144"/>
        <v>477.85821088970999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1.5961632016114892E-13</v>
      </c>
      <c r="BF163" s="14">
        <f t="shared" si="167"/>
        <v>2.2708641912150958E-12</v>
      </c>
      <c r="BG163" s="22">
        <f t="shared" si="168"/>
        <v>4.2330868906469593E-12</v>
      </c>
      <c r="BH163" s="60">
        <f t="shared" si="116"/>
        <v>284.86046460755716</v>
      </c>
      <c r="BI163" s="60">
        <f ca="1">AVERAGE(OFFSET($BH$3,0,0,'Données projet'!$E$11+1,1))-AVERAGE(OFFSET($H$3,0,0,'Données projet'!$E$11+1,1))</f>
        <v>374.62597460242665</v>
      </c>
      <c r="BJ163" s="60">
        <f t="shared" si="146"/>
        <v>277.50105097454616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1.0286385077051818E-13</v>
      </c>
      <c r="CA163" s="14">
        <f t="shared" si="170"/>
        <v>1.5402366592183556E-12</v>
      </c>
      <c r="CB163" s="22">
        <f t="shared" si="171"/>
        <v>2.8617333882306215E-12</v>
      </c>
      <c r="CC163" s="60">
        <f t="shared" si="119"/>
        <v>284.8604646075558</v>
      </c>
      <c r="CD163" s="60">
        <f ca="1">AVERAGE(OFFSET($CC$3,0,0,'Données projet'!$E$12+1,1))-AVERAGE(OFFSET($H$3,0,0,'Données projet'!$E$12+1,1))</f>
        <v>434.56763649859136</v>
      </c>
      <c r="CE163" s="60">
        <f t="shared" si="148"/>
        <v>271.90302066766264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9.5769792096689348E-14</v>
      </c>
      <c r="CV163" s="14">
        <f t="shared" si="173"/>
        <v>1.4459910566979609E-12</v>
      </c>
      <c r="CW163" s="22">
        <f t="shared" si="174"/>
        <v>2.6852334783173491E-12</v>
      </c>
      <c r="CX163" s="60">
        <f t="shared" si="122"/>
        <v>284.86046460755563</v>
      </c>
      <c r="CY163" s="60">
        <f ca="1">AVERAGE(OFFSET($CX$3,0,0,'Données projet'!$E$13+1,1))-AVERAGE(OFFSET($H$3,0,0,'Données projet'!$E$13+1,1))</f>
        <v>411.64829629901465</v>
      </c>
      <c r="CZ163" s="60">
        <f t="shared" si="150"/>
        <v>258.66864562757917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1.1527845344971866E-13</v>
      </c>
      <c r="DQ163" s="14">
        <f t="shared" si="176"/>
        <v>1.7033846239409443E-12</v>
      </c>
      <c r="DR163" s="22">
        <f t="shared" si="177"/>
        <v>3.1675048597887374E-12</v>
      </c>
      <c r="DS163" s="60">
        <f t="shared" si="125"/>
        <v>284.86046460755614</v>
      </c>
      <c r="DT163" s="60">
        <f ca="1">AVERAGE(OFFSET($DS$3,0,0,'Données projet'!$E$14+1,1))-AVERAGE(OFFSET($H$3,0,0,'Données projet'!$E$14+1,1))</f>
        <v>474.59791006623266</v>
      </c>
      <c r="DU163" s="60">
        <f t="shared" si="152"/>
        <v>295.01432800690293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-4.9658410716801891E-14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334.73467807584336</v>
      </c>
      <c r="EP163" s="60">
        <f t="shared" si="154"/>
        <v>463.8772059551726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0.64542672818411317</v>
      </c>
      <c r="EW163" s="23">
        <f>EXP(-LN(2)/25)*EW162+(1-EXP(-LN(2)/25))/(LN(2)/25)*Calculateur!ER163*Calculateur!ET163*VLOOKUP('Données projet'!$B$15,Paramètres!$A$1:$I$89,3,0)*0.475*44/12</f>
        <v>0.51859484664352529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1.1640215748276384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135.66666666666666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0">
        <f t="shared" si="109"/>
        <v>285.00744993745059</v>
      </c>
      <c r="S164" s="60">
        <f ca="1">AVERAGE(OFFSET($R$3,0,0,'Données projet'!$E$9+1,1))-AVERAGE(OFFSET($H$3,0,0,'Données projet'!$E$9+1,1))</f>
        <v>199.65420589615553</v>
      </c>
      <c r="T164" s="60">
        <f t="shared" si="142"/>
        <v>477.85821088970999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0">
        <f t="shared" si="113"/>
        <v>285.00744993745059</v>
      </c>
      <c r="AN164" s="60">
        <f ca="1">AVERAGE(OFFSET($AM$3,0,0,'Données projet'!$E$10+1,1))-AVERAGE(OFFSET($H$3,0,0,'Données projet'!$E$10+1,1))</f>
        <v>199.65420589615553</v>
      </c>
      <c r="AO164" s="60">
        <f t="shared" si="144"/>
        <v>477.85821088970999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1.5961632016114892E-13</v>
      </c>
      <c r="BF164" s="14">
        <f t="shared" si="167"/>
        <v>2.2708641912150958E-12</v>
      </c>
      <c r="BG164" s="22">
        <f t="shared" si="168"/>
        <v>4.2330868906469593E-12</v>
      </c>
      <c r="BH164" s="60">
        <f t="shared" si="116"/>
        <v>285.0074499374528</v>
      </c>
      <c r="BI164" s="60">
        <f ca="1">AVERAGE(OFFSET($BH$3,0,0,'Données projet'!$E$11+1,1))-AVERAGE(OFFSET($H$3,0,0,'Données projet'!$E$11+1,1))</f>
        <v>374.62597460242665</v>
      </c>
      <c r="BJ164" s="60">
        <f t="shared" si="146"/>
        <v>277.50105097454616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1.0286385077051818E-13</v>
      </c>
      <c r="CA164" s="14">
        <f t="shared" si="170"/>
        <v>1.5402366592183556E-12</v>
      </c>
      <c r="CB164" s="22">
        <f t="shared" si="171"/>
        <v>2.8617333882306215E-12</v>
      </c>
      <c r="CC164" s="60">
        <f t="shared" si="119"/>
        <v>285.00744993745144</v>
      </c>
      <c r="CD164" s="60">
        <f ca="1">AVERAGE(OFFSET($CC$3,0,0,'Données projet'!$E$12+1,1))-AVERAGE(OFFSET($H$3,0,0,'Données projet'!$E$12+1,1))</f>
        <v>434.56763649859136</v>
      </c>
      <c r="CE164" s="60">
        <f t="shared" si="148"/>
        <v>271.90302066766264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9.5769792096689348E-14</v>
      </c>
      <c r="CV164" s="14">
        <f t="shared" si="173"/>
        <v>1.4459910566979609E-12</v>
      </c>
      <c r="CW164" s="22">
        <f t="shared" si="174"/>
        <v>2.6852334783173491E-12</v>
      </c>
      <c r="CX164" s="60">
        <f t="shared" si="122"/>
        <v>285.00744993745127</v>
      </c>
      <c r="CY164" s="60">
        <f ca="1">AVERAGE(OFFSET($CX$3,0,0,'Données projet'!$E$13+1,1))-AVERAGE(OFFSET($H$3,0,0,'Données projet'!$E$13+1,1))</f>
        <v>411.64829629901465</v>
      </c>
      <c r="CZ164" s="60">
        <f t="shared" si="150"/>
        <v>258.66864562757917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1.1527845344971866E-13</v>
      </c>
      <c r="DQ164" s="14">
        <f t="shared" si="176"/>
        <v>1.7033846239409443E-12</v>
      </c>
      <c r="DR164" s="22">
        <f t="shared" si="177"/>
        <v>3.1675048597887374E-12</v>
      </c>
      <c r="DS164" s="60">
        <f t="shared" si="125"/>
        <v>285.00744993745178</v>
      </c>
      <c r="DT164" s="60">
        <f ca="1">AVERAGE(OFFSET($DS$3,0,0,'Données projet'!$E$14+1,1))-AVERAGE(OFFSET($H$3,0,0,'Données projet'!$E$14+1,1))</f>
        <v>474.59791006623266</v>
      </c>
      <c r="DU164" s="60">
        <f t="shared" si="152"/>
        <v>295.01432800690293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-4.9658410716801891E-14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334.73467807584336</v>
      </c>
      <c r="EP164" s="60">
        <f t="shared" si="154"/>
        <v>463.8772059551726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0.63277030371585508</v>
      </c>
      <c r="EW164" s="23">
        <f>EXP(-LN(2)/25)*EW163+(1-EXP(-LN(2)/25))/(LN(2)/25)*Calculateur!ER164*Calculateur!ET164*VLOOKUP('Données projet'!$B$15,Paramètres!$A$1:$I$89,3,0)*0.475*44/12</f>
        <v>0.50441384329034034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1.1371841470061954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135.66666666666666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0">
        <f t="shared" si="109"/>
        <v>285.15188540048246</v>
      </c>
      <c r="S165" s="60">
        <f ca="1">AVERAGE(OFFSET($R$3,0,0,'Données projet'!$E$9+1,1))-AVERAGE(OFFSET($H$3,0,0,'Données projet'!$E$9+1,1))</f>
        <v>199.65420589615553</v>
      </c>
      <c r="T165" s="60">
        <f t="shared" si="142"/>
        <v>477.85821088970999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0">
        <f t="shared" si="113"/>
        <v>285.15188540048246</v>
      </c>
      <c r="AN165" s="60">
        <f ca="1">AVERAGE(OFFSET($AM$3,0,0,'Données projet'!$E$10+1,1))-AVERAGE(OFFSET($H$3,0,0,'Données projet'!$E$10+1,1))</f>
        <v>199.65420589615553</v>
      </c>
      <c r="AO165" s="60">
        <f t="shared" si="144"/>
        <v>477.85821088970999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1.5961632016114892E-13</v>
      </c>
      <c r="BF165" s="14">
        <f t="shared" si="167"/>
        <v>2.2708641912150958E-12</v>
      </c>
      <c r="BG165" s="22">
        <f t="shared" si="168"/>
        <v>4.2330868906469593E-12</v>
      </c>
      <c r="BH165" s="60">
        <f t="shared" si="116"/>
        <v>285.15188540048467</v>
      </c>
      <c r="BI165" s="60">
        <f ca="1">AVERAGE(OFFSET($BH$3,0,0,'Données projet'!$E$11+1,1))-AVERAGE(OFFSET($H$3,0,0,'Données projet'!$E$11+1,1))</f>
        <v>374.62597460242665</v>
      </c>
      <c r="BJ165" s="60">
        <f t="shared" si="146"/>
        <v>277.50105097454616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1.0286385077051818E-13</v>
      </c>
      <c r="CA165" s="14">
        <f t="shared" si="170"/>
        <v>1.5402366592183556E-12</v>
      </c>
      <c r="CB165" s="22">
        <f t="shared" si="171"/>
        <v>2.8617333882306215E-12</v>
      </c>
      <c r="CC165" s="60">
        <f t="shared" si="119"/>
        <v>285.15188540048331</v>
      </c>
      <c r="CD165" s="60">
        <f ca="1">AVERAGE(OFFSET($CC$3,0,0,'Données projet'!$E$12+1,1))-AVERAGE(OFFSET($H$3,0,0,'Données projet'!$E$12+1,1))</f>
        <v>434.56763649859136</v>
      </c>
      <c r="CE165" s="60">
        <f t="shared" si="148"/>
        <v>271.90302066766264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9.5769792096689348E-14</v>
      </c>
      <c r="CV165" s="14">
        <f t="shared" si="173"/>
        <v>1.4459910566979609E-12</v>
      </c>
      <c r="CW165" s="22">
        <f t="shared" si="174"/>
        <v>2.6852334783173491E-12</v>
      </c>
      <c r="CX165" s="60">
        <f t="shared" si="122"/>
        <v>285.15188540048314</v>
      </c>
      <c r="CY165" s="60">
        <f ca="1">AVERAGE(OFFSET($CX$3,0,0,'Données projet'!$E$13+1,1))-AVERAGE(OFFSET($H$3,0,0,'Données projet'!$E$13+1,1))</f>
        <v>411.64829629901465</v>
      </c>
      <c r="CZ165" s="60">
        <f t="shared" si="150"/>
        <v>258.66864562757917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1.1527845344971866E-13</v>
      </c>
      <c r="DQ165" s="14">
        <f t="shared" si="176"/>
        <v>1.7033846239409443E-12</v>
      </c>
      <c r="DR165" s="22">
        <f t="shared" si="177"/>
        <v>3.1675048597887374E-12</v>
      </c>
      <c r="DS165" s="60">
        <f t="shared" si="125"/>
        <v>285.15188540048365</v>
      </c>
      <c r="DT165" s="60">
        <f ca="1">AVERAGE(OFFSET($DS$3,0,0,'Données projet'!$E$14+1,1))-AVERAGE(OFFSET($H$3,0,0,'Données projet'!$E$14+1,1))</f>
        <v>474.59791006623266</v>
      </c>
      <c r="DU165" s="60">
        <f t="shared" si="152"/>
        <v>295.01432800690293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-4.9658410716801891E-14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334.73467807584336</v>
      </c>
      <c r="EP165" s="60">
        <f t="shared" si="154"/>
        <v>463.8772059551726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0.62036206401176286</v>
      </c>
      <c r="EW165" s="23">
        <f>EXP(-LN(2)/25)*EW164+(1-EXP(-LN(2)/25))/(LN(2)/25)*Calculateur!ER165*Calculateur!ET165*VLOOKUP('Données projet'!$B$15,Paramètres!$A$1:$I$89,3,0)*0.475*44/12</f>
        <v>0.49062062021959479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1.1109826842313577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135.66666666666666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0">
        <f t="shared" si="109"/>
        <v>285.29381523114006</v>
      </c>
      <c r="S166" s="60">
        <f ca="1">AVERAGE(OFFSET($R$3,0,0,'Données projet'!$E$9+1,1))-AVERAGE(OFFSET($H$3,0,0,'Données projet'!$E$9+1,1))</f>
        <v>199.65420589615553</v>
      </c>
      <c r="T166" s="60">
        <f t="shared" si="142"/>
        <v>477.85821088970999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0">
        <f t="shared" si="113"/>
        <v>285.29381523114006</v>
      </c>
      <c r="AN166" s="60">
        <f ca="1">AVERAGE(OFFSET($AM$3,0,0,'Données projet'!$E$10+1,1))-AVERAGE(OFFSET($H$3,0,0,'Données projet'!$E$10+1,1))</f>
        <v>199.65420589615553</v>
      </c>
      <c r="AO166" s="60">
        <f t="shared" si="144"/>
        <v>477.85821088970999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1.5961632016114892E-13</v>
      </c>
      <c r="BF166" s="14">
        <f t="shared" si="167"/>
        <v>2.2708641912150958E-12</v>
      </c>
      <c r="BG166" s="22">
        <f t="shared" si="168"/>
        <v>4.2330868906469593E-12</v>
      </c>
      <c r="BH166" s="60">
        <f t="shared" si="116"/>
        <v>285.29381523114228</v>
      </c>
      <c r="BI166" s="60">
        <f ca="1">AVERAGE(OFFSET($BH$3,0,0,'Données projet'!$E$11+1,1))-AVERAGE(OFFSET($H$3,0,0,'Données projet'!$E$11+1,1))</f>
        <v>374.62597460242665</v>
      </c>
      <c r="BJ166" s="60">
        <f t="shared" si="146"/>
        <v>277.50105097454616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1.0286385077051818E-13</v>
      </c>
      <c r="CA166" s="14">
        <f t="shared" si="170"/>
        <v>1.5402366592183556E-12</v>
      </c>
      <c r="CB166" s="22">
        <f t="shared" si="171"/>
        <v>2.8617333882306215E-12</v>
      </c>
      <c r="CC166" s="60">
        <f t="shared" si="119"/>
        <v>285.29381523114091</v>
      </c>
      <c r="CD166" s="60">
        <f ca="1">AVERAGE(OFFSET($CC$3,0,0,'Données projet'!$E$12+1,1))-AVERAGE(OFFSET($H$3,0,0,'Données projet'!$E$12+1,1))</f>
        <v>434.56763649859136</v>
      </c>
      <c r="CE166" s="60">
        <f t="shared" si="148"/>
        <v>271.90302066766264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9.5769792096689348E-14</v>
      </c>
      <c r="CV166" s="14">
        <f t="shared" si="173"/>
        <v>1.4459910566979609E-12</v>
      </c>
      <c r="CW166" s="22">
        <f t="shared" si="174"/>
        <v>2.6852334783173491E-12</v>
      </c>
      <c r="CX166" s="60">
        <f t="shared" si="122"/>
        <v>285.29381523114074</v>
      </c>
      <c r="CY166" s="60">
        <f ca="1">AVERAGE(OFFSET($CX$3,0,0,'Données projet'!$E$13+1,1))-AVERAGE(OFFSET($H$3,0,0,'Données projet'!$E$13+1,1))</f>
        <v>411.64829629901465</v>
      </c>
      <c r="CZ166" s="60">
        <f t="shared" si="150"/>
        <v>258.66864562757917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1.1527845344971866E-13</v>
      </c>
      <c r="DQ166" s="14">
        <f t="shared" si="176"/>
        <v>1.7033846239409443E-12</v>
      </c>
      <c r="DR166" s="22">
        <f t="shared" si="177"/>
        <v>3.1675048597887374E-12</v>
      </c>
      <c r="DS166" s="60">
        <f t="shared" si="125"/>
        <v>285.29381523114125</v>
      </c>
      <c r="DT166" s="60">
        <f ca="1">AVERAGE(OFFSET($DS$3,0,0,'Données projet'!$E$14+1,1))-AVERAGE(OFFSET($H$3,0,0,'Données projet'!$E$14+1,1))</f>
        <v>474.59791006623266</v>
      </c>
      <c r="DU166" s="60">
        <f t="shared" si="152"/>
        <v>295.01432800690293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-4.9658410716801891E-14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334.73467807584336</v>
      </c>
      <c r="EP166" s="60">
        <f t="shared" si="154"/>
        <v>463.8772059551726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0.608197142319989</v>
      </c>
      <c r="EW166" s="23">
        <f>EXP(-LN(2)/25)*EW165+(1-EXP(-LN(2)/25))/(LN(2)/25)*Calculateur!ER166*Calculateur!ET166*VLOOKUP('Données projet'!$B$15,Paramètres!$A$1:$I$89,3,0)*0.475*44/12</f>
        <v>0.47720457355907286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1.0854017158790619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135.66666666666666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0">
        <f t="shared" si="109"/>
        <v>285.43328289654335</v>
      </c>
      <c r="S167" s="60">
        <f ca="1">AVERAGE(OFFSET($R$3,0,0,'Données projet'!$E$9+1,1))-AVERAGE(OFFSET($H$3,0,0,'Données projet'!$E$9+1,1))</f>
        <v>199.65420589615553</v>
      </c>
      <c r="T167" s="60">
        <f t="shared" si="142"/>
        <v>477.85821088970999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0">
        <f t="shared" si="113"/>
        <v>285.43328289654335</v>
      </c>
      <c r="AN167" s="60">
        <f ca="1">AVERAGE(OFFSET($AM$3,0,0,'Données projet'!$E$10+1,1))-AVERAGE(OFFSET($H$3,0,0,'Données projet'!$E$10+1,1))</f>
        <v>199.65420589615553</v>
      </c>
      <c r="AO167" s="60">
        <f t="shared" si="144"/>
        <v>477.85821088970999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1.5961632016114892E-13</v>
      </c>
      <c r="BF167" s="14">
        <f t="shared" si="167"/>
        <v>2.2708641912150958E-12</v>
      </c>
      <c r="BG167" s="22">
        <f t="shared" si="168"/>
        <v>4.2330868906469593E-12</v>
      </c>
      <c r="BH167" s="60">
        <f t="shared" si="116"/>
        <v>285.43328289654556</v>
      </c>
      <c r="BI167" s="60">
        <f ca="1">AVERAGE(OFFSET($BH$3,0,0,'Données projet'!$E$11+1,1))-AVERAGE(OFFSET($H$3,0,0,'Données projet'!$E$11+1,1))</f>
        <v>374.62597460242665</v>
      </c>
      <c r="BJ167" s="60">
        <f t="shared" si="146"/>
        <v>277.50105097454616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1.0286385077051818E-13</v>
      </c>
      <c r="CA167" s="14">
        <f t="shared" si="170"/>
        <v>1.5402366592183556E-12</v>
      </c>
      <c r="CB167" s="22">
        <f t="shared" si="171"/>
        <v>2.8617333882306215E-12</v>
      </c>
      <c r="CC167" s="60">
        <f t="shared" si="119"/>
        <v>285.4332828965442</v>
      </c>
      <c r="CD167" s="60">
        <f ca="1">AVERAGE(OFFSET($CC$3,0,0,'Données projet'!$E$12+1,1))-AVERAGE(OFFSET($H$3,0,0,'Données projet'!$E$12+1,1))</f>
        <v>434.56763649859136</v>
      </c>
      <c r="CE167" s="60">
        <f t="shared" si="148"/>
        <v>271.90302066766264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9.5769792096689348E-14</v>
      </c>
      <c r="CV167" s="14">
        <f t="shared" si="173"/>
        <v>1.4459910566979609E-12</v>
      </c>
      <c r="CW167" s="22">
        <f t="shared" si="174"/>
        <v>2.6852334783173491E-12</v>
      </c>
      <c r="CX167" s="60">
        <f t="shared" si="122"/>
        <v>285.43328289654403</v>
      </c>
      <c r="CY167" s="60">
        <f ca="1">AVERAGE(OFFSET($CX$3,0,0,'Données projet'!$E$13+1,1))-AVERAGE(OFFSET($H$3,0,0,'Données projet'!$E$13+1,1))</f>
        <v>411.64829629901465</v>
      </c>
      <c r="CZ167" s="60">
        <f t="shared" si="150"/>
        <v>258.66864562757917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1.1527845344971866E-13</v>
      </c>
      <c r="DQ167" s="14">
        <f t="shared" si="176"/>
        <v>1.7033846239409443E-12</v>
      </c>
      <c r="DR167" s="22">
        <f t="shared" si="177"/>
        <v>3.1675048597887374E-12</v>
      </c>
      <c r="DS167" s="60">
        <f t="shared" si="125"/>
        <v>285.43328289654454</v>
      </c>
      <c r="DT167" s="60">
        <f ca="1">AVERAGE(OFFSET($DS$3,0,0,'Données projet'!$E$14+1,1))-AVERAGE(OFFSET($H$3,0,0,'Données projet'!$E$14+1,1))</f>
        <v>474.59791006623266</v>
      </c>
      <c r="DU167" s="60">
        <f t="shared" si="152"/>
        <v>295.01432800690293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-4.9658410716801891E-14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334.73467807584336</v>
      </c>
      <c r="EP167" s="60">
        <f t="shared" si="154"/>
        <v>463.8772059551726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0.59627076732272122</v>
      </c>
      <c r="EW167" s="23">
        <f>EXP(-LN(2)/25)*EW166+(1-EXP(-LN(2)/25))/(LN(2)/25)*Calculateur!ER167*Calculateur!ET167*VLOOKUP('Données projet'!$B$15,Paramètres!$A$1:$I$89,3,0)*0.475*44/12</f>
        <v>0.46415538940000217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1.0604261567227233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135.66666666666666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0">
        <f t="shared" si="109"/>
        <v>285.57033110975482</v>
      </c>
      <c r="S168" s="60">
        <f ca="1">AVERAGE(OFFSET($R$3,0,0,'Données projet'!$E$9+1,1))-AVERAGE(OFFSET($H$3,0,0,'Données projet'!$E$9+1,1))</f>
        <v>199.65420589615553</v>
      </c>
      <c r="T168" s="60">
        <f t="shared" si="142"/>
        <v>477.85821088970999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0">
        <f t="shared" si="113"/>
        <v>285.57033110975482</v>
      </c>
      <c r="AN168" s="60">
        <f ca="1">AVERAGE(OFFSET($AM$3,0,0,'Données projet'!$E$10+1,1))-AVERAGE(OFFSET($H$3,0,0,'Données projet'!$E$10+1,1))</f>
        <v>199.65420589615553</v>
      </c>
      <c r="AO168" s="60">
        <f t="shared" si="144"/>
        <v>477.85821088970999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1.5961632016114892E-13</v>
      </c>
      <c r="BF168" s="14">
        <f t="shared" si="167"/>
        <v>2.2708641912150958E-12</v>
      </c>
      <c r="BG168" s="22">
        <f t="shared" si="168"/>
        <v>4.2330868906469593E-12</v>
      </c>
      <c r="BH168" s="60">
        <f t="shared" si="116"/>
        <v>285.57033110975703</v>
      </c>
      <c r="BI168" s="60">
        <f ca="1">AVERAGE(OFFSET($BH$3,0,0,'Données projet'!$E$11+1,1))-AVERAGE(OFFSET($H$3,0,0,'Données projet'!$E$11+1,1))</f>
        <v>374.62597460242665</v>
      </c>
      <c r="BJ168" s="60">
        <f t="shared" si="146"/>
        <v>277.50105097454616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1.0286385077051818E-13</v>
      </c>
      <c r="CA168" s="14">
        <f t="shared" si="170"/>
        <v>1.5402366592183556E-12</v>
      </c>
      <c r="CB168" s="22">
        <f t="shared" si="171"/>
        <v>2.8617333882306215E-12</v>
      </c>
      <c r="CC168" s="60">
        <f t="shared" si="119"/>
        <v>285.57033110975567</v>
      </c>
      <c r="CD168" s="60">
        <f ca="1">AVERAGE(OFFSET($CC$3,0,0,'Données projet'!$E$12+1,1))-AVERAGE(OFFSET($H$3,0,0,'Données projet'!$E$12+1,1))</f>
        <v>434.56763649859136</v>
      </c>
      <c r="CE168" s="60">
        <f t="shared" si="148"/>
        <v>271.90302066766264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9.5769792096689348E-14</v>
      </c>
      <c r="CV168" s="14">
        <f t="shared" si="173"/>
        <v>1.4459910566979609E-12</v>
      </c>
      <c r="CW168" s="22">
        <f t="shared" si="174"/>
        <v>2.6852334783173491E-12</v>
      </c>
      <c r="CX168" s="60">
        <f t="shared" si="122"/>
        <v>285.5703311097555</v>
      </c>
      <c r="CY168" s="60">
        <f ca="1">AVERAGE(OFFSET($CX$3,0,0,'Données projet'!$E$13+1,1))-AVERAGE(OFFSET($H$3,0,0,'Données projet'!$E$13+1,1))</f>
        <v>411.64829629901465</v>
      </c>
      <c r="CZ168" s="60">
        <f t="shared" si="150"/>
        <v>258.66864562757917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1.1527845344971866E-13</v>
      </c>
      <c r="DQ168" s="14">
        <f t="shared" si="176"/>
        <v>1.7033846239409443E-12</v>
      </c>
      <c r="DR168" s="22">
        <f t="shared" si="177"/>
        <v>3.1675048597887374E-12</v>
      </c>
      <c r="DS168" s="60">
        <f t="shared" si="125"/>
        <v>285.57033110975601</v>
      </c>
      <c r="DT168" s="60">
        <f ca="1">AVERAGE(OFFSET($DS$3,0,0,'Données projet'!$E$14+1,1))-AVERAGE(OFFSET($H$3,0,0,'Données projet'!$E$14+1,1))</f>
        <v>474.59791006623266</v>
      </c>
      <c r="DU168" s="60">
        <f t="shared" si="152"/>
        <v>295.01432800690293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-4.9658410716801891E-14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334.73467807584336</v>
      </c>
      <c r="EP168" s="60">
        <f t="shared" si="154"/>
        <v>463.8772059551726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0.58457826126477941</v>
      </c>
      <c r="EW168" s="23">
        <f>EXP(-LN(2)/25)*EW167+(1-EXP(-LN(2)/25))/(LN(2)/25)*Calculateur!ER168*Calculateur!ET168*VLOOKUP('Données projet'!$B$15,Paramètres!$A$1:$I$89,3,0)*0.475*44/12</f>
        <v>0.45146303586798803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1.0360412971327675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135.66666666666666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0">
        <f t="shared" si="109"/>
        <v>285.70500184286101</v>
      </c>
      <c r="S169" s="60">
        <f ca="1">AVERAGE(OFFSET($R$3,0,0,'Données projet'!$E$9+1,1))-AVERAGE(OFFSET($H$3,0,0,'Données projet'!$E$9+1,1))</f>
        <v>199.65420589615553</v>
      </c>
      <c r="T169" s="60">
        <f t="shared" si="142"/>
        <v>477.85821088970999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0">
        <f t="shared" si="113"/>
        <v>285.70500184286101</v>
      </c>
      <c r="AN169" s="60">
        <f ca="1">AVERAGE(OFFSET($AM$3,0,0,'Données projet'!$E$10+1,1))-AVERAGE(OFFSET($H$3,0,0,'Données projet'!$E$10+1,1))</f>
        <v>199.65420589615553</v>
      </c>
      <c r="AO169" s="60">
        <f t="shared" si="144"/>
        <v>477.85821088970999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1.5961632016114892E-13</v>
      </c>
      <c r="BF169" s="14">
        <f t="shared" si="167"/>
        <v>2.2708641912150958E-12</v>
      </c>
      <c r="BG169" s="22">
        <f t="shared" si="168"/>
        <v>4.2330868906469593E-12</v>
      </c>
      <c r="BH169" s="60">
        <f t="shared" si="116"/>
        <v>285.70500184286323</v>
      </c>
      <c r="BI169" s="60">
        <f ca="1">AVERAGE(OFFSET($BH$3,0,0,'Données projet'!$E$11+1,1))-AVERAGE(OFFSET($H$3,0,0,'Données projet'!$E$11+1,1))</f>
        <v>374.62597460242665</v>
      </c>
      <c r="BJ169" s="60">
        <f t="shared" si="146"/>
        <v>277.50105097454616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1.0286385077051818E-13</v>
      </c>
      <c r="CA169" s="14">
        <f t="shared" si="170"/>
        <v>1.5402366592183556E-12</v>
      </c>
      <c r="CB169" s="22">
        <f t="shared" si="171"/>
        <v>2.8617333882306215E-12</v>
      </c>
      <c r="CC169" s="60">
        <f t="shared" si="119"/>
        <v>285.70500184286186</v>
      </c>
      <c r="CD169" s="60">
        <f ca="1">AVERAGE(OFFSET($CC$3,0,0,'Données projet'!$E$12+1,1))-AVERAGE(OFFSET($H$3,0,0,'Données projet'!$E$12+1,1))</f>
        <v>434.56763649859136</v>
      </c>
      <c r="CE169" s="60">
        <f t="shared" si="148"/>
        <v>271.90302066766264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9.5769792096689348E-14</v>
      </c>
      <c r="CV169" s="14">
        <f t="shared" si="173"/>
        <v>1.4459910566979609E-12</v>
      </c>
      <c r="CW169" s="22">
        <f t="shared" si="174"/>
        <v>2.6852334783173491E-12</v>
      </c>
      <c r="CX169" s="60">
        <f t="shared" si="122"/>
        <v>285.70500184286169</v>
      </c>
      <c r="CY169" s="60">
        <f ca="1">AVERAGE(OFFSET($CX$3,0,0,'Données projet'!$E$13+1,1))-AVERAGE(OFFSET($H$3,0,0,'Données projet'!$E$13+1,1))</f>
        <v>411.64829629901465</v>
      </c>
      <c r="CZ169" s="60">
        <f t="shared" si="150"/>
        <v>258.66864562757917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1.1527845344971866E-13</v>
      </c>
      <c r="DQ169" s="14">
        <f t="shared" si="176"/>
        <v>1.7033846239409443E-12</v>
      </c>
      <c r="DR169" s="22">
        <f t="shared" si="177"/>
        <v>3.1675048597887374E-12</v>
      </c>
      <c r="DS169" s="60">
        <f t="shared" si="125"/>
        <v>285.7050018428622</v>
      </c>
      <c r="DT169" s="60">
        <f ca="1">AVERAGE(OFFSET($DS$3,0,0,'Données projet'!$E$14+1,1))-AVERAGE(OFFSET($H$3,0,0,'Données projet'!$E$14+1,1))</f>
        <v>474.59791006623266</v>
      </c>
      <c r="DU169" s="60">
        <f t="shared" si="152"/>
        <v>295.01432800690293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-4.9658410716801891E-14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334.73467807584336</v>
      </c>
      <c r="EP169" s="60">
        <f t="shared" si="154"/>
        <v>463.8772059551726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0.57311503811890929</v>
      </c>
      <c r="EW169" s="23">
        <f>EXP(-LN(2)/25)*EW168+(1-EXP(-LN(2)/25))/(LN(2)/25)*Calculateur!ER169*Calculateur!ET169*VLOOKUP('Données projet'!$B$15,Paramètres!$A$1:$I$89,3,0)*0.475*44/12</f>
        <v>0.4391177554107687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1.012232793529678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135.66666666666666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0">
        <f t="shared" si="109"/>
        <v>285.83733633982649</v>
      </c>
      <c r="S170" s="60">
        <f ca="1">AVERAGE(OFFSET($R$3,0,0,'Données projet'!$E$9+1,1))-AVERAGE(OFFSET($H$3,0,0,'Données projet'!$E$9+1,1))</f>
        <v>199.65420589615553</v>
      </c>
      <c r="T170" s="60">
        <f t="shared" si="142"/>
        <v>477.85821088970999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0">
        <f t="shared" si="113"/>
        <v>285.83733633982649</v>
      </c>
      <c r="AN170" s="60">
        <f ca="1">AVERAGE(OFFSET($AM$3,0,0,'Données projet'!$E$10+1,1))-AVERAGE(OFFSET($H$3,0,0,'Données projet'!$E$10+1,1))</f>
        <v>199.65420589615553</v>
      </c>
      <c r="AO170" s="60">
        <f t="shared" si="144"/>
        <v>477.85821088970999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1.5961632016114892E-13</v>
      </c>
      <c r="BF170" s="14">
        <f t="shared" si="167"/>
        <v>2.2708641912150958E-12</v>
      </c>
      <c r="BG170" s="22">
        <f t="shared" si="168"/>
        <v>4.2330868906469593E-12</v>
      </c>
      <c r="BH170" s="60">
        <f t="shared" si="116"/>
        <v>285.83733633982871</v>
      </c>
      <c r="BI170" s="60">
        <f ca="1">AVERAGE(OFFSET($BH$3,0,0,'Données projet'!$E$11+1,1))-AVERAGE(OFFSET($H$3,0,0,'Données projet'!$E$11+1,1))</f>
        <v>374.62597460242665</v>
      </c>
      <c r="BJ170" s="60">
        <f t="shared" si="146"/>
        <v>277.50105097454616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1.0286385077051818E-13</v>
      </c>
      <c r="CA170" s="14">
        <f t="shared" si="170"/>
        <v>1.5402366592183556E-12</v>
      </c>
      <c r="CB170" s="22">
        <f t="shared" si="171"/>
        <v>2.8617333882306215E-12</v>
      </c>
      <c r="CC170" s="60">
        <f t="shared" si="119"/>
        <v>285.83733633982735</v>
      </c>
      <c r="CD170" s="60">
        <f ca="1">AVERAGE(OFFSET($CC$3,0,0,'Données projet'!$E$12+1,1))-AVERAGE(OFFSET($H$3,0,0,'Données projet'!$E$12+1,1))</f>
        <v>434.56763649859136</v>
      </c>
      <c r="CE170" s="60">
        <f t="shared" si="148"/>
        <v>271.90302066766264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9.5769792096689348E-14</v>
      </c>
      <c r="CV170" s="14">
        <f t="shared" si="173"/>
        <v>1.4459910566979609E-12</v>
      </c>
      <c r="CW170" s="22">
        <f t="shared" si="174"/>
        <v>2.6852334783173491E-12</v>
      </c>
      <c r="CX170" s="60">
        <f t="shared" si="122"/>
        <v>285.83733633982717</v>
      </c>
      <c r="CY170" s="60">
        <f ca="1">AVERAGE(OFFSET($CX$3,0,0,'Données projet'!$E$13+1,1))-AVERAGE(OFFSET($H$3,0,0,'Données projet'!$E$13+1,1))</f>
        <v>411.64829629901465</v>
      </c>
      <c r="CZ170" s="60">
        <f t="shared" si="150"/>
        <v>258.66864562757917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1.1527845344971866E-13</v>
      </c>
      <c r="DQ170" s="14">
        <f t="shared" si="176"/>
        <v>1.7033846239409443E-12</v>
      </c>
      <c r="DR170" s="22">
        <f t="shared" si="177"/>
        <v>3.1675048597887374E-12</v>
      </c>
      <c r="DS170" s="60">
        <f t="shared" si="125"/>
        <v>285.83733633982769</v>
      </c>
      <c r="DT170" s="60">
        <f ca="1">AVERAGE(OFFSET($DS$3,0,0,'Données projet'!$E$14+1,1))-AVERAGE(OFFSET($H$3,0,0,'Données projet'!$E$14+1,1))</f>
        <v>474.59791006623266</v>
      </c>
      <c r="DU170" s="60">
        <f t="shared" si="152"/>
        <v>295.01432800690293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-4.9658410716801891E-14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334.73467807584336</v>
      </c>
      <c r="EP170" s="60">
        <f t="shared" si="154"/>
        <v>463.8772059551726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0.56187660178705401</v>
      </c>
      <c r="EW170" s="23">
        <f>EXP(-LN(2)/25)*EW169+(1-EXP(-LN(2)/25))/(LN(2)/25)*Calculateur!ER170*Calculateur!ET170*VLOOKUP('Données projet'!$B$15,Paramètres!$A$1:$I$89,3,0)*0.475*44/12</f>
        <v>0.42711005729686208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0.98898665908391603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135.66666666666666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0">
        <f t="shared" si="109"/>
        <v>285.96737512912517</v>
      </c>
      <c r="S171" s="60">
        <f ca="1">AVERAGE(OFFSET($R$3,0,0,'Données projet'!$E$9+1,1))-AVERAGE(OFFSET($H$3,0,0,'Données projet'!$E$9+1,1))</f>
        <v>199.65420589615553</v>
      </c>
      <c r="T171" s="60">
        <f t="shared" si="142"/>
        <v>477.85821088970999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0">
        <f t="shared" si="113"/>
        <v>285.96737512912517</v>
      </c>
      <c r="AN171" s="60">
        <f ca="1">AVERAGE(OFFSET($AM$3,0,0,'Données projet'!$E$10+1,1))-AVERAGE(OFFSET($H$3,0,0,'Données projet'!$E$10+1,1))</f>
        <v>199.65420589615553</v>
      </c>
      <c r="AO171" s="60">
        <f t="shared" si="144"/>
        <v>477.85821088970999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1.5961632016114892E-13</v>
      </c>
      <c r="BF171" s="14">
        <f t="shared" si="167"/>
        <v>2.2708641912150958E-12</v>
      </c>
      <c r="BG171" s="22">
        <f t="shared" si="168"/>
        <v>4.2330868906469593E-12</v>
      </c>
      <c r="BH171" s="60">
        <f t="shared" si="116"/>
        <v>285.96737512912739</v>
      </c>
      <c r="BI171" s="60">
        <f ca="1">AVERAGE(OFFSET($BH$3,0,0,'Données projet'!$E$11+1,1))-AVERAGE(OFFSET($H$3,0,0,'Données projet'!$E$11+1,1))</f>
        <v>374.62597460242665</v>
      </c>
      <c r="BJ171" s="60">
        <f t="shared" si="146"/>
        <v>277.50105097454616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1.0286385077051818E-13</v>
      </c>
      <c r="CA171" s="14">
        <f t="shared" si="170"/>
        <v>1.5402366592183556E-12</v>
      </c>
      <c r="CB171" s="22">
        <f t="shared" si="171"/>
        <v>2.8617333882306215E-12</v>
      </c>
      <c r="CC171" s="60">
        <f t="shared" si="119"/>
        <v>285.96737512912603</v>
      </c>
      <c r="CD171" s="60">
        <f ca="1">AVERAGE(OFFSET($CC$3,0,0,'Données projet'!$E$12+1,1))-AVERAGE(OFFSET($H$3,0,0,'Données projet'!$E$12+1,1))</f>
        <v>434.56763649859136</v>
      </c>
      <c r="CE171" s="60">
        <f t="shared" si="148"/>
        <v>271.90302066766264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9.5769792096689348E-14</v>
      </c>
      <c r="CV171" s="14">
        <f t="shared" si="173"/>
        <v>1.4459910566979609E-12</v>
      </c>
      <c r="CW171" s="22">
        <f t="shared" si="174"/>
        <v>2.6852334783173491E-12</v>
      </c>
      <c r="CX171" s="60">
        <f t="shared" si="122"/>
        <v>285.96737512912586</v>
      </c>
      <c r="CY171" s="60">
        <f ca="1">AVERAGE(OFFSET($CX$3,0,0,'Données projet'!$E$13+1,1))-AVERAGE(OFFSET($H$3,0,0,'Données projet'!$E$13+1,1))</f>
        <v>411.64829629901465</v>
      </c>
      <c r="CZ171" s="60">
        <f t="shared" si="150"/>
        <v>258.66864562757917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1.1527845344971866E-13</v>
      </c>
      <c r="DQ171" s="14">
        <f t="shared" si="176"/>
        <v>1.7033846239409443E-12</v>
      </c>
      <c r="DR171" s="22">
        <f t="shared" si="177"/>
        <v>3.1675048597887374E-12</v>
      </c>
      <c r="DS171" s="60">
        <f t="shared" si="125"/>
        <v>285.96737512912637</v>
      </c>
      <c r="DT171" s="60">
        <f ca="1">AVERAGE(OFFSET($DS$3,0,0,'Données projet'!$E$14+1,1))-AVERAGE(OFFSET($H$3,0,0,'Données projet'!$E$14+1,1))</f>
        <v>474.59791006623266</v>
      </c>
      <c r="DU171" s="60">
        <f t="shared" si="152"/>
        <v>295.01432800690293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-4.9658410716801891E-14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334.73467807584336</v>
      </c>
      <c r="EP171" s="60">
        <f t="shared" si="154"/>
        <v>463.8772059551726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0.55085854433689707</v>
      </c>
      <c r="EW171" s="23">
        <f>EXP(-LN(2)/25)*EW170+(1-EXP(-LN(2)/25))/(LN(2)/25)*Calculateur!ER171*Calculateur!ET171*VLOOKUP('Données projet'!$B$15,Paramètres!$A$1:$I$89,3,0)*0.475*44/12</f>
        <v>0.41543071031933765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0.96628925465623472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135.66666666666666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0">
        <f t="shared" si="109"/>
        <v>286.09515803615272</v>
      </c>
      <c r="S172" s="60">
        <f ca="1">AVERAGE(OFFSET($R$3,0,0,'Données projet'!$E$9+1,1))-AVERAGE(OFFSET($H$3,0,0,'Données projet'!$E$9+1,1))</f>
        <v>199.65420589615553</v>
      </c>
      <c r="T172" s="60">
        <f t="shared" si="142"/>
        <v>477.85821088970999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0">
        <f t="shared" si="113"/>
        <v>286.09515803615272</v>
      </c>
      <c r="AN172" s="60">
        <f ca="1">AVERAGE(OFFSET($AM$3,0,0,'Données projet'!$E$10+1,1))-AVERAGE(OFFSET($H$3,0,0,'Données projet'!$E$10+1,1))</f>
        <v>199.65420589615553</v>
      </c>
      <c r="AO172" s="60">
        <f t="shared" si="144"/>
        <v>477.85821088970999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1.5961632016114892E-13</v>
      </c>
      <c r="BF172" s="14">
        <f t="shared" si="167"/>
        <v>2.2708641912150958E-12</v>
      </c>
      <c r="BG172" s="22">
        <f t="shared" si="168"/>
        <v>4.2330868906469593E-12</v>
      </c>
      <c r="BH172" s="60">
        <f t="shared" si="116"/>
        <v>286.09515803615494</v>
      </c>
      <c r="BI172" s="60">
        <f ca="1">AVERAGE(OFFSET($BH$3,0,0,'Données projet'!$E$11+1,1))-AVERAGE(OFFSET($H$3,0,0,'Données projet'!$E$11+1,1))</f>
        <v>374.62597460242665</v>
      </c>
      <c r="BJ172" s="60">
        <f t="shared" si="146"/>
        <v>277.50105097454616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1.0286385077051818E-13</v>
      </c>
      <c r="CA172" s="14">
        <f t="shared" si="170"/>
        <v>1.5402366592183556E-12</v>
      </c>
      <c r="CB172" s="22">
        <f t="shared" si="171"/>
        <v>2.8617333882306215E-12</v>
      </c>
      <c r="CC172" s="60">
        <f t="shared" si="119"/>
        <v>286.09515803615358</v>
      </c>
      <c r="CD172" s="60">
        <f ca="1">AVERAGE(OFFSET($CC$3,0,0,'Données projet'!$E$12+1,1))-AVERAGE(OFFSET($H$3,0,0,'Données projet'!$E$12+1,1))</f>
        <v>434.56763649859136</v>
      </c>
      <c r="CE172" s="60">
        <f t="shared" si="148"/>
        <v>271.90302066766264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9.5769792096689348E-14</v>
      </c>
      <c r="CV172" s="14">
        <f t="shared" si="173"/>
        <v>1.4459910566979609E-12</v>
      </c>
      <c r="CW172" s="22">
        <f t="shared" si="174"/>
        <v>2.6852334783173491E-12</v>
      </c>
      <c r="CX172" s="60">
        <f t="shared" si="122"/>
        <v>286.09515803615341</v>
      </c>
      <c r="CY172" s="60">
        <f ca="1">AVERAGE(OFFSET($CX$3,0,0,'Données projet'!$E$13+1,1))-AVERAGE(OFFSET($H$3,0,0,'Données projet'!$E$13+1,1))</f>
        <v>411.64829629901465</v>
      </c>
      <c r="CZ172" s="60">
        <f t="shared" si="150"/>
        <v>258.66864562757917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1.1527845344971866E-13</v>
      </c>
      <c r="DQ172" s="14">
        <f t="shared" si="176"/>
        <v>1.7033846239409443E-12</v>
      </c>
      <c r="DR172" s="22">
        <f t="shared" si="177"/>
        <v>3.1675048597887374E-12</v>
      </c>
      <c r="DS172" s="60">
        <f t="shared" si="125"/>
        <v>286.09515803615392</v>
      </c>
      <c r="DT172" s="60">
        <f ca="1">AVERAGE(OFFSET($DS$3,0,0,'Données projet'!$E$14+1,1))-AVERAGE(OFFSET($H$3,0,0,'Données projet'!$E$14+1,1))</f>
        <v>474.59791006623266</v>
      </c>
      <c r="DU172" s="60">
        <f t="shared" si="152"/>
        <v>295.01432800690293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-4.9658410716801891E-14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334.73467807584336</v>
      </c>
      <c r="EP172" s="60">
        <f t="shared" si="154"/>
        <v>463.8772059551726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0.54005654427298622</v>
      </c>
      <c r="EW172" s="23">
        <f>EXP(-LN(2)/25)*EW171+(1-EXP(-LN(2)/25))/(LN(2)/25)*Calculateur!ER172*Calculateur!ET172*VLOOKUP('Données projet'!$B$15,Paramètres!$A$1:$I$89,3,0)*0.475*44/12</f>
        <v>0.40407073569910379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0.94412727997209001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135.66666666666666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0">
        <f t="shared" si="109"/>
        <v>286.22072419542314</v>
      </c>
      <c r="S173" s="60">
        <f ca="1">AVERAGE(OFFSET($R$3,0,0,'Données projet'!$E$9+1,1))-AVERAGE(OFFSET($H$3,0,0,'Données projet'!$E$9+1,1))</f>
        <v>199.65420589615553</v>
      </c>
      <c r="T173" s="60">
        <f t="shared" si="142"/>
        <v>477.85821088970999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0">
        <f t="shared" si="113"/>
        <v>286.22072419542314</v>
      </c>
      <c r="AN173" s="60">
        <f ca="1">AVERAGE(OFFSET($AM$3,0,0,'Données projet'!$E$10+1,1))-AVERAGE(OFFSET($H$3,0,0,'Données projet'!$E$10+1,1))</f>
        <v>199.65420589615553</v>
      </c>
      <c r="AO173" s="60">
        <f t="shared" si="144"/>
        <v>477.85821088970999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1.5961632016114892E-13</v>
      </c>
      <c r="BF173" s="14">
        <f t="shared" si="167"/>
        <v>2.2708641912150958E-12</v>
      </c>
      <c r="BG173" s="22">
        <f t="shared" si="168"/>
        <v>4.2330868906469593E-12</v>
      </c>
      <c r="BH173" s="60">
        <f t="shared" si="116"/>
        <v>286.22072419542536</v>
      </c>
      <c r="BI173" s="60">
        <f ca="1">AVERAGE(OFFSET($BH$3,0,0,'Données projet'!$E$11+1,1))-AVERAGE(OFFSET($H$3,0,0,'Données projet'!$E$11+1,1))</f>
        <v>374.62597460242665</v>
      </c>
      <c r="BJ173" s="60">
        <f t="shared" si="146"/>
        <v>277.50105097454616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1.0286385077051818E-13</v>
      </c>
      <c r="CA173" s="14">
        <f t="shared" si="170"/>
        <v>1.5402366592183556E-12</v>
      </c>
      <c r="CB173" s="22">
        <f t="shared" si="171"/>
        <v>2.8617333882306215E-12</v>
      </c>
      <c r="CC173" s="60">
        <f t="shared" si="119"/>
        <v>286.220724195424</v>
      </c>
      <c r="CD173" s="60">
        <f ca="1">AVERAGE(OFFSET($CC$3,0,0,'Données projet'!$E$12+1,1))-AVERAGE(OFFSET($H$3,0,0,'Données projet'!$E$12+1,1))</f>
        <v>434.56763649859136</v>
      </c>
      <c r="CE173" s="60">
        <f t="shared" si="148"/>
        <v>271.90302066766264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9.5769792096689348E-14</v>
      </c>
      <c r="CV173" s="14">
        <f t="shared" si="173"/>
        <v>1.4459910566979609E-12</v>
      </c>
      <c r="CW173" s="22">
        <f t="shared" si="174"/>
        <v>2.6852334783173491E-12</v>
      </c>
      <c r="CX173" s="60">
        <f t="shared" si="122"/>
        <v>286.22072419542383</v>
      </c>
      <c r="CY173" s="60">
        <f ca="1">AVERAGE(OFFSET($CX$3,0,0,'Données projet'!$E$13+1,1))-AVERAGE(OFFSET($H$3,0,0,'Données projet'!$E$13+1,1))</f>
        <v>411.64829629901465</v>
      </c>
      <c r="CZ173" s="60">
        <f t="shared" si="150"/>
        <v>258.66864562757917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1.1527845344971866E-13</v>
      </c>
      <c r="DQ173" s="14">
        <f t="shared" si="176"/>
        <v>1.7033846239409443E-12</v>
      </c>
      <c r="DR173" s="22">
        <f t="shared" si="177"/>
        <v>3.1675048597887374E-12</v>
      </c>
      <c r="DS173" s="60">
        <f t="shared" si="125"/>
        <v>286.22072419542434</v>
      </c>
      <c r="DT173" s="60">
        <f ca="1">AVERAGE(OFFSET($DS$3,0,0,'Données projet'!$E$14+1,1))-AVERAGE(OFFSET($H$3,0,0,'Données projet'!$E$14+1,1))</f>
        <v>474.59791006623266</v>
      </c>
      <c r="DU173" s="60">
        <f t="shared" si="152"/>
        <v>295.01432800690293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-4.9658410716801891E-14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334.73467807584336</v>
      </c>
      <c r="EP173" s="60">
        <f t="shared" si="154"/>
        <v>463.8772059551726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0.52946636484175924</v>
      </c>
      <c r="EW173" s="23">
        <f>EXP(-LN(2)/25)*EW172+(1-EXP(-LN(2)/25))/(LN(2)/25)*Calculateur!ER173*Calculateur!ET173*VLOOKUP('Données projet'!$B$15,Paramètres!$A$1:$I$89,3,0)*0.475*44/12</f>
        <v>0.39302140018225534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0.92248776502401464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135.66666666666666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0">
        <f t="shared" si="109"/>
        <v>286.34411206255407</v>
      </c>
      <c r="S174" s="60">
        <f ca="1">AVERAGE(OFFSET($R$3,0,0,'Données projet'!$E$9+1,1))-AVERAGE(OFFSET($H$3,0,0,'Données projet'!$E$9+1,1))</f>
        <v>199.65420589615553</v>
      </c>
      <c r="T174" s="60">
        <f t="shared" si="142"/>
        <v>477.85821088970999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0">
        <f t="shared" si="113"/>
        <v>286.34411206255407</v>
      </c>
      <c r="AN174" s="60">
        <f ca="1">AVERAGE(OFFSET($AM$3,0,0,'Données projet'!$E$10+1,1))-AVERAGE(OFFSET($H$3,0,0,'Données projet'!$E$10+1,1))</f>
        <v>199.65420589615553</v>
      </c>
      <c r="AO174" s="60">
        <f t="shared" si="144"/>
        <v>477.85821088970999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1.5961632016114892E-13</v>
      </c>
      <c r="BF174" s="14">
        <f t="shared" si="167"/>
        <v>2.2708641912150958E-12</v>
      </c>
      <c r="BG174" s="22">
        <f t="shared" si="168"/>
        <v>4.2330868906469593E-12</v>
      </c>
      <c r="BH174" s="60">
        <f t="shared" si="116"/>
        <v>286.34411206255629</v>
      </c>
      <c r="BI174" s="60">
        <f ca="1">AVERAGE(OFFSET($BH$3,0,0,'Données projet'!$E$11+1,1))-AVERAGE(OFFSET($H$3,0,0,'Données projet'!$E$11+1,1))</f>
        <v>374.62597460242665</v>
      </c>
      <c r="BJ174" s="60">
        <f t="shared" si="146"/>
        <v>277.50105097454616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1.0286385077051818E-13</v>
      </c>
      <c r="CA174" s="14">
        <f t="shared" si="170"/>
        <v>1.5402366592183556E-12</v>
      </c>
      <c r="CB174" s="22">
        <f t="shared" si="171"/>
        <v>2.8617333882306215E-12</v>
      </c>
      <c r="CC174" s="60">
        <f t="shared" si="119"/>
        <v>286.34411206255493</v>
      </c>
      <c r="CD174" s="60">
        <f ca="1">AVERAGE(OFFSET($CC$3,0,0,'Données projet'!$E$12+1,1))-AVERAGE(OFFSET($H$3,0,0,'Données projet'!$E$12+1,1))</f>
        <v>434.56763649859136</v>
      </c>
      <c r="CE174" s="60">
        <f t="shared" si="148"/>
        <v>271.90302066766264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9.5769792096689348E-14</v>
      </c>
      <c r="CV174" s="14">
        <f t="shared" si="173"/>
        <v>1.4459910566979609E-12</v>
      </c>
      <c r="CW174" s="22">
        <f t="shared" si="174"/>
        <v>2.6852334783173491E-12</v>
      </c>
      <c r="CX174" s="60">
        <f t="shared" si="122"/>
        <v>286.34411206255476</v>
      </c>
      <c r="CY174" s="60">
        <f ca="1">AVERAGE(OFFSET($CX$3,0,0,'Données projet'!$E$13+1,1))-AVERAGE(OFFSET($H$3,0,0,'Données projet'!$E$13+1,1))</f>
        <v>411.64829629901465</v>
      </c>
      <c r="CZ174" s="60">
        <f t="shared" si="150"/>
        <v>258.66864562757917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1.1527845344971866E-13</v>
      </c>
      <c r="DQ174" s="14">
        <f t="shared" si="176"/>
        <v>1.7033846239409443E-12</v>
      </c>
      <c r="DR174" s="22">
        <f t="shared" si="177"/>
        <v>3.1675048597887374E-12</v>
      </c>
      <c r="DS174" s="60">
        <f t="shared" si="125"/>
        <v>286.34411206255527</v>
      </c>
      <c r="DT174" s="60">
        <f ca="1">AVERAGE(OFFSET($DS$3,0,0,'Données projet'!$E$14+1,1))-AVERAGE(OFFSET($H$3,0,0,'Données projet'!$E$14+1,1))</f>
        <v>474.59791006623266</v>
      </c>
      <c r="DU174" s="60">
        <f t="shared" si="152"/>
        <v>295.01432800690293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-4.9658410716801891E-14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334.73467807584336</v>
      </c>
      <c r="EP174" s="60">
        <f t="shared" si="154"/>
        <v>463.8772059551726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0.51908385236980692</v>
      </c>
      <c r="EW174" s="23">
        <f>EXP(-LN(2)/25)*EW173+(1-EXP(-LN(2)/25))/(LN(2)/25)*Calculateur!ER174*Calculateur!ET174*VLOOKUP('Données projet'!$B$15,Paramètres!$A$1:$I$89,3,0)*0.475*44/12</f>
        <v>0.3822742093261744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0.90135806169598132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135.66666666666666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0">
        <f t="shared" si="109"/>
        <v>286.4653594260443</v>
      </c>
      <c r="S175" s="60">
        <f ca="1">AVERAGE(OFFSET($R$3,0,0,'Données projet'!$E$9+1,1))-AVERAGE(OFFSET($H$3,0,0,'Données projet'!$E$9+1,1))</f>
        <v>199.65420589615553</v>
      </c>
      <c r="T175" s="60">
        <f t="shared" si="142"/>
        <v>477.85821088970999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0">
        <f t="shared" si="113"/>
        <v>286.4653594260443</v>
      </c>
      <c r="AN175" s="60">
        <f ca="1">AVERAGE(OFFSET($AM$3,0,0,'Données projet'!$E$10+1,1))-AVERAGE(OFFSET($H$3,0,0,'Données projet'!$E$10+1,1))</f>
        <v>199.65420589615553</v>
      </c>
      <c r="AO175" s="60">
        <f t="shared" si="144"/>
        <v>477.85821088970999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1.5961632016114892E-13</v>
      </c>
      <c r="BF175" s="14">
        <f t="shared" si="167"/>
        <v>2.2708641912150958E-12</v>
      </c>
      <c r="BG175" s="22">
        <f t="shared" si="168"/>
        <v>4.2330868906469593E-12</v>
      </c>
      <c r="BH175" s="60">
        <f t="shared" si="116"/>
        <v>286.46535942604652</v>
      </c>
      <c r="BI175" s="60">
        <f ca="1">AVERAGE(OFFSET($BH$3,0,0,'Données projet'!$E$11+1,1))-AVERAGE(OFFSET($H$3,0,0,'Données projet'!$E$11+1,1))</f>
        <v>374.62597460242665</v>
      </c>
      <c r="BJ175" s="60">
        <f t="shared" si="146"/>
        <v>277.50105097454616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1.0286385077051818E-13</v>
      </c>
      <c r="CA175" s="14">
        <f t="shared" si="170"/>
        <v>1.5402366592183556E-12</v>
      </c>
      <c r="CB175" s="22">
        <f t="shared" si="171"/>
        <v>2.8617333882306215E-12</v>
      </c>
      <c r="CC175" s="60">
        <f t="shared" si="119"/>
        <v>286.46535942604515</v>
      </c>
      <c r="CD175" s="60">
        <f ca="1">AVERAGE(OFFSET($CC$3,0,0,'Données projet'!$E$12+1,1))-AVERAGE(OFFSET($H$3,0,0,'Données projet'!$E$12+1,1))</f>
        <v>434.56763649859136</v>
      </c>
      <c r="CE175" s="60">
        <f t="shared" si="148"/>
        <v>271.90302066766264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9.5769792096689348E-14</v>
      </c>
      <c r="CV175" s="14">
        <f t="shared" si="173"/>
        <v>1.4459910566979609E-12</v>
      </c>
      <c r="CW175" s="22">
        <f t="shared" si="174"/>
        <v>2.6852334783173491E-12</v>
      </c>
      <c r="CX175" s="60">
        <f t="shared" si="122"/>
        <v>286.46535942604498</v>
      </c>
      <c r="CY175" s="60">
        <f ca="1">AVERAGE(OFFSET($CX$3,0,0,'Données projet'!$E$13+1,1))-AVERAGE(OFFSET($H$3,0,0,'Données projet'!$E$13+1,1))</f>
        <v>411.64829629901465</v>
      </c>
      <c r="CZ175" s="60">
        <f t="shared" si="150"/>
        <v>258.66864562757917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1.1527845344971866E-13</v>
      </c>
      <c r="DQ175" s="14">
        <f t="shared" si="176"/>
        <v>1.7033846239409443E-12</v>
      </c>
      <c r="DR175" s="22">
        <f t="shared" si="177"/>
        <v>3.1675048597887374E-12</v>
      </c>
      <c r="DS175" s="60">
        <f t="shared" si="125"/>
        <v>286.4653594260455</v>
      </c>
      <c r="DT175" s="60">
        <f ca="1">AVERAGE(OFFSET($DS$3,0,0,'Données projet'!$E$14+1,1))-AVERAGE(OFFSET($H$3,0,0,'Données projet'!$E$14+1,1))</f>
        <v>474.59791006623266</v>
      </c>
      <c r="DU175" s="60">
        <f t="shared" si="152"/>
        <v>295.01432800690293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-4.9658410716801891E-14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334.73467807584336</v>
      </c>
      <c r="EP175" s="60">
        <f t="shared" si="154"/>
        <v>463.8772059551726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0.50890493463472231</v>
      </c>
      <c r="EW175" s="23">
        <f>EXP(-LN(2)/25)*EW174+(1-EXP(-LN(2)/25))/(LN(2)/25)*Calculateur!ER175*Calculateur!ET175*VLOOKUP('Données projet'!$B$15,Paramètres!$A$1:$I$89,3,0)*0.475*44/12</f>
        <v>0.37182090096922321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0.88072583560394557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135.66666666666666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0">
        <f t="shared" si="109"/>
        <v>286.58450341884634</v>
      </c>
      <c r="S176" s="60">
        <f ca="1">AVERAGE(OFFSET($R$3,0,0,'Données projet'!$E$9+1,1))-AVERAGE(OFFSET($H$3,0,0,'Données projet'!$E$9+1,1))</f>
        <v>199.65420589615553</v>
      </c>
      <c r="T176" s="60">
        <f t="shared" si="142"/>
        <v>477.85821088970999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0">
        <f t="shared" si="113"/>
        <v>286.58450341884634</v>
      </c>
      <c r="AN176" s="60">
        <f ca="1">AVERAGE(OFFSET($AM$3,0,0,'Données projet'!$E$10+1,1))-AVERAGE(OFFSET($H$3,0,0,'Données projet'!$E$10+1,1))</f>
        <v>199.65420589615553</v>
      </c>
      <c r="AO176" s="60">
        <f t="shared" si="144"/>
        <v>477.85821088970999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1.5961632016114892E-13</v>
      </c>
      <c r="BF176" s="14">
        <f t="shared" si="167"/>
        <v>2.2708641912150958E-12</v>
      </c>
      <c r="BG176" s="22">
        <f t="shared" si="168"/>
        <v>4.2330868906469593E-12</v>
      </c>
      <c r="BH176" s="60">
        <f t="shared" si="116"/>
        <v>286.58450341884856</v>
      </c>
      <c r="BI176" s="60">
        <f ca="1">AVERAGE(OFFSET($BH$3,0,0,'Données projet'!$E$11+1,1))-AVERAGE(OFFSET($H$3,0,0,'Données projet'!$E$11+1,1))</f>
        <v>374.62597460242665</v>
      </c>
      <c r="BJ176" s="60">
        <f t="shared" si="146"/>
        <v>277.50105097454616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1.0286385077051818E-13</v>
      </c>
      <c r="CA176" s="14">
        <f t="shared" si="170"/>
        <v>1.5402366592183556E-12</v>
      </c>
      <c r="CB176" s="22">
        <f t="shared" si="171"/>
        <v>2.8617333882306215E-12</v>
      </c>
      <c r="CC176" s="60">
        <f t="shared" si="119"/>
        <v>286.58450341884719</v>
      </c>
      <c r="CD176" s="60">
        <f ca="1">AVERAGE(OFFSET($CC$3,0,0,'Données projet'!$E$12+1,1))-AVERAGE(OFFSET($H$3,0,0,'Données projet'!$E$12+1,1))</f>
        <v>434.56763649859136</v>
      </c>
      <c r="CE176" s="60">
        <f t="shared" si="148"/>
        <v>271.90302066766264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9.5769792096689348E-14</v>
      </c>
      <c r="CV176" s="14">
        <f t="shared" si="173"/>
        <v>1.4459910566979609E-12</v>
      </c>
      <c r="CW176" s="22">
        <f t="shared" si="174"/>
        <v>2.6852334783173491E-12</v>
      </c>
      <c r="CX176" s="60">
        <f t="shared" si="122"/>
        <v>286.58450341884702</v>
      </c>
      <c r="CY176" s="60">
        <f ca="1">AVERAGE(OFFSET($CX$3,0,0,'Données projet'!$E$13+1,1))-AVERAGE(OFFSET($H$3,0,0,'Données projet'!$E$13+1,1))</f>
        <v>411.64829629901465</v>
      </c>
      <c r="CZ176" s="60">
        <f t="shared" si="150"/>
        <v>258.66864562757917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1.1527845344971866E-13</v>
      </c>
      <c r="DQ176" s="14">
        <f t="shared" si="176"/>
        <v>1.7033846239409443E-12</v>
      </c>
      <c r="DR176" s="22">
        <f t="shared" si="177"/>
        <v>3.1675048597887374E-12</v>
      </c>
      <c r="DS176" s="60">
        <f t="shared" si="125"/>
        <v>286.58450341884753</v>
      </c>
      <c r="DT176" s="60">
        <f ca="1">AVERAGE(OFFSET($DS$3,0,0,'Données projet'!$E$14+1,1))-AVERAGE(OFFSET($H$3,0,0,'Données projet'!$E$14+1,1))</f>
        <v>474.59791006623266</v>
      </c>
      <c r="DU176" s="60">
        <f t="shared" si="152"/>
        <v>295.01432800690293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-4.9658410716801891E-14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334.73467807584336</v>
      </c>
      <c r="EP176" s="60">
        <f t="shared" si="154"/>
        <v>463.8772059551726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0.49892561926789591</v>
      </c>
      <c r="EW176" s="23">
        <f>EXP(-LN(2)/25)*EW175+(1-EXP(-LN(2)/25))/(LN(2)/25)*Calculateur!ER176*Calculateur!ET176*VLOOKUP('Données projet'!$B$15,Paramètres!$A$1:$I$89,3,0)*0.475*44/12</f>
        <v>0.36165343887900842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0.86057905814690439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135.66666666666666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0">
        <f t="shared" si="109"/>
        <v>286.70158052973943</v>
      </c>
      <c r="S177" s="60">
        <f ca="1">AVERAGE(OFFSET($R$3,0,0,'Données projet'!$E$9+1,1))-AVERAGE(OFFSET($H$3,0,0,'Données projet'!$E$9+1,1))</f>
        <v>199.65420589615553</v>
      </c>
      <c r="T177" s="60">
        <f t="shared" si="142"/>
        <v>477.85821088970999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0">
        <f t="shared" si="113"/>
        <v>286.70158052973943</v>
      </c>
      <c r="AN177" s="60">
        <f ca="1">AVERAGE(OFFSET($AM$3,0,0,'Données projet'!$E$10+1,1))-AVERAGE(OFFSET($H$3,0,0,'Données projet'!$E$10+1,1))</f>
        <v>199.65420589615553</v>
      </c>
      <c r="AO177" s="60">
        <f t="shared" si="144"/>
        <v>477.85821088970999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1.5961632016114892E-13</v>
      </c>
      <c r="BF177" s="14">
        <f t="shared" si="167"/>
        <v>2.2708641912150958E-12</v>
      </c>
      <c r="BG177" s="22">
        <f t="shared" si="168"/>
        <v>4.2330868906469593E-12</v>
      </c>
      <c r="BH177" s="60">
        <f t="shared" si="116"/>
        <v>286.70158052974165</v>
      </c>
      <c r="BI177" s="60">
        <f ca="1">AVERAGE(OFFSET($BH$3,0,0,'Données projet'!$E$11+1,1))-AVERAGE(OFFSET($H$3,0,0,'Données projet'!$E$11+1,1))</f>
        <v>374.62597460242665</v>
      </c>
      <c r="BJ177" s="60">
        <f t="shared" si="146"/>
        <v>277.50105097454616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1.0286385077051818E-13</v>
      </c>
      <c r="CA177" s="14">
        <f t="shared" si="170"/>
        <v>1.5402366592183556E-12</v>
      </c>
      <c r="CB177" s="22">
        <f t="shared" si="171"/>
        <v>2.8617333882306215E-12</v>
      </c>
      <c r="CC177" s="60">
        <f t="shared" si="119"/>
        <v>286.70158052974028</v>
      </c>
      <c r="CD177" s="60">
        <f ca="1">AVERAGE(OFFSET($CC$3,0,0,'Données projet'!$E$12+1,1))-AVERAGE(OFFSET($H$3,0,0,'Données projet'!$E$12+1,1))</f>
        <v>434.56763649859136</v>
      </c>
      <c r="CE177" s="60">
        <f t="shared" si="148"/>
        <v>271.90302066766264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9.5769792096689348E-14</v>
      </c>
      <c r="CV177" s="14">
        <f t="shared" si="173"/>
        <v>1.4459910566979609E-12</v>
      </c>
      <c r="CW177" s="22">
        <f t="shared" si="174"/>
        <v>2.6852334783173491E-12</v>
      </c>
      <c r="CX177" s="60">
        <f t="shared" si="122"/>
        <v>286.70158052974011</v>
      </c>
      <c r="CY177" s="60">
        <f ca="1">AVERAGE(OFFSET($CX$3,0,0,'Données projet'!$E$13+1,1))-AVERAGE(OFFSET($H$3,0,0,'Données projet'!$E$13+1,1))</f>
        <v>411.64829629901465</v>
      </c>
      <c r="CZ177" s="60">
        <f t="shared" si="150"/>
        <v>258.66864562757917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1.1527845344971866E-13</v>
      </c>
      <c r="DQ177" s="14">
        <f t="shared" si="176"/>
        <v>1.7033846239409443E-12</v>
      </c>
      <c r="DR177" s="22">
        <f t="shared" si="177"/>
        <v>3.1675048597887374E-12</v>
      </c>
      <c r="DS177" s="60">
        <f t="shared" si="125"/>
        <v>286.70158052974062</v>
      </c>
      <c r="DT177" s="60">
        <f ca="1">AVERAGE(OFFSET($DS$3,0,0,'Données projet'!$E$14+1,1))-AVERAGE(OFFSET($H$3,0,0,'Données projet'!$E$14+1,1))</f>
        <v>474.59791006623266</v>
      </c>
      <c r="DU177" s="60">
        <f t="shared" si="152"/>
        <v>295.01432800690293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-4.9658410716801891E-14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334.73467807584336</v>
      </c>
      <c r="EP177" s="60">
        <f t="shared" si="154"/>
        <v>463.8772059551726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0.48914199218863164</v>
      </c>
      <c r="EW177" s="23">
        <f>EXP(-LN(2)/25)*EW176+(1-EXP(-LN(2)/25))/(LN(2)/25)*Calculateur!ER177*Calculateur!ET177*VLOOKUP('Données projet'!$B$15,Paramètres!$A$1:$I$89,3,0)*0.475*44/12</f>
        <v>0.35176400657433415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0.84090599876296579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135.66666666666666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0">
        <f t="shared" si="109"/>
        <v>286.81662661450366</v>
      </c>
      <c r="S178" s="60">
        <f ca="1">AVERAGE(OFFSET($R$3,0,0,'Données projet'!$E$9+1,1))-AVERAGE(OFFSET($H$3,0,0,'Données projet'!$E$9+1,1))</f>
        <v>199.65420589615553</v>
      </c>
      <c r="T178" s="60">
        <f t="shared" si="142"/>
        <v>477.85821088970999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0">
        <f t="shared" si="113"/>
        <v>286.81662661450366</v>
      </c>
      <c r="AN178" s="60">
        <f ca="1">AVERAGE(OFFSET($AM$3,0,0,'Données projet'!$E$10+1,1))-AVERAGE(OFFSET($H$3,0,0,'Données projet'!$E$10+1,1))</f>
        <v>199.65420589615553</v>
      </c>
      <c r="AO178" s="60">
        <f t="shared" si="144"/>
        <v>477.85821088970999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1.5961632016114892E-13</v>
      </c>
      <c r="BF178" s="14">
        <f t="shared" si="167"/>
        <v>2.2708641912150958E-12</v>
      </c>
      <c r="BG178" s="22">
        <f t="shared" si="168"/>
        <v>4.2330868906469593E-12</v>
      </c>
      <c r="BH178" s="60">
        <f t="shared" si="116"/>
        <v>286.81662661450588</v>
      </c>
      <c r="BI178" s="60">
        <f ca="1">AVERAGE(OFFSET($BH$3,0,0,'Données projet'!$E$11+1,1))-AVERAGE(OFFSET($H$3,0,0,'Données projet'!$E$11+1,1))</f>
        <v>374.62597460242665</v>
      </c>
      <c r="BJ178" s="60">
        <f t="shared" si="146"/>
        <v>277.50105097454616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1.0286385077051818E-13</v>
      </c>
      <c r="CA178" s="14">
        <f t="shared" si="170"/>
        <v>1.5402366592183556E-12</v>
      </c>
      <c r="CB178" s="22">
        <f t="shared" si="171"/>
        <v>2.8617333882306215E-12</v>
      </c>
      <c r="CC178" s="60">
        <f t="shared" si="119"/>
        <v>286.81662661450451</v>
      </c>
      <c r="CD178" s="60">
        <f ca="1">AVERAGE(OFFSET($CC$3,0,0,'Données projet'!$E$12+1,1))-AVERAGE(OFFSET($H$3,0,0,'Données projet'!$E$12+1,1))</f>
        <v>434.56763649859136</v>
      </c>
      <c r="CE178" s="60">
        <f t="shared" si="148"/>
        <v>271.90302066766264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9.5769792096689348E-14</v>
      </c>
      <c r="CV178" s="14">
        <f t="shared" si="173"/>
        <v>1.4459910566979609E-12</v>
      </c>
      <c r="CW178" s="22">
        <f t="shared" si="174"/>
        <v>2.6852334783173491E-12</v>
      </c>
      <c r="CX178" s="60">
        <f t="shared" si="122"/>
        <v>286.81662661450434</v>
      </c>
      <c r="CY178" s="60">
        <f ca="1">AVERAGE(OFFSET($CX$3,0,0,'Données projet'!$E$13+1,1))-AVERAGE(OFFSET($H$3,0,0,'Données projet'!$E$13+1,1))</f>
        <v>411.64829629901465</v>
      </c>
      <c r="CZ178" s="60">
        <f t="shared" si="150"/>
        <v>258.66864562757917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1.1527845344971866E-13</v>
      </c>
      <c r="DQ178" s="14">
        <f t="shared" si="176"/>
        <v>1.7033846239409443E-12</v>
      </c>
      <c r="DR178" s="22">
        <f t="shared" si="177"/>
        <v>3.1675048597887374E-12</v>
      </c>
      <c r="DS178" s="60">
        <f t="shared" si="125"/>
        <v>286.81662661450486</v>
      </c>
      <c r="DT178" s="60">
        <f ca="1">AVERAGE(OFFSET($DS$3,0,0,'Données projet'!$E$14+1,1))-AVERAGE(OFFSET($H$3,0,0,'Données projet'!$E$14+1,1))</f>
        <v>474.59791006623266</v>
      </c>
      <c r="DU178" s="60">
        <f t="shared" si="152"/>
        <v>295.01432800690293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-4.9658410716801891E-14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334.73467807584336</v>
      </c>
      <c r="EP178" s="60">
        <f t="shared" si="154"/>
        <v>463.8772059551726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0.47955021606896847</v>
      </c>
      <c r="EW178" s="23">
        <f>EXP(-LN(2)/25)*EW177+(1-EXP(-LN(2)/25))/(LN(2)/25)*Calculateur!ER178*Calculateur!ET178*VLOOKUP('Données projet'!$B$15,Paramètres!$A$1:$I$89,3,0)*0.475*44/12</f>
        <v>0.34214500131609382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0.82169521738506224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135.66666666666666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0">
        <f t="shared" si="109"/>
        <v>286.92967690690182</v>
      </c>
      <c r="S179" s="60">
        <f ca="1">AVERAGE(OFFSET($R$3,0,0,'Données projet'!$E$9+1,1))-AVERAGE(OFFSET($H$3,0,0,'Données projet'!$E$9+1,1))</f>
        <v>199.65420589615553</v>
      </c>
      <c r="T179" s="60">
        <f t="shared" si="142"/>
        <v>477.85821088970999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0">
        <f t="shared" si="113"/>
        <v>286.92967690690182</v>
      </c>
      <c r="AN179" s="60">
        <f ca="1">AVERAGE(OFFSET($AM$3,0,0,'Données projet'!$E$10+1,1))-AVERAGE(OFFSET($H$3,0,0,'Données projet'!$E$10+1,1))</f>
        <v>199.65420589615553</v>
      </c>
      <c r="AO179" s="60">
        <f t="shared" si="144"/>
        <v>477.85821088970999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1.5961632016114892E-13</v>
      </c>
      <c r="BF179" s="14">
        <f t="shared" si="167"/>
        <v>2.2708641912150958E-12</v>
      </c>
      <c r="BG179" s="22">
        <f t="shared" si="168"/>
        <v>4.2330868906469593E-12</v>
      </c>
      <c r="BH179" s="60">
        <f t="shared" si="116"/>
        <v>286.92967690690404</v>
      </c>
      <c r="BI179" s="60">
        <f ca="1">AVERAGE(OFFSET($BH$3,0,0,'Données projet'!$E$11+1,1))-AVERAGE(OFFSET($H$3,0,0,'Données projet'!$E$11+1,1))</f>
        <v>374.62597460242665</v>
      </c>
      <c r="BJ179" s="60">
        <f t="shared" si="146"/>
        <v>277.50105097454616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1.0286385077051818E-13</v>
      </c>
      <c r="CA179" s="14">
        <f t="shared" si="170"/>
        <v>1.5402366592183556E-12</v>
      </c>
      <c r="CB179" s="22">
        <f t="shared" si="171"/>
        <v>2.8617333882306215E-12</v>
      </c>
      <c r="CC179" s="60">
        <f t="shared" si="119"/>
        <v>286.92967690690267</v>
      </c>
      <c r="CD179" s="60">
        <f ca="1">AVERAGE(OFFSET($CC$3,0,0,'Données projet'!$E$12+1,1))-AVERAGE(OFFSET($H$3,0,0,'Données projet'!$E$12+1,1))</f>
        <v>434.56763649859136</v>
      </c>
      <c r="CE179" s="60">
        <f t="shared" si="148"/>
        <v>271.90302066766264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9.5769792096689348E-14</v>
      </c>
      <c r="CV179" s="14">
        <f t="shared" si="173"/>
        <v>1.4459910566979609E-12</v>
      </c>
      <c r="CW179" s="22">
        <f t="shared" si="174"/>
        <v>2.6852334783173491E-12</v>
      </c>
      <c r="CX179" s="60">
        <f t="shared" si="122"/>
        <v>286.9296769069025</v>
      </c>
      <c r="CY179" s="60">
        <f ca="1">AVERAGE(OFFSET($CX$3,0,0,'Données projet'!$E$13+1,1))-AVERAGE(OFFSET($H$3,0,0,'Données projet'!$E$13+1,1))</f>
        <v>411.64829629901465</v>
      </c>
      <c r="CZ179" s="60">
        <f t="shared" si="150"/>
        <v>258.66864562757917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1.1527845344971866E-13</v>
      </c>
      <c r="DQ179" s="14">
        <f t="shared" si="176"/>
        <v>1.7033846239409443E-12</v>
      </c>
      <c r="DR179" s="22">
        <f t="shared" si="177"/>
        <v>3.1675048597887374E-12</v>
      </c>
      <c r="DS179" s="60">
        <f t="shared" si="125"/>
        <v>286.92967690690301</v>
      </c>
      <c r="DT179" s="60">
        <f ca="1">AVERAGE(OFFSET($DS$3,0,0,'Données projet'!$E$14+1,1))-AVERAGE(OFFSET($H$3,0,0,'Données projet'!$E$14+1,1))</f>
        <v>474.59791006623266</v>
      </c>
      <c r="DU179" s="60">
        <f t="shared" si="152"/>
        <v>295.01432800690293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-4.9658410716801891E-14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334.73467807584336</v>
      </c>
      <c r="EP179" s="60">
        <f t="shared" si="154"/>
        <v>463.8772059551726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0.47014652882860614</v>
      </c>
      <c r="EW179" s="23">
        <f>EXP(-LN(2)/25)*EW178+(1-EXP(-LN(2)/25))/(LN(2)/25)*Calculateur!ER179*Calculateur!ET179*VLOOKUP('Données projet'!$B$15,Paramètres!$A$1:$I$89,3,0)*0.475*44/12</f>
        <v>0.33278902826248158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0.80293555709108766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135.66666666666666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0">
        <f t="shared" si="109"/>
        <v>287.04076602946941</v>
      </c>
      <c r="S180" s="60">
        <f ca="1">AVERAGE(OFFSET($R$3,0,0,'Données projet'!$E$9+1,1))-AVERAGE(OFFSET($H$3,0,0,'Données projet'!$E$9+1,1))</f>
        <v>199.65420589615553</v>
      </c>
      <c r="T180" s="60">
        <f t="shared" si="142"/>
        <v>477.85821088970999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0">
        <f t="shared" si="113"/>
        <v>287.04076602946941</v>
      </c>
      <c r="AN180" s="60">
        <f ca="1">AVERAGE(OFFSET($AM$3,0,0,'Données projet'!$E$10+1,1))-AVERAGE(OFFSET($H$3,0,0,'Données projet'!$E$10+1,1))</f>
        <v>199.65420589615553</v>
      </c>
      <c r="AO180" s="60">
        <f t="shared" si="144"/>
        <v>477.85821088970999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1.5961632016114892E-13</v>
      </c>
      <c r="BF180" s="14">
        <f t="shared" si="167"/>
        <v>2.2708641912150958E-12</v>
      </c>
      <c r="BG180" s="22">
        <f t="shared" si="168"/>
        <v>4.2330868906469593E-12</v>
      </c>
      <c r="BH180" s="60">
        <f t="shared" si="116"/>
        <v>287.04076602947163</v>
      </c>
      <c r="BI180" s="60">
        <f ca="1">AVERAGE(OFFSET($BH$3,0,0,'Données projet'!$E$11+1,1))-AVERAGE(OFFSET($H$3,0,0,'Données projet'!$E$11+1,1))</f>
        <v>374.62597460242665</v>
      </c>
      <c r="BJ180" s="60">
        <f t="shared" si="146"/>
        <v>277.50105097454616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1.0286385077051818E-13</v>
      </c>
      <c r="CA180" s="14">
        <f t="shared" si="170"/>
        <v>1.5402366592183556E-12</v>
      </c>
      <c r="CB180" s="22">
        <f t="shared" si="171"/>
        <v>2.8617333882306215E-12</v>
      </c>
      <c r="CC180" s="60">
        <f t="shared" si="119"/>
        <v>287.04076602947026</v>
      </c>
      <c r="CD180" s="60">
        <f ca="1">AVERAGE(OFFSET($CC$3,0,0,'Données projet'!$E$12+1,1))-AVERAGE(OFFSET($H$3,0,0,'Données projet'!$E$12+1,1))</f>
        <v>434.56763649859136</v>
      </c>
      <c r="CE180" s="60">
        <f t="shared" si="148"/>
        <v>271.90302066766264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9.5769792096689348E-14</v>
      </c>
      <c r="CV180" s="14">
        <f t="shared" si="173"/>
        <v>1.4459910566979609E-12</v>
      </c>
      <c r="CW180" s="22">
        <f t="shared" si="174"/>
        <v>2.6852334783173491E-12</v>
      </c>
      <c r="CX180" s="60">
        <f t="shared" si="122"/>
        <v>287.04076602947009</v>
      </c>
      <c r="CY180" s="60">
        <f ca="1">AVERAGE(OFFSET($CX$3,0,0,'Données projet'!$E$13+1,1))-AVERAGE(OFFSET($H$3,0,0,'Données projet'!$E$13+1,1))</f>
        <v>411.64829629901465</v>
      </c>
      <c r="CZ180" s="60">
        <f t="shared" si="150"/>
        <v>258.66864562757917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1.1527845344971866E-13</v>
      </c>
      <c r="DQ180" s="14">
        <f t="shared" si="176"/>
        <v>1.7033846239409443E-12</v>
      </c>
      <c r="DR180" s="22">
        <f t="shared" si="177"/>
        <v>3.1675048597887374E-12</v>
      </c>
      <c r="DS180" s="60">
        <f t="shared" si="125"/>
        <v>287.0407660294706</v>
      </c>
      <c r="DT180" s="60">
        <f ca="1">AVERAGE(OFFSET($DS$3,0,0,'Données projet'!$E$14+1,1))-AVERAGE(OFFSET($H$3,0,0,'Données projet'!$E$14+1,1))</f>
        <v>474.59791006623266</v>
      </c>
      <c r="DU180" s="60">
        <f t="shared" si="152"/>
        <v>295.01432800690293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-4.9658410716801891E-14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334.73467807584336</v>
      </c>
      <c r="EP180" s="60">
        <f t="shared" si="154"/>
        <v>463.8772059551726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0.46092724215934444</v>
      </c>
      <c r="EW180" s="23">
        <f>EXP(-LN(2)/25)*EW179+(1-EXP(-LN(2)/25))/(LN(2)/25)*Calculateur!ER180*Calculateur!ET180*VLOOKUP('Données projet'!$B$15,Paramètres!$A$1:$I$89,3,0)*0.475*44/12</f>
        <v>0.32368889478402962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0.78461613694337407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135.66666666666666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0">
        <f t="shared" si="109"/>
        <v>287.14992800411858</v>
      </c>
      <c r="S181" s="60">
        <f ca="1">AVERAGE(OFFSET($R$3,0,0,'Données projet'!$E$9+1,1))-AVERAGE(OFFSET($H$3,0,0,'Données projet'!$E$9+1,1))</f>
        <v>199.65420589615553</v>
      </c>
      <c r="T181" s="60">
        <f t="shared" si="142"/>
        <v>477.85821088970999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0">
        <f t="shared" si="113"/>
        <v>287.14992800411858</v>
      </c>
      <c r="AN181" s="60">
        <f ca="1">AVERAGE(OFFSET($AM$3,0,0,'Données projet'!$E$10+1,1))-AVERAGE(OFFSET($H$3,0,0,'Données projet'!$E$10+1,1))</f>
        <v>199.65420589615553</v>
      </c>
      <c r="AO181" s="60">
        <f t="shared" si="144"/>
        <v>477.85821088970999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1.5961632016114892E-13</v>
      </c>
      <c r="BF181" s="14">
        <f t="shared" si="167"/>
        <v>2.2708641912150958E-12</v>
      </c>
      <c r="BG181" s="22">
        <f t="shared" si="168"/>
        <v>4.2330868906469593E-12</v>
      </c>
      <c r="BH181" s="60">
        <f t="shared" si="116"/>
        <v>287.1499280041208</v>
      </c>
      <c r="BI181" s="60">
        <f ca="1">AVERAGE(OFFSET($BH$3,0,0,'Données projet'!$E$11+1,1))-AVERAGE(OFFSET($H$3,0,0,'Données projet'!$E$11+1,1))</f>
        <v>374.62597460242665</v>
      </c>
      <c r="BJ181" s="60">
        <f t="shared" si="146"/>
        <v>277.50105097454616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1.0286385077051818E-13</v>
      </c>
      <c r="CA181" s="14">
        <f t="shared" si="170"/>
        <v>1.5402366592183556E-12</v>
      </c>
      <c r="CB181" s="22">
        <f t="shared" si="171"/>
        <v>2.8617333882306215E-12</v>
      </c>
      <c r="CC181" s="60">
        <f t="shared" si="119"/>
        <v>287.14992800411943</v>
      </c>
      <c r="CD181" s="60">
        <f ca="1">AVERAGE(OFFSET($CC$3,0,0,'Données projet'!$E$12+1,1))-AVERAGE(OFFSET($H$3,0,0,'Données projet'!$E$12+1,1))</f>
        <v>434.56763649859136</v>
      </c>
      <c r="CE181" s="60">
        <f t="shared" si="148"/>
        <v>271.90302066766264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9.5769792096689348E-14</v>
      </c>
      <c r="CV181" s="14">
        <f t="shared" si="173"/>
        <v>1.4459910566979609E-12</v>
      </c>
      <c r="CW181" s="22">
        <f t="shared" si="174"/>
        <v>2.6852334783173491E-12</v>
      </c>
      <c r="CX181" s="60">
        <f t="shared" si="122"/>
        <v>287.14992800411926</v>
      </c>
      <c r="CY181" s="60">
        <f ca="1">AVERAGE(OFFSET($CX$3,0,0,'Données projet'!$E$13+1,1))-AVERAGE(OFFSET($H$3,0,0,'Données projet'!$E$13+1,1))</f>
        <v>411.64829629901465</v>
      </c>
      <c r="CZ181" s="60">
        <f t="shared" si="150"/>
        <v>258.66864562757917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1.1527845344971866E-13</v>
      </c>
      <c r="DQ181" s="14">
        <f t="shared" si="176"/>
        <v>1.7033846239409443E-12</v>
      </c>
      <c r="DR181" s="22">
        <f t="shared" si="177"/>
        <v>3.1675048597887374E-12</v>
      </c>
      <c r="DS181" s="60">
        <f t="shared" si="125"/>
        <v>287.14992800411977</v>
      </c>
      <c r="DT181" s="60">
        <f ca="1">AVERAGE(OFFSET($DS$3,0,0,'Données projet'!$E$14+1,1))-AVERAGE(OFFSET($H$3,0,0,'Données projet'!$E$14+1,1))</f>
        <v>474.59791006623266</v>
      </c>
      <c r="DU181" s="60">
        <f t="shared" si="152"/>
        <v>295.01432800690293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-4.9658410716801891E-14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334.73467807584336</v>
      </c>
      <c r="EP181" s="60">
        <f t="shared" si="154"/>
        <v>463.8772059551726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0.45188874007845736</v>
      </c>
      <c r="EW181" s="23">
        <f>EXP(-LN(2)/25)*EW180+(1-EXP(-LN(2)/25))/(LN(2)/25)*Calculateur!ER181*Calculateur!ET181*VLOOKUP('Données projet'!$B$15,Paramètres!$A$1:$I$89,3,0)*0.475*44/12</f>
        <v>0.31483760493410118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0.76672634501255854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135.66666666666666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0">
        <f t="shared" si="109"/>
        <v>287.2571962625571</v>
      </c>
      <c r="S182" s="60">
        <f ca="1">AVERAGE(OFFSET($R$3,0,0,'Données projet'!$E$9+1,1))-AVERAGE(OFFSET($H$3,0,0,'Données projet'!$E$9+1,1))</f>
        <v>199.65420589615553</v>
      </c>
      <c r="T182" s="60">
        <f t="shared" si="142"/>
        <v>477.85821088970999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0">
        <f t="shared" si="113"/>
        <v>287.2571962625571</v>
      </c>
      <c r="AN182" s="60">
        <f ca="1">AVERAGE(OFFSET($AM$3,0,0,'Données projet'!$E$10+1,1))-AVERAGE(OFFSET($H$3,0,0,'Données projet'!$E$10+1,1))</f>
        <v>199.65420589615553</v>
      </c>
      <c r="AO182" s="60">
        <f t="shared" si="144"/>
        <v>477.85821088970999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1.5961632016114892E-13</v>
      </c>
      <c r="BF182" s="14">
        <f t="shared" si="167"/>
        <v>2.2708641912150958E-12</v>
      </c>
      <c r="BG182" s="22">
        <f t="shared" si="168"/>
        <v>4.2330868906469593E-12</v>
      </c>
      <c r="BH182" s="60">
        <f t="shared" si="116"/>
        <v>287.25719626255932</v>
      </c>
      <c r="BI182" s="60">
        <f ca="1">AVERAGE(OFFSET($BH$3,0,0,'Données projet'!$E$11+1,1))-AVERAGE(OFFSET($H$3,0,0,'Données projet'!$E$11+1,1))</f>
        <v>374.62597460242665</v>
      </c>
      <c r="BJ182" s="60">
        <f t="shared" si="146"/>
        <v>277.50105097454616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1.0286385077051818E-13</v>
      </c>
      <c r="CA182" s="14">
        <f t="shared" si="170"/>
        <v>1.5402366592183556E-12</v>
      </c>
      <c r="CB182" s="22">
        <f t="shared" si="171"/>
        <v>2.8617333882306215E-12</v>
      </c>
      <c r="CC182" s="60">
        <f t="shared" si="119"/>
        <v>287.25719626255795</v>
      </c>
      <c r="CD182" s="60">
        <f ca="1">AVERAGE(OFFSET($CC$3,0,0,'Données projet'!$E$12+1,1))-AVERAGE(OFFSET($H$3,0,0,'Données projet'!$E$12+1,1))</f>
        <v>434.56763649859136</v>
      </c>
      <c r="CE182" s="60">
        <f t="shared" si="148"/>
        <v>271.90302066766264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9.5769792096689348E-14</v>
      </c>
      <c r="CV182" s="14">
        <f t="shared" si="173"/>
        <v>1.4459910566979609E-12</v>
      </c>
      <c r="CW182" s="22">
        <f t="shared" si="174"/>
        <v>2.6852334783173491E-12</v>
      </c>
      <c r="CX182" s="60">
        <f t="shared" si="122"/>
        <v>287.25719626255778</v>
      </c>
      <c r="CY182" s="60">
        <f ca="1">AVERAGE(OFFSET($CX$3,0,0,'Données projet'!$E$13+1,1))-AVERAGE(OFFSET($H$3,0,0,'Données projet'!$E$13+1,1))</f>
        <v>411.64829629901465</v>
      </c>
      <c r="CZ182" s="60">
        <f t="shared" si="150"/>
        <v>258.66864562757917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1.1527845344971866E-13</v>
      </c>
      <c r="DQ182" s="14">
        <f t="shared" si="176"/>
        <v>1.7033846239409443E-12</v>
      </c>
      <c r="DR182" s="22">
        <f t="shared" si="177"/>
        <v>3.1675048597887374E-12</v>
      </c>
      <c r="DS182" s="60">
        <f t="shared" si="125"/>
        <v>287.2571962625583</v>
      </c>
      <c r="DT182" s="60">
        <f ca="1">AVERAGE(OFFSET($DS$3,0,0,'Données projet'!$E$14+1,1))-AVERAGE(OFFSET($H$3,0,0,'Données projet'!$E$14+1,1))</f>
        <v>474.59791006623266</v>
      </c>
      <c r="DU182" s="60">
        <f t="shared" si="152"/>
        <v>295.01432800690293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-4.9658410716801891E-14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334.73467807584336</v>
      </c>
      <c r="EP182" s="60">
        <f t="shared" si="154"/>
        <v>463.8772059551726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0.44302747751043459</v>
      </c>
      <c r="EW182" s="23">
        <f>EXP(-LN(2)/25)*EW181+(1-EXP(-LN(2)/25))/(LN(2)/25)*Calculateur!ER182*Calculateur!ET182*VLOOKUP('Données projet'!$B$15,Paramètres!$A$1:$I$89,3,0)*0.475*44/12</f>
        <v>0.30622835407058813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0.74925583158102271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135.66666666666666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0">
        <f t="shared" si="109"/>
        <v>287.36260365652771</v>
      </c>
      <c r="S183" s="60">
        <f ca="1">AVERAGE(OFFSET($R$3,0,0,'Données projet'!$E$9+1,1))-AVERAGE(OFFSET($H$3,0,0,'Données projet'!$E$9+1,1))</f>
        <v>199.65420589615553</v>
      </c>
      <c r="T183" s="60">
        <f t="shared" si="142"/>
        <v>477.85821088970999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0">
        <f t="shared" si="113"/>
        <v>287.36260365652771</v>
      </c>
      <c r="AN183" s="60">
        <f ca="1">AVERAGE(OFFSET($AM$3,0,0,'Données projet'!$E$10+1,1))-AVERAGE(OFFSET($H$3,0,0,'Données projet'!$E$10+1,1))</f>
        <v>199.65420589615553</v>
      </c>
      <c r="AO183" s="60">
        <f t="shared" si="144"/>
        <v>477.85821088970999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1.5961632016114892E-13</v>
      </c>
      <c r="BF183" s="14">
        <f t="shared" si="167"/>
        <v>2.2708641912150958E-12</v>
      </c>
      <c r="BG183" s="22">
        <f t="shared" si="168"/>
        <v>4.2330868906469593E-12</v>
      </c>
      <c r="BH183" s="60">
        <f t="shared" si="116"/>
        <v>287.36260365652993</v>
      </c>
      <c r="BI183" s="60">
        <f ca="1">AVERAGE(OFFSET($BH$3,0,0,'Données projet'!$E$11+1,1))-AVERAGE(OFFSET($H$3,0,0,'Données projet'!$E$11+1,1))</f>
        <v>374.62597460242665</v>
      </c>
      <c r="BJ183" s="60">
        <f t="shared" si="146"/>
        <v>277.50105097454616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1.0286385077051818E-13</v>
      </c>
      <c r="CA183" s="14">
        <f t="shared" si="170"/>
        <v>1.5402366592183556E-12</v>
      </c>
      <c r="CB183" s="22">
        <f t="shared" si="171"/>
        <v>2.8617333882306215E-12</v>
      </c>
      <c r="CC183" s="60">
        <f t="shared" si="119"/>
        <v>287.36260365652856</v>
      </c>
      <c r="CD183" s="60">
        <f ca="1">AVERAGE(OFFSET($CC$3,0,0,'Données projet'!$E$12+1,1))-AVERAGE(OFFSET($H$3,0,0,'Données projet'!$E$12+1,1))</f>
        <v>434.56763649859136</v>
      </c>
      <c r="CE183" s="60">
        <f t="shared" si="148"/>
        <v>271.90302066766264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9.5769792096689348E-14</v>
      </c>
      <c r="CV183" s="14">
        <f t="shared" si="173"/>
        <v>1.4459910566979609E-12</v>
      </c>
      <c r="CW183" s="22">
        <f t="shared" si="174"/>
        <v>2.6852334783173491E-12</v>
      </c>
      <c r="CX183" s="60">
        <f t="shared" si="122"/>
        <v>287.36260365652839</v>
      </c>
      <c r="CY183" s="60">
        <f ca="1">AVERAGE(OFFSET($CX$3,0,0,'Données projet'!$E$13+1,1))-AVERAGE(OFFSET($H$3,0,0,'Données projet'!$E$13+1,1))</f>
        <v>411.64829629901465</v>
      </c>
      <c r="CZ183" s="60">
        <f t="shared" si="150"/>
        <v>258.66864562757917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1.1527845344971866E-13</v>
      </c>
      <c r="DQ183" s="14">
        <f t="shared" si="176"/>
        <v>1.7033846239409443E-12</v>
      </c>
      <c r="DR183" s="22">
        <f t="shared" si="177"/>
        <v>3.1675048597887374E-12</v>
      </c>
      <c r="DS183" s="60">
        <f t="shared" si="125"/>
        <v>287.3626036565289</v>
      </c>
      <c r="DT183" s="60">
        <f ca="1">AVERAGE(OFFSET($DS$3,0,0,'Données projet'!$E$14+1,1))-AVERAGE(OFFSET($H$3,0,0,'Données projet'!$E$14+1,1))</f>
        <v>474.59791006623266</v>
      </c>
      <c r="DU183" s="60">
        <f t="shared" si="152"/>
        <v>295.01432800690293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-4.9658410716801891E-14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334.73467807584336</v>
      </c>
      <c r="EP183" s="60">
        <f t="shared" si="154"/>
        <v>463.8772059551726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0.43433997889653425</v>
      </c>
      <c r="EW183" s="23">
        <f>EXP(-LN(2)/25)*EW182+(1-EXP(-LN(2)/25))/(LN(2)/25)*Calculateur!ER183*Calculateur!ET183*VLOOKUP('Données projet'!$B$15,Paramètres!$A$1:$I$89,3,0)*0.475*44/12</f>
        <v>0.29785452362467862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0.73219450252121288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135.66666666666666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0">
        <f t="shared" si="109"/>
        <v>287.46618246786852</v>
      </c>
      <c r="S184" s="60">
        <f ca="1">AVERAGE(OFFSET($R$3,0,0,'Données projet'!$E$9+1,1))-AVERAGE(OFFSET($H$3,0,0,'Données projet'!$E$9+1,1))</f>
        <v>199.65420589615553</v>
      </c>
      <c r="T184" s="60">
        <f t="shared" si="142"/>
        <v>477.85821088970999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0">
        <f t="shared" si="113"/>
        <v>287.46618246786852</v>
      </c>
      <c r="AN184" s="60">
        <f ca="1">AVERAGE(OFFSET($AM$3,0,0,'Données projet'!$E$10+1,1))-AVERAGE(OFFSET($H$3,0,0,'Données projet'!$E$10+1,1))</f>
        <v>199.65420589615553</v>
      </c>
      <c r="AO184" s="60">
        <f t="shared" si="144"/>
        <v>477.85821088970999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1.5961632016114892E-13</v>
      </c>
      <c r="BF184" s="14">
        <f t="shared" si="167"/>
        <v>2.2708641912150958E-12</v>
      </c>
      <c r="BG184" s="22">
        <f t="shared" si="168"/>
        <v>4.2330868906469593E-12</v>
      </c>
      <c r="BH184" s="60">
        <f t="shared" si="116"/>
        <v>287.46618246787074</v>
      </c>
      <c r="BI184" s="60">
        <f ca="1">AVERAGE(OFFSET($BH$3,0,0,'Données projet'!$E$11+1,1))-AVERAGE(OFFSET($H$3,0,0,'Données projet'!$E$11+1,1))</f>
        <v>374.62597460242665</v>
      </c>
      <c r="BJ184" s="60">
        <f t="shared" si="146"/>
        <v>277.50105097454616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1.0286385077051818E-13</v>
      </c>
      <c r="CA184" s="14">
        <f t="shared" si="170"/>
        <v>1.5402366592183556E-12</v>
      </c>
      <c r="CB184" s="22">
        <f t="shared" si="171"/>
        <v>2.8617333882306215E-12</v>
      </c>
      <c r="CC184" s="60">
        <f t="shared" si="119"/>
        <v>287.46618246786937</v>
      </c>
      <c r="CD184" s="60">
        <f ca="1">AVERAGE(OFFSET($CC$3,0,0,'Données projet'!$E$12+1,1))-AVERAGE(OFFSET($H$3,0,0,'Données projet'!$E$12+1,1))</f>
        <v>434.56763649859136</v>
      </c>
      <c r="CE184" s="60">
        <f t="shared" si="148"/>
        <v>271.90302066766264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9.5769792096689348E-14</v>
      </c>
      <c r="CV184" s="14">
        <f t="shared" si="173"/>
        <v>1.4459910566979609E-12</v>
      </c>
      <c r="CW184" s="22">
        <f t="shared" si="174"/>
        <v>2.6852334783173491E-12</v>
      </c>
      <c r="CX184" s="60">
        <f t="shared" si="122"/>
        <v>287.4661824678692</v>
      </c>
      <c r="CY184" s="60">
        <f ca="1">AVERAGE(OFFSET($CX$3,0,0,'Données projet'!$E$13+1,1))-AVERAGE(OFFSET($H$3,0,0,'Données projet'!$E$13+1,1))</f>
        <v>411.64829629901465</v>
      </c>
      <c r="CZ184" s="60">
        <f t="shared" si="150"/>
        <v>258.66864562757917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1.1527845344971866E-13</v>
      </c>
      <c r="DQ184" s="14">
        <f t="shared" si="176"/>
        <v>1.7033846239409443E-12</v>
      </c>
      <c r="DR184" s="22">
        <f t="shared" si="177"/>
        <v>3.1675048597887374E-12</v>
      </c>
      <c r="DS184" s="60">
        <f t="shared" si="125"/>
        <v>287.46618246786971</v>
      </c>
      <c r="DT184" s="60">
        <f ca="1">AVERAGE(OFFSET($DS$3,0,0,'Données projet'!$E$14+1,1))-AVERAGE(OFFSET($H$3,0,0,'Données projet'!$E$14+1,1))</f>
        <v>474.59791006623266</v>
      </c>
      <c r="DU184" s="60">
        <f t="shared" si="152"/>
        <v>295.01432800690293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-4.9658410716801891E-14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334.73467807584336</v>
      </c>
      <c r="EP184" s="60">
        <f t="shared" si="154"/>
        <v>463.8772059551726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0.42582283683160155</v>
      </c>
      <c r="EW184" s="23">
        <f>EXP(-LN(2)/25)*EW183+(1-EXP(-LN(2)/25))/(LN(2)/25)*Calculateur!ER184*Calculateur!ET184*VLOOKUP('Données projet'!$B$15,Paramètres!$A$1:$I$89,3,0)*0.475*44/12</f>
        <v>0.28970967601267317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0.71553251284427466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135.66666666666666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0">
        <f t="shared" si="109"/>
        <v>287.56796441840009</v>
      </c>
      <c r="S185" s="60">
        <f ca="1">AVERAGE(OFFSET($R$3,0,0,'Données projet'!$E$9+1,1))-AVERAGE(OFFSET($H$3,0,0,'Données projet'!$E$9+1,1))</f>
        <v>199.65420589615553</v>
      </c>
      <c r="T185" s="60">
        <f t="shared" si="142"/>
        <v>477.85821088970999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0">
        <f t="shared" si="113"/>
        <v>287.56796441840009</v>
      </c>
      <c r="AN185" s="60">
        <f ca="1">AVERAGE(OFFSET($AM$3,0,0,'Données projet'!$E$10+1,1))-AVERAGE(OFFSET($H$3,0,0,'Données projet'!$E$10+1,1))</f>
        <v>199.65420589615553</v>
      </c>
      <c r="AO185" s="60">
        <f t="shared" si="144"/>
        <v>477.85821088970999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1.5961632016114892E-13</v>
      </c>
      <c r="BF185" s="14">
        <f t="shared" si="167"/>
        <v>2.2708641912150958E-12</v>
      </c>
      <c r="BG185" s="22">
        <f t="shared" si="168"/>
        <v>4.2330868906469593E-12</v>
      </c>
      <c r="BH185" s="60">
        <f t="shared" si="116"/>
        <v>287.56796441840231</v>
      </c>
      <c r="BI185" s="60">
        <f ca="1">AVERAGE(OFFSET($BH$3,0,0,'Données projet'!$E$11+1,1))-AVERAGE(OFFSET($H$3,0,0,'Données projet'!$E$11+1,1))</f>
        <v>374.62597460242665</v>
      </c>
      <c r="BJ185" s="60">
        <f t="shared" si="146"/>
        <v>277.50105097454616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1.0286385077051818E-13</v>
      </c>
      <c r="CA185" s="14">
        <f t="shared" si="170"/>
        <v>1.5402366592183556E-12</v>
      </c>
      <c r="CB185" s="22">
        <f t="shared" si="171"/>
        <v>2.8617333882306215E-12</v>
      </c>
      <c r="CC185" s="60">
        <f t="shared" si="119"/>
        <v>287.56796441840095</v>
      </c>
      <c r="CD185" s="60">
        <f ca="1">AVERAGE(OFFSET($CC$3,0,0,'Données projet'!$E$12+1,1))-AVERAGE(OFFSET($H$3,0,0,'Données projet'!$E$12+1,1))</f>
        <v>434.56763649859136</v>
      </c>
      <c r="CE185" s="60">
        <f t="shared" si="148"/>
        <v>271.90302066766264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9.5769792096689348E-14</v>
      </c>
      <c r="CV185" s="14">
        <f t="shared" si="173"/>
        <v>1.4459910566979609E-12</v>
      </c>
      <c r="CW185" s="22">
        <f t="shared" si="174"/>
        <v>2.6852334783173491E-12</v>
      </c>
      <c r="CX185" s="60">
        <f t="shared" si="122"/>
        <v>287.56796441840078</v>
      </c>
      <c r="CY185" s="60">
        <f ca="1">AVERAGE(OFFSET($CX$3,0,0,'Données projet'!$E$13+1,1))-AVERAGE(OFFSET($H$3,0,0,'Données projet'!$E$13+1,1))</f>
        <v>411.64829629901465</v>
      </c>
      <c r="CZ185" s="60">
        <f t="shared" si="150"/>
        <v>258.66864562757917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1.1527845344971866E-13</v>
      </c>
      <c r="DQ185" s="14">
        <f t="shared" si="176"/>
        <v>1.7033846239409443E-12</v>
      </c>
      <c r="DR185" s="22">
        <f t="shared" si="177"/>
        <v>3.1675048597887374E-12</v>
      </c>
      <c r="DS185" s="60">
        <f t="shared" si="125"/>
        <v>287.56796441840129</v>
      </c>
      <c r="DT185" s="60">
        <f ca="1">AVERAGE(OFFSET($DS$3,0,0,'Données projet'!$E$14+1,1))-AVERAGE(OFFSET($H$3,0,0,'Données projet'!$E$14+1,1))</f>
        <v>474.59791006623266</v>
      </c>
      <c r="DU185" s="60">
        <f t="shared" si="152"/>
        <v>295.01432800690293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-4.9658410716801891E-14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334.73467807584336</v>
      </c>
      <c r="EP185" s="60">
        <f t="shared" si="154"/>
        <v>463.8772059551726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0.41747271072761849</v>
      </c>
      <c r="EW185" s="23">
        <f>EXP(-LN(2)/25)*EW184+(1-EXP(-LN(2)/25))/(LN(2)/25)*Calculateur!ER185*Calculateur!ET185*VLOOKUP('Données projet'!$B$15,Paramètres!$A$1:$I$89,3,0)*0.475*44/12</f>
        <v>0.28178754968693692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0.69926026041455547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135.66666666666666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0">
        <f t="shared" si="109"/>
        <v>287.66798067964032</v>
      </c>
      <c r="S186" s="60">
        <f ca="1">AVERAGE(OFFSET($R$3,0,0,'Données projet'!$E$9+1,1))-AVERAGE(OFFSET($H$3,0,0,'Données projet'!$E$9+1,1))</f>
        <v>199.65420589615553</v>
      </c>
      <c r="T186" s="60">
        <f t="shared" si="142"/>
        <v>477.85821088970999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0">
        <f t="shared" si="113"/>
        <v>287.66798067964032</v>
      </c>
      <c r="AN186" s="60">
        <f ca="1">AVERAGE(OFFSET($AM$3,0,0,'Données projet'!$E$10+1,1))-AVERAGE(OFFSET($H$3,0,0,'Données projet'!$E$10+1,1))</f>
        <v>199.65420589615553</v>
      </c>
      <c r="AO186" s="60">
        <f t="shared" si="144"/>
        <v>477.85821088970999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1.5961632016114892E-13</v>
      </c>
      <c r="BF186" s="14">
        <f t="shared" si="167"/>
        <v>2.2708641912150958E-12</v>
      </c>
      <c r="BG186" s="22">
        <f t="shared" si="168"/>
        <v>4.2330868906469593E-12</v>
      </c>
      <c r="BH186" s="60">
        <f t="shared" si="116"/>
        <v>287.66798067964254</v>
      </c>
      <c r="BI186" s="60">
        <f ca="1">AVERAGE(OFFSET($BH$3,0,0,'Données projet'!$E$11+1,1))-AVERAGE(OFFSET($H$3,0,0,'Données projet'!$E$11+1,1))</f>
        <v>374.62597460242665</v>
      </c>
      <c r="BJ186" s="60">
        <f t="shared" si="146"/>
        <v>277.50105097454616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1.0286385077051818E-13</v>
      </c>
      <c r="CA186" s="14">
        <f t="shared" si="170"/>
        <v>1.5402366592183556E-12</v>
      </c>
      <c r="CB186" s="22">
        <f t="shared" si="171"/>
        <v>2.8617333882306215E-12</v>
      </c>
      <c r="CC186" s="60">
        <f t="shared" si="119"/>
        <v>287.66798067964118</v>
      </c>
      <c r="CD186" s="60">
        <f ca="1">AVERAGE(OFFSET($CC$3,0,0,'Données projet'!$E$12+1,1))-AVERAGE(OFFSET($H$3,0,0,'Données projet'!$E$12+1,1))</f>
        <v>434.56763649859136</v>
      </c>
      <c r="CE186" s="60">
        <f t="shared" si="148"/>
        <v>271.90302066766264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9.5769792096689348E-14</v>
      </c>
      <c r="CV186" s="14">
        <f t="shared" si="173"/>
        <v>1.4459910566979609E-12</v>
      </c>
      <c r="CW186" s="22">
        <f t="shared" si="174"/>
        <v>2.6852334783173491E-12</v>
      </c>
      <c r="CX186" s="60">
        <f t="shared" si="122"/>
        <v>287.667980679641</v>
      </c>
      <c r="CY186" s="60">
        <f ca="1">AVERAGE(OFFSET($CX$3,0,0,'Données projet'!$E$13+1,1))-AVERAGE(OFFSET($H$3,0,0,'Données projet'!$E$13+1,1))</f>
        <v>411.64829629901465</v>
      </c>
      <c r="CZ186" s="60">
        <f t="shared" si="150"/>
        <v>258.66864562757917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1.1527845344971866E-13</v>
      </c>
      <c r="DQ186" s="14">
        <f t="shared" si="176"/>
        <v>1.7033846239409443E-12</v>
      </c>
      <c r="DR186" s="22">
        <f t="shared" si="177"/>
        <v>3.1675048597887374E-12</v>
      </c>
      <c r="DS186" s="60">
        <f t="shared" si="125"/>
        <v>287.66798067964152</v>
      </c>
      <c r="DT186" s="60">
        <f ca="1">AVERAGE(OFFSET($DS$3,0,0,'Données projet'!$E$14+1,1))-AVERAGE(OFFSET($H$3,0,0,'Données projet'!$E$14+1,1))</f>
        <v>474.59791006623266</v>
      </c>
      <c r="DU186" s="60">
        <f t="shared" si="152"/>
        <v>295.01432800690293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-4.9658410716801891E-14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334.73467807584336</v>
      </c>
      <c r="EP186" s="60">
        <f t="shared" si="154"/>
        <v>463.8772059551726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0.4092863255034605</v>
      </c>
      <c r="EW186" s="23">
        <f>EXP(-LN(2)/25)*EW185+(1-EXP(-LN(2)/25))/(LN(2)/25)*Calculateur!ER186*Calculateur!ET186*VLOOKUP('Données projet'!$B$15,Paramètres!$A$1:$I$89,3,0)*0.475*44/12</f>
        <v>0.27408205432218441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0.68336837982564491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135.66666666666666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0">
        <f t="shared" si="109"/>
        <v>287.76626188235082</v>
      </c>
      <c r="S187" s="60">
        <f ca="1">AVERAGE(OFFSET($R$3,0,0,'Données projet'!$E$9+1,1))-AVERAGE(OFFSET($H$3,0,0,'Données projet'!$E$9+1,1))</f>
        <v>199.65420589615553</v>
      </c>
      <c r="T187" s="60">
        <f t="shared" si="142"/>
        <v>477.85821088970999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0">
        <f t="shared" si="113"/>
        <v>287.76626188235082</v>
      </c>
      <c r="AN187" s="60">
        <f ca="1">AVERAGE(OFFSET($AM$3,0,0,'Données projet'!$E$10+1,1))-AVERAGE(OFFSET($H$3,0,0,'Données projet'!$E$10+1,1))</f>
        <v>199.65420589615553</v>
      </c>
      <c r="AO187" s="60">
        <f t="shared" si="144"/>
        <v>477.85821088970999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1.5961632016114892E-13</v>
      </c>
      <c r="BF187" s="14">
        <f t="shared" si="167"/>
        <v>2.2708641912150958E-12</v>
      </c>
      <c r="BG187" s="22">
        <f t="shared" si="168"/>
        <v>4.2330868906469593E-12</v>
      </c>
      <c r="BH187" s="60">
        <f t="shared" si="116"/>
        <v>287.76626188235304</v>
      </c>
      <c r="BI187" s="60">
        <f ca="1">AVERAGE(OFFSET($BH$3,0,0,'Données projet'!$E$11+1,1))-AVERAGE(OFFSET($H$3,0,0,'Données projet'!$E$11+1,1))</f>
        <v>374.62597460242665</v>
      </c>
      <c r="BJ187" s="60">
        <f t="shared" si="146"/>
        <v>277.50105097454616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1.0286385077051818E-13</v>
      </c>
      <c r="CA187" s="14">
        <f t="shared" si="170"/>
        <v>1.5402366592183556E-12</v>
      </c>
      <c r="CB187" s="22">
        <f t="shared" si="171"/>
        <v>2.8617333882306215E-12</v>
      </c>
      <c r="CC187" s="60">
        <f t="shared" si="119"/>
        <v>287.76626188235167</v>
      </c>
      <c r="CD187" s="60">
        <f ca="1">AVERAGE(OFFSET($CC$3,0,0,'Données projet'!$E$12+1,1))-AVERAGE(OFFSET($H$3,0,0,'Données projet'!$E$12+1,1))</f>
        <v>434.56763649859136</v>
      </c>
      <c r="CE187" s="60">
        <f t="shared" si="148"/>
        <v>271.90302066766264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9.5769792096689348E-14</v>
      </c>
      <c r="CV187" s="14">
        <f t="shared" si="173"/>
        <v>1.4459910566979609E-12</v>
      </c>
      <c r="CW187" s="22">
        <f t="shared" si="174"/>
        <v>2.6852334783173491E-12</v>
      </c>
      <c r="CX187" s="60">
        <f t="shared" si="122"/>
        <v>287.7662618823515</v>
      </c>
      <c r="CY187" s="60">
        <f ca="1">AVERAGE(OFFSET($CX$3,0,0,'Données projet'!$E$13+1,1))-AVERAGE(OFFSET($H$3,0,0,'Données projet'!$E$13+1,1))</f>
        <v>411.64829629901465</v>
      </c>
      <c r="CZ187" s="60">
        <f t="shared" si="150"/>
        <v>258.66864562757917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1.1527845344971866E-13</v>
      </c>
      <c r="DQ187" s="14">
        <f t="shared" si="176"/>
        <v>1.7033846239409443E-12</v>
      </c>
      <c r="DR187" s="22">
        <f t="shared" si="177"/>
        <v>3.1675048597887374E-12</v>
      </c>
      <c r="DS187" s="60">
        <f t="shared" si="125"/>
        <v>287.76626188235201</v>
      </c>
      <c r="DT187" s="60">
        <f ca="1">AVERAGE(OFFSET($DS$3,0,0,'Données projet'!$E$14+1,1))-AVERAGE(OFFSET($H$3,0,0,'Données projet'!$E$14+1,1))</f>
        <v>474.59791006623266</v>
      </c>
      <c r="DU187" s="60">
        <f t="shared" si="152"/>
        <v>295.01432800690293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-4.9658410716801891E-14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334.73467807584336</v>
      </c>
      <c r="EP187" s="60">
        <f t="shared" si="154"/>
        <v>463.8772059551726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0.40126047030034628</v>
      </c>
      <c r="EW187" s="23">
        <f>EXP(-LN(2)/25)*EW186+(1-EXP(-LN(2)/25))/(LN(2)/25)*Calculateur!ER187*Calculateur!ET187*VLOOKUP('Données projet'!$B$15,Paramètres!$A$1:$I$89,3,0)*0.475*44/12</f>
        <v>0.26658726613339545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0.66784773643374173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135.66666666666666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0">
        <f t="shared" si="109"/>
        <v>287.86283812591824</v>
      </c>
      <c r="S188" s="60">
        <f ca="1">AVERAGE(OFFSET($R$3,0,0,'Données projet'!$E$9+1,1))-AVERAGE(OFFSET($H$3,0,0,'Données projet'!$E$9+1,1))</f>
        <v>199.65420589615553</v>
      </c>
      <c r="T188" s="60">
        <f t="shared" si="142"/>
        <v>477.85821088970999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0">
        <f t="shared" si="113"/>
        <v>287.86283812591824</v>
      </c>
      <c r="AN188" s="60">
        <f ca="1">AVERAGE(OFFSET($AM$3,0,0,'Données projet'!$E$10+1,1))-AVERAGE(OFFSET($H$3,0,0,'Données projet'!$E$10+1,1))</f>
        <v>199.65420589615553</v>
      </c>
      <c r="AO188" s="60">
        <f t="shared" si="144"/>
        <v>477.85821088970999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1.5961632016114892E-13</v>
      </c>
      <c r="BF188" s="14">
        <f t="shared" si="167"/>
        <v>2.2708641912150958E-12</v>
      </c>
      <c r="BG188" s="22">
        <f t="shared" si="168"/>
        <v>4.2330868906469593E-12</v>
      </c>
      <c r="BH188" s="60">
        <f t="shared" si="116"/>
        <v>287.86283812592046</v>
      </c>
      <c r="BI188" s="60">
        <f ca="1">AVERAGE(OFFSET($BH$3,0,0,'Données projet'!$E$11+1,1))-AVERAGE(OFFSET($H$3,0,0,'Données projet'!$E$11+1,1))</f>
        <v>374.62597460242665</v>
      </c>
      <c r="BJ188" s="60">
        <f t="shared" si="146"/>
        <v>277.50105097454616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1.0286385077051818E-13</v>
      </c>
      <c r="CA188" s="14">
        <f t="shared" si="170"/>
        <v>1.5402366592183556E-12</v>
      </c>
      <c r="CB188" s="22">
        <f t="shared" si="171"/>
        <v>2.8617333882306215E-12</v>
      </c>
      <c r="CC188" s="60">
        <f t="shared" si="119"/>
        <v>287.8628381259191</v>
      </c>
      <c r="CD188" s="60">
        <f ca="1">AVERAGE(OFFSET($CC$3,0,0,'Données projet'!$E$12+1,1))-AVERAGE(OFFSET($H$3,0,0,'Données projet'!$E$12+1,1))</f>
        <v>434.56763649859136</v>
      </c>
      <c r="CE188" s="60">
        <f t="shared" si="148"/>
        <v>271.90302066766264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9.5769792096689348E-14</v>
      </c>
      <c r="CV188" s="14">
        <f t="shared" si="173"/>
        <v>1.4459910566979609E-12</v>
      </c>
      <c r="CW188" s="22">
        <f t="shared" si="174"/>
        <v>2.6852334783173491E-12</v>
      </c>
      <c r="CX188" s="60">
        <f t="shared" si="122"/>
        <v>287.86283812591893</v>
      </c>
      <c r="CY188" s="60">
        <f ca="1">AVERAGE(OFFSET($CX$3,0,0,'Données projet'!$E$13+1,1))-AVERAGE(OFFSET($H$3,0,0,'Données projet'!$E$13+1,1))</f>
        <v>411.64829629901465</v>
      </c>
      <c r="CZ188" s="60">
        <f t="shared" si="150"/>
        <v>258.66864562757917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1.1527845344971866E-13</v>
      </c>
      <c r="DQ188" s="14">
        <f t="shared" si="176"/>
        <v>1.7033846239409443E-12</v>
      </c>
      <c r="DR188" s="22">
        <f t="shared" si="177"/>
        <v>3.1675048597887374E-12</v>
      </c>
      <c r="DS188" s="60">
        <f t="shared" si="125"/>
        <v>287.86283812591944</v>
      </c>
      <c r="DT188" s="60">
        <f ca="1">AVERAGE(OFFSET($DS$3,0,0,'Données projet'!$E$14+1,1))-AVERAGE(OFFSET($H$3,0,0,'Données projet'!$E$14+1,1))</f>
        <v>474.59791006623266</v>
      </c>
      <c r="DU188" s="60">
        <f t="shared" si="152"/>
        <v>295.01432800690293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-4.9658410716801891E-14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334.73467807584336</v>
      </c>
      <c r="EP188" s="60">
        <f t="shared" si="154"/>
        <v>463.8772059551726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0.39339199722247686</v>
      </c>
      <c r="EW188" s="23">
        <f>EXP(-LN(2)/25)*EW187+(1-EXP(-LN(2)/25))/(LN(2)/25)*Calculateur!ER188*Calculateur!ET188*VLOOKUP('Données projet'!$B$15,Paramètres!$A$1:$I$89,3,0)*0.475*44/12</f>
        <v>0.2592974233217627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0.65268942054423951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135.66666666666666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0">
        <f t="shared" si="109"/>
        <v>287.95773898757182</v>
      </c>
      <c r="S189" s="60">
        <f ca="1">AVERAGE(OFFSET($R$3,0,0,'Données projet'!$E$9+1,1))-AVERAGE(OFFSET($H$3,0,0,'Données projet'!$E$9+1,1))</f>
        <v>199.65420589615553</v>
      </c>
      <c r="T189" s="60">
        <f t="shared" si="142"/>
        <v>477.85821088970999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0">
        <f t="shared" si="113"/>
        <v>287.95773898757182</v>
      </c>
      <c r="AN189" s="60">
        <f ca="1">AVERAGE(OFFSET($AM$3,0,0,'Données projet'!$E$10+1,1))-AVERAGE(OFFSET($H$3,0,0,'Données projet'!$E$10+1,1))</f>
        <v>199.65420589615553</v>
      </c>
      <c r="AO189" s="60">
        <f t="shared" si="144"/>
        <v>477.85821088970999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1.5961632016114892E-13</v>
      </c>
      <c r="BF189" s="14">
        <f t="shared" si="167"/>
        <v>2.2708641912150958E-12</v>
      </c>
      <c r="BG189" s="22">
        <f t="shared" si="168"/>
        <v>4.2330868906469593E-12</v>
      </c>
      <c r="BH189" s="60">
        <f t="shared" si="116"/>
        <v>287.95773898757403</v>
      </c>
      <c r="BI189" s="60">
        <f ca="1">AVERAGE(OFFSET($BH$3,0,0,'Données projet'!$E$11+1,1))-AVERAGE(OFFSET($H$3,0,0,'Données projet'!$E$11+1,1))</f>
        <v>374.62597460242665</v>
      </c>
      <c r="BJ189" s="60">
        <f t="shared" si="146"/>
        <v>277.50105097454616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1.0286385077051818E-13</v>
      </c>
      <c r="CA189" s="14">
        <f t="shared" si="170"/>
        <v>1.5402366592183556E-12</v>
      </c>
      <c r="CB189" s="22">
        <f t="shared" si="171"/>
        <v>2.8617333882306215E-12</v>
      </c>
      <c r="CC189" s="60">
        <f t="shared" si="119"/>
        <v>287.95773898757267</v>
      </c>
      <c r="CD189" s="60">
        <f ca="1">AVERAGE(OFFSET($CC$3,0,0,'Données projet'!$E$12+1,1))-AVERAGE(OFFSET($H$3,0,0,'Données projet'!$E$12+1,1))</f>
        <v>434.56763649859136</v>
      </c>
      <c r="CE189" s="60">
        <f t="shared" si="148"/>
        <v>271.90302066766264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9.5769792096689348E-14</v>
      </c>
      <c r="CV189" s="14">
        <f t="shared" si="173"/>
        <v>1.4459910566979609E-12</v>
      </c>
      <c r="CW189" s="22">
        <f t="shared" si="174"/>
        <v>2.6852334783173491E-12</v>
      </c>
      <c r="CX189" s="60">
        <f t="shared" si="122"/>
        <v>287.9577389875725</v>
      </c>
      <c r="CY189" s="60">
        <f ca="1">AVERAGE(OFFSET($CX$3,0,0,'Données projet'!$E$13+1,1))-AVERAGE(OFFSET($H$3,0,0,'Données projet'!$E$13+1,1))</f>
        <v>411.64829629901465</v>
      </c>
      <c r="CZ189" s="60">
        <f t="shared" si="150"/>
        <v>258.66864562757917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1.1527845344971866E-13</v>
      </c>
      <c r="DQ189" s="14">
        <f t="shared" si="176"/>
        <v>1.7033846239409443E-12</v>
      </c>
      <c r="DR189" s="22">
        <f t="shared" si="177"/>
        <v>3.1675048597887374E-12</v>
      </c>
      <c r="DS189" s="60">
        <f t="shared" si="125"/>
        <v>287.95773898757301</v>
      </c>
      <c r="DT189" s="60">
        <f ca="1">AVERAGE(OFFSET($DS$3,0,0,'Données projet'!$E$14+1,1))-AVERAGE(OFFSET($H$3,0,0,'Données projet'!$E$14+1,1))</f>
        <v>474.59791006623266</v>
      </c>
      <c r="DU189" s="60">
        <f t="shared" si="152"/>
        <v>295.01432800690293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-4.9658410716801891E-14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334.73467807584336</v>
      </c>
      <c r="EP189" s="60">
        <f t="shared" si="154"/>
        <v>463.8772059551726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0.38567782010236973</v>
      </c>
      <c r="EW189" s="23">
        <f>EXP(-LN(2)/25)*EW188+(1-EXP(-LN(2)/25))/(LN(2)/25)*Calculateur!ER189*Calculateur!ET189*VLOOKUP('Données projet'!$B$15,Paramètres!$A$1:$I$89,3,0)*0.475*44/12</f>
        <v>0.25220692164517022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0.63788474174753995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135.66666666666666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0">
        <f t="shared" si="109"/>
        <v>288.05099353144237</v>
      </c>
      <c r="S190" s="60">
        <f ca="1">AVERAGE(OFFSET($R$3,0,0,'Données projet'!$E$9+1,1))-AVERAGE(OFFSET($H$3,0,0,'Données projet'!$E$9+1,1))</f>
        <v>199.65420589615553</v>
      </c>
      <c r="T190" s="60">
        <f t="shared" si="142"/>
        <v>477.85821088970999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0">
        <f t="shared" si="113"/>
        <v>288.05099353144237</v>
      </c>
      <c r="AN190" s="60">
        <f ca="1">AVERAGE(OFFSET($AM$3,0,0,'Données projet'!$E$10+1,1))-AVERAGE(OFFSET($H$3,0,0,'Données projet'!$E$10+1,1))</f>
        <v>199.65420589615553</v>
      </c>
      <c r="AO190" s="60">
        <f t="shared" si="144"/>
        <v>477.85821088970999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1.5961632016114892E-13</v>
      </c>
      <c r="BF190" s="14">
        <f t="shared" si="167"/>
        <v>2.2708641912150958E-12</v>
      </c>
      <c r="BG190" s="22">
        <f t="shared" si="168"/>
        <v>4.2330868906469593E-12</v>
      </c>
      <c r="BH190" s="60">
        <f t="shared" si="116"/>
        <v>288.05099353144459</v>
      </c>
      <c r="BI190" s="60">
        <f ca="1">AVERAGE(OFFSET($BH$3,0,0,'Données projet'!$E$11+1,1))-AVERAGE(OFFSET($H$3,0,0,'Données projet'!$E$11+1,1))</f>
        <v>374.62597460242665</v>
      </c>
      <c r="BJ190" s="60">
        <f t="shared" si="146"/>
        <v>277.50105097454616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1.0286385077051818E-13</v>
      </c>
      <c r="CA190" s="14">
        <f t="shared" si="170"/>
        <v>1.5402366592183556E-12</v>
      </c>
      <c r="CB190" s="22">
        <f t="shared" si="171"/>
        <v>2.8617333882306215E-12</v>
      </c>
      <c r="CC190" s="60">
        <f t="shared" si="119"/>
        <v>288.05099353144323</v>
      </c>
      <c r="CD190" s="60">
        <f ca="1">AVERAGE(OFFSET($CC$3,0,0,'Données projet'!$E$12+1,1))-AVERAGE(OFFSET($H$3,0,0,'Données projet'!$E$12+1,1))</f>
        <v>434.56763649859136</v>
      </c>
      <c r="CE190" s="60">
        <f t="shared" si="148"/>
        <v>271.90302066766264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9.5769792096689348E-14</v>
      </c>
      <c r="CV190" s="14">
        <f t="shared" si="173"/>
        <v>1.4459910566979609E-12</v>
      </c>
      <c r="CW190" s="22">
        <f t="shared" si="174"/>
        <v>2.6852334783173491E-12</v>
      </c>
      <c r="CX190" s="60">
        <f t="shared" si="122"/>
        <v>288.05099353144305</v>
      </c>
      <c r="CY190" s="60">
        <f ca="1">AVERAGE(OFFSET($CX$3,0,0,'Données projet'!$E$13+1,1))-AVERAGE(OFFSET($H$3,0,0,'Données projet'!$E$13+1,1))</f>
        <v>411.64829629901465</v>
      </c>
      <c r="CZ190" s="60">
        <f t="shared" si="150"/>
        <v>258.66864562757917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1.1527845344971866E-13</v>
      </c>
      <c r="DQ190" s="14">
        <f t="shared" si="176"/>
        <v>1.7033846239409443E-12</v>
      </c>
      <c r="DR190" s="22">
        <f t="shared" si="177"/>
        <v>3.1675048597887374E-12</v>
      </c>
      <c r="DS190" s="60">
        <f t="shared" si="125"/>
        <v>288.05099353144357</v>
      </c>
      <c r="DT190" s="60">
        <f ca="1">AVERAGE(OFFSET($DS$3,0,0,'Données projet'!$E$14+1,1))-AVERAGE(OFFSET($H$3,0,0,'Données projet'!$E$14+1,1))</f>
        <v>474.59791006623266</v>
      </c>
      <c r="DU190" s="60">
        <f t="shared" si="152"/>
        <v>295.01432800690293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-4.9658410716801891E-14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334.73467807584336</v>
      </c>
      <c r="EP190" s="60">
        <f t="shared" si="154"/>
        <v>463.8772059551726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0.37811491329040448</v>
      </c>
      <c r="EW190" s="23">
        <f>EXP(-LN(2)/25)*EW189+(1-EXP(-LN(2)/25))/(LN(2)/25)*Calculateur!ER190*Calculateur!ET190*VLOOKUP('Données projet'!$B$15,Paramètres!$A$1:$I$89,3,0)*0.475*44/12</f>
        <v>0.24531031010979745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0.6234252234002019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135.66666666666666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0">
        <f t="shared" si="109"/>
        <v>288.14263031746259</v>
      </c>
      <c r="S191" s="60">
        <f ca="1">AVERAGE(OFFSET($R$3,0,0,'Données projet'!$E$9+1,1))-AVERAGE(OFFSET($H$3,0,0,'Données projet'!$E$9+1,1))</f>
        <v>199.65420589615553</v>
      </c>
      <c r="T191" s="60">
        <f t="shared" si="142"/>
        <v>477.85821088970999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0">
        <f t="shared" si="113"/>
        <v>288.14263031746259</v>
      </c>
      <c r="AN191" s="60">
        <f ca="1">AVERAGE(OFFSET($AM$3,0,0,'Données projet'!$E$10+1,1))-AVERAGE(OFFSET($H$3,0,0,'Données projet'!$E$10+1,1))</f>
        <v>199.65420589615553</v>
      </c>
      <c r="AO191" s="60">
        <f t="shared" si="144"/>
        <v>477.85821088970999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1.5961632016114892E-13</v>
      </c>
      <c r="BF191" s="14">
        <f t="shared" si="167"/>
        <v>2.2708641912150958E-12</v>
      </c>
      <c r="BG191" s="22">
        <f t="shared" si="168"/>
        <v>4.2330868906469593E-12</v>
      </c>
      <c r="BH191" s="60">
        <f t="shared" si="116"/>
        <v>288.14263031746481</v>
      </c>
      <c r="BI191" s="60">
        <f ca="1">AVERAGE(OFFSET($BH$3,0,0,'Données projet'!$E$11+1,1))-AVERAGE(OFFSET($H$3,0,0,'Données projet'!$E$11+1,1))</f>
        <v>374.62597460242665</v>
      </c>
      <c r="BJ191" s="60">
        <f t="shared" si="146"/>
        <v>277.50105097454616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1.0286385077051818E-13</v>
      </c>
      <c r="CA191" s="14">
        <f t="shared" si="170"/>
        <v>1.5402366592183556E-12</v>
      </c>
      <c r="CB191" s="22">
        <f t="shared" si="171"/>
        <v>2.8617333882306215E-12</v>
      </c>
      <c r="CC191" s="60">
        <f t="shared" si="119"/>
        <v>288.14263031746344</v>
      </c>
      <c r="CD191" s="60">
        <f ca="1">AVERAGE(OFFSET($CC$3,0,0,'Données projet'!$E$12+1,1))-AVERAGE(OFFSET($H$3,0,0,'Données projet'!$E$12+1,1))</f>
        <v>434.56763649859136</v>
      </c>
      <c r="CE191" s="60">
        <f t="shared" si="148"/>
        <v>271.90302066766264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9.5769792096689348E-14</v>
      </c>
      <c r="CV191" s="14">
        <f t="shared" si="173"/>
        <v>1.4459910566979609E-12</v>
      </c>
      <c r="CW191" s="22">
        <f t="shared" si="174"/>
        <v>2.6852334783173491E-12</v>
      </c>
      <c r="CX191" s="60">
        <f t="shared" si="122"/>
        <v>288.14263031746327</v>
      </c>
      <c r="CY191" s="60">
        <f ca="1">AVERAGE(OFFSET($CX$3,0,0,'Données projet'!$E$13+1,1))-AVERAGE(OFFSET($H$3,0,0,'Données projet'!$E$13+1,1))</f>
        <v>411.64829629901465</v>
      </c>
      <c r="CZ191" s="60">
        <f t="shared" si="150"/>
        <v>258.66864562757917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1.1527845344971866E-13</v>
      </c>
      <c r="DQ191" s="14">
        <f t="shared" si="176"/>
        <v>1.7033846239409443E-12</v>
      </c>
      <c r="DR191" s="22">
        <f t="shared" si="177"/>
        <v>3.1675048597887374E-12</v>
      </c>
      <c r="DS191" s="60">
        <f t="shared" si="125"/>
        <v>288.14263031746378</v>
      </c>
      <c r="DT191" s="60">
        <f ca="1">AVERAGE(OFFSET($DS$3,0,0,'Données projet'!$E$14+1,1))-AVERAGE(OFFSET($H$3,0,0,'Données projet'!$E$14+1,1))</f>
        <v>474.59791006623266</v>
      </c>
      <c r="DU191" s="60">
        <f t="shared" si="152"/>
        <v>295.01432800690293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-4.9658410716801891E-14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334.73467807584336</v>
      </c>
      <c r="EP191" s="60">
        <f t="shared" si="154"/>
        <v>463.8772059551726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0.3707003104681042</v>
      </c>
      <c r="EW191" s="23">
        <f>EXP(-LN(2)/25)*EW190+(1-EXP(-LN(2)/25))/(LN(2)/25)*Calculateur!ER191*Calculateur!ET191*VLOOKUP('Données projet'!$B$15,Paramètres!$A$1:$I$89,3,0)*0.475*44/12</f>
        <v>0.23860228677953649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0.60930259724764069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135.66666666666666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0">
        <f t="shared" si="109"/>
        <v>288.23267741011455</v>
      </c>
      <c r="S192" s="60">
        <f ca="1">AVERAGE(OFFSET($R$3,0,0,'Données projet'!$E$9+1,1))-AVERAGE(OFFSET($H$3,0,0,'Données projet'!$E$9+1,1))</f>
        <v>199.65420589615553</v>
      </c>
      <c r="T192" s="60">
        <f t="shared" si="142"/>
        <v>477.85821088970999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0">
        <f t="shared" si="113"/>
        <v>288.23267741011455</v>
      </c>
      <c r="AN192" s="60">
        <f ca="1">AVERAGE(OFFSET($AM$3,0,0,'Données projet'!$E$10+1,1))-AVERAGE(OFFSET($H$3,0,0,'Données projet'!$E$10+1,1))</f>
        <v>199.65420589615553</v>
      </c>
      <c r="AO192" s="60">
        <f t="shared" si="144"/>
        <v>477.85821088970999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1.5961632016114892E-13</v>
      </c>
      <c r="BF192" s="14">
        <f t="shared" si="167"/>
        <v>2.2708641912150958E-12</v>
      </c>
      <c r="BG192" s="22">
        <f t="shared" si="168"/>
        <v>4.2330868906469593E-12</v>
      </c>
      <c r="BH192" s="60">
        <f t="shared" si="116"/>
        <v>288.23267741011676</v>
      </c>
      <c r="BI192" s="60">
        <f ca="1">AVERAGE(OFFSET($BH$3,0,0,'Données projet'!$E$11+1,1))-AVERAGE(OFFSET($H$3,0,0,'Données projet'!$E$11+1,1))</f>
        <v>374.62597460242665</v>
      </c>
      <c r="BJ192" s="60">
        <f t="shared" si="146"/>
        <v>277.50105097454616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1.0286385077051818E-13</v>
      </c>
      <c r="CA192" s="14">
        <f t="shared" si="170"/>
        <v>1.5402366592183556E-12</v>
      </c>
      <c r="CB192" s="22">
        <f t="shared" si="171"/>
        <v>2.8617333882306215E-12</v>
      </c>
      <c r="CC192" s="60">
        <f t="shared" si="119"/>
        <v>288.2326774101154</v>
      </c>
      <c r="CD192" s="60">
        <f ca="1">AVERAGE(OFFSET($CC$3,0,0,'Données projet'!$E$12+1,1))-AVERAGE(OFFSET($H$3,0,0,'Données projet'!$E$12+1,1))</f>
        <v>434.56763649859136</v>
      </c>
      <c r="CE192" s="60">
        <f t="shared" si="148"/>
        <v>271.90302066766264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9.5769792096689348E-14</v>
      </c>
      <c r="CV192" s="14">
        <f t="shared" si="173"/>
        <v>1.4459910566979609E-12</v>
      </c>
      <c r="CW192" s="22">
        <f t="shared" si="174"/>
        <v>2.6852334783173491E-12</v>
      </c>
      <c r="CX192" s="60">
        <f t="shared" si="122"/>
        <v>288.23267741011523</v>
      </c>
      <c r="CY192" s="60">
        <f ca="1">AVERAGE(OFFSET($CX$3,0,0,'Données projet'!$E$13+1,1))-AVERAGE(OFFSET($H$3,0,0,'Données projet'!$E$13+1,1))</f>
        <v>411.64829629901465</v>
      </c>
      <c r="CZ192" s="60">
        <f t="shared" si="150"/>
        <v>258.66864562757917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1.1527845344971866E-13</v>
      </c>
      <c r="DQ192" s="14">
        <f t="shared" si="176"/>
        <v>1.7033846239409443E-12</v>
      </c>
      <c r="DR192" s="22">
        <f t="shared" si="177"/>
        <v>3.1675048597887374E-12</v>
      </c>
      <c r="DS192" s="60">
        <f t="shared" si="125"/>
        <v>288.23267741011574</v>
      </c>
      <c r="DT192" s="60">
        <f ca="1">AVERAGE(OFFSET($DS$3,0,0,'Données projet'!$E$14+1,1))-AVERAGE(OFFSET($H$3,0,0,'Données projet'!$E$14+1,1))</f>
        <v>474.59791006623266</v>
      </c>
      <c r="DU192" s="60">
        <f t="shared" si="152"/>
        <v>295.01432800690293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-4.9658410716801891E-14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334.73467807584336</v>
      </c>
      <c r="EP192" s="60">
        <f t="shared" si="154"/>
        <v>463.8772059551726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0.36343110348468805</v>
      </c>
      <c r="EW192" s="23">
        <f>EXP(-LN(2)/25)*EW191+(1-EXP(-LN(2)/25))/(LN(2)/25)*Calculateur!ER192*Calculateur!ET192*VLOOKUP('Données projet'!$B$15,Paramètres!$A$1:$I$89,3,0)*0.475*44/12</f>
        <v>0.23207769470000114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0.59550879818468916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135.66666666666666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0">
        <f t="shared" si="109"/>
        <v>288.32116238702412</v>
      </c>
      <c r="S193" s="60">
        <f ca="1">AVERAGE(OFFSET($R$3,0,0,'Données projet'!$E$9+1,1))-AVERAGE(OFFSET($H$3,0,0,'Données projet'!$E$9+1,1))</f>
        <v>199.65420589615553</v>
      </c>
      <c r="T193" s="60">
        <f t="shared" si="142"/>
        <v>477.85821088970999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0">
        <f t="shared" si="113"/>
        <v>288.32116238702412</v>
      </c>
      <c r="AN193" s="60">
        <f ca="1">AVERAGE(OFFSET($AM$3,0,0,'Données projet'!$E$10+1,1))-AVERAGE(OFFSET($H$3,0,0,'Données projet'!$E$10+1,1))</f>
        <v>199.65420589615553</v>
      </c>
      <c r="AO193" s="60">
        <f t="shared" si="144"/>
        <v>477.85821088970999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1.5961632016114892E-13</v>
      </c>
      <c r="BF193" s="14">
        <f t="shared" si="167"/>
        <v>2.2708641912150958E-12</v>
      </c>
      <c r="BG193" s="22">
        <f t="shared" si="168"/>
        <v>4.2330868906469593E-12</v>
      </c>
      <c r="BH193" s="60">
        <f t="shared" si="116"/>
        <v>288.32116238702633</v>
      </c>
      <c r="BI193" s="60">
        <f ca="1">AVERAGE(OFFSET($BH$3,0,0,'Données projet'!$E$11+1,1))-AVERAGE(OFFSET($H$3,0,0,'Données projet'!$E$11+1,1))</f>
        <v>374.62597460242665</v>
      </c>
      <c r="BJ193" s="60">
        <f t="shared" si="146"/>
        <v>277.50105097454616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1.0286385077051818E-13</v>
      </c>
      <c r="CA193" s="14">
        <f t="shared" si="170"/>
        <v>1.5402366592183556E-12</v>
      </c>
      <c r="CB193" s="22">
        <f t="shared" si="171"/>
        <v>2.8617333882306215E-12</v>
      </c>
      <c r="CC193" s="60">
        <f t="shared" si="119"/>
        <v>288.32116238702497</v>
      </c>
      <c r="CD193" s="60">
        <f ca="1">AVERAGE(OFFSET($CC$3,0,0,'Données projet'!$E$12+1,1))-AVERAGE(OFFSET($H$3,0,0,'Données projet'!$E$12+1,1))</f>
        <v>434.56763649859136</v>
      </c>
      <c r="CE193" s="60">
        <f t="shared" si="148"/>
        <v>271.90302066766264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9.5769792096689348E-14</v>
      </c>
      <c r="CV193" s="14">
        <f t="shared" si="173"/>
        <v>1.4459910566979609E-12</v>
      </c>
      <c r="CW193" s="22">
        <f t="shared" si="174"/>
        <v>2.6852334783173491E-12</v>
      </c>
      <c r="CX193" s="60">
        <f t="shared" si="122"/>
        <v>288.3211623870248</v>
      </c>
      <c r="CY193" s="60">
        <f ca="1">AVERAGE(OFFSET($CX$3,0,0,'Données projet'!$E$13+1,1))-AVERAGE(OFFSET($H$3,0,0,'Données projet'!$E$13+1,1))</f>
        <v>411.64829629901465</v>
      </c>
      <c r="CZ193" s="60">
        <f t="shared" si="150"/>
        <v>258.66864562757917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1.1527845344971866E-13</v>
      </c>
      <c r="DQ193" s="14">
        <f t="shared" si="176"/>
        <v>1.7033846239409443E-12</v>
      </c>
      <c r="DR193" s="22">
        <f t="shared" si="177"/>
        <v>3.1675048597887374E-12</v>
      </c>
      <c r="DS193" s="60">
        <f t="shared" si="125"/>
        <v>288.32116238702531</v>
      </c>
      <c r="DT193" s="60">
        <f ca="1">AVERAGE(OFFSET($DS$3,0,0,'Données projet'!$E$14+1,1))-AVERAGE(OFFSET($H$3,0,0,'Données projet'!$E$14+1,1))</f>
        <v>474.59791006623266</v>
      </c>
      <c r="DU193" s="60">
        <f t="shared" si="152"/>
        <v>295.01432800690293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-4.9658410716801891E-14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334.73467807584336</v>
      </c>
      <c r="EP193" s="60">
        <f t="shared" si="154"/>
        <v>463.8772059551726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0.35630444121643823</v>
      </c>
      <c r="EW193" s="23">
        <f>EXP(-LN(2)/25)*EW192+(1-EXP(-LN(2)/25))/(LN(2)/25)*Calculateur!ER193*Calculateur!ET193*VLOOKUP('Données projet'!$B$15,Paramètres!$A$1:$I$89,3,0)*0.475*44/12</f>
        <v>0.22573151793399407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0.58203595915043227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135.66666666666666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0">
        <f t="shared" si="109"/>
        <v>288.4081123474071</v>
      </c>
      <c r="S194" s="60">
        <f ca="1">AVERAGE(OFFSET($R$3,0,0,'Données projet'!$E$9+1,1))-AVERAGE(OFFSET($H$3,0,0,'Données projet'!$E$9+1,1))</f>
        <v>199.65420589615553</v>
      </c>
      <c r="T194" s="60">
        <f t="shared" si="142"/>
        <v>477.85821088970999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0">
        <f t="shared" si="113"/>
        <v>288.4081123474071</v>
      </c>
      <c r="AN194" s="60">
        <f ca="1">AVERAGE(OFFSET($AM$3,0,0,'Données projet'!$E$10+1,1))-AVERAGE(OFFSET($H$3,0,0,'Données projet'!$E$10+1,1))</f>
        <v>199.65420589615553</v>
      </c>
      <c r="AO194" s="60">
        <f t="shared" si="144"/>
        <v>477.85821088970999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1.5961632016114892E-13</v>
      </c>
      <c r="BF194" s="14">
        <f t="shared" si="167"/>
        <v>2.2708641912150958E-12</v>
      </c>
      <c r="BG194" s="22">
        <f t="shared" si="168"/>
        <v>4.2330868906469593E-12</v>
      </c>
      <c r="BH194" s="60">
        <f t="shared" si="116"/>
        <v>288.40811234740931</v>
      </c>
      <c r="BI194" s="60">
        <f ca="1">AVERAGE(OFFSET($BH$3,0,0,'Données projet'!$E$11+1,1))-AVERAGE(OFFSET($H$3,0,0,'Données projet'!$E$11+1,1))</f>
        <v>374.62597460242665</v>
      </c>
      <c r="BJ194" s="60">
        <f t="shared" si="146"/>
        <v>277.50105097454616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1.0286385077051818E-13</v>
      </c>
      <c r="CA194" s="14">
        <f t="shared" si="170"/>
        <v>1.5402366592183556E-12</v>
      </c>
      <c r="CB194" s="22">
        <f t="shared" si="171"/>
        <v>2.8617333882306215E-12</v>
      </c>
      <c r="CC194" s="60">
        <f t="shared" si="119"/>
        <v>288.40811234740795</v>
      </c>
      <c r="CD194" s="60">
        <f ca="1">AVERAGE(OFFSET($CC$3,0,0,'Données projet'!$E$12+1,1))-AVERAGE(OFFSET($H$3,0,0,'Données projet'!$E$12+1,1))</f>
        <v>434.56763649859136</v>
      </c>
      <c r="CE194" s="60">
        <f t="shared" si="148"/>
        <v>271.90302066766264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9.5769792096689348E-14</v>
      </c>
      <c r="CV194" s="14">
        <f t="shared" si="173"/>
        <v>1.4459910566979609E-12</v>
      </c>
      <c r="CW194" s="22">
        <f t="shared" si="174"/>
        <v>2.6852334783173491E-12</v>
      </c>
      <c r="CX194" s="60">
        <f t="shared" si="122"/>
        <v>288.40811234740778</v>
      </c>
      <c r="CY194" s="60">
        <f ca="1">AVERAGE(OFFSET($CX$3,0,0,'Données projet'!$E$13+1,1))-AVERAGE(OFFSET($H$3,0,0,'Données projet'!$E$13+1,1))</f>
        <v>411.64829629901465</v>
      </c>
      <c r="CZ194" s="60">
        <f t="shared" si="150"/>
        <v>258.66864562757917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1.1527845344971866E-13</v>
      </c>
      <c r="DQ194" s="14">
        <f t="shared" si="176"/>
        <v>1.7033846239409443E-12</v>
      </c>
      <c r="DR194" s="22">
        <f t="shared" si="177"/>
        <v>3.1675048597887374E-12</v>
      </c>
      <c r="DS194" s="60">
        <f t="shared" si="125"/>
        <v>288.40811234740829</v>
      </c>
      <c r="DT194" s="60">
        <f ca="1">AVERAGE(OFFSET($DS$3,0,0,'Données projet'!$E$14+1,1))-AVERAGE(OFFSET($H$3,0,0,'Données projet'!$E$14+1,1))</f>
        <v>474.59791006623266</v>
      </c>
      <c r="DU194" s="60">
        <f t="shared" si="152"/>
        <v>295.01432800690293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-4.9658410716801891E-14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334.73467807584336</v>
      </c>
      <c r="EP194" s="60">
        <f t="shared" si="154"/>
        <v>463.8772059551726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0.34931752844843406</v>
      </c>
      <c r="EW194" s="23">
        <f>EXP(-LN(2)/25)*EW193+(1-EXP(-LN(2)/25))/(LN(2)/25)*Calculateur!ER194*Calculateur!ET194*VLOOKUP('Données projet'!$B$15,Paramètres!$A$1:$I$89,3,0)*0.475*44/12</f>
        <v>0.2195588777053844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0.56887640615381851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135.66666666666666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0">
        <f t="shared" ref="R195:R203" si="191">Q195+(I195+J195)*44/12</f>
        <v>288.49355392036841</v>
      </c>
      <c r="S195" s="60">
        <f ca="1">AVERAGE(OFFSET($R$3,0,0,'Données projet'!$E$9+1,1))-AVERAGE(OFFSET($H$3,0,0,'Données projet'!$E$9+1,1))</f>
        <v>199.65420589615553</v>
      </c>
      <c r="T195" s="60">
        <f t="shared" si="142"/>
        <v>477.85821088970999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0">
        <f t="shared" si="113"/>
        <v>288.49355392036841</v>
      </c>
      <c r="AN195" s="60">
        <f ca="1">AVERAGE(OFFSET($AM$3,0,0,'Données projet'!$E$10+1,1))-AVERAGE(OFFSET($H$3,0,0,'Données projet'!$E$10+1,1))</f>
        <v>199.65420589615553</v>
      </c>
      <c r="AO195" s="60">
        <f t="shared" si="144"/>
        <v>477.85821088970999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1.5961632016114892E-13</v>
      </c>
      <c r="BF195" s="14">
        <f t="shared" si="167"/>
        <v>2.2708641912150958E-12</v>
      </c>
      <c r="BG195" s="22">
        <f t="shared" si="168"/>
        <v>4.2330868906469593E-12</v>
      </c>
      <c r="BH195" s="60">
        <f t="shared" si="116"/>
        <v>288.49355392037063</v>
      </c>
      <c r="BI195" s="60">
        <f ca="1">AVERAGE(OFFSET($BH$3,0,0,'Données projet'!$E$11+1,1))-AVERAGE(OFFSET($H$3,0,0,'Données projet'!$E$11+1,1))</f>
        <v>374.62597460242665</v>
      </c>
      <c r="BJ195" s="60">
        <f t="shared" si="146"/>
        <v>277.50105097454616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1.0286385077051818E-13</v>
      </c>
      <c r="CA195" s="14">
        <f t="shared" si="170"/>
        <v>1.5402366592183556E-12</v>
      </c>
      <c r="CB195" s="22">
        <f t="shared" si="171"/>
        <v>2.8617333882306215E-12</v>
      </c>
      <c r="CC195" s="60">
        <f t="shared" si="119"/>
        <v>288.49355392036927</v>
      </c>
      <c r="CD195" s="60">
        <f ca="1">AVERAGE(OFFSET($CC$3,0,0,'Données projet'!$E$12+1,1))-AVERAGE(OFFSET($H$3,0,0,'Données projet'!$E$12+1,1))</f>
        <v>434.56763649859136</v>
      </c>
      <c r="CE195" s="60">
        <f t="shared" si="148"/>
        <v>271.90302066766264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9.5769792096689348E-14</v>
      </c>
      <c r="CV195" s="14">
        <f t="shared" si="173"/>
        <v>1.4459910566979609E-12</v>
      </c>
      <c r="CW195" s="22">
        <f t="shared" si="174"/>
        <v>2.6852334783173491E-12</v>
      </c>
      <c r="CX195" s="60">
        <f t="shared" si="122"/>
        <v>288.4935539203691</v>
      </c>
      <c r="CY195" s="60">
        <f ca="1">AVERAGE(OFFSET($CX$3,0,0,'Données projet'!$E$13+1,1))-AVERAGE(OFFSET($H$3,0,0,'Données projet'!$E$13+1,1))</f>
        <v>411.64829629901465</v>
      </c>
      <c r="CZ195" s="60">
        <f t="shared" si="150"/>
        <v>258.66864562757917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1.1527845344971866E-13</v>
      </c>
      <c r="DQ195" s="14">
        <f t="shared" si="176"/>
        <v>1.7033846239409443E-12</v>
      </c>
      <c r="DR195" s="22">
        <f t="shared" si="177"/>
        <v>3.1675048597887374E-12</v>
      </c>
      <c r="DS195" s="60">
        <f t="shared" si="125"/>
        <v>288.49355392036961</v>
      </c>
      <c r="DT195" s="60">
        <f ca="1">AVERAGE(OFFSET($DS$3,0,0,'Données projet'!$E$14+1,1))-AVERAGE(OFFSET($H$3,0,0,'Données projet'!$E$14+1,1))</f>
        <v>474.59791006623266</v>
      </c>
      <c r="DU195" s="60">
        <f t="shared" si="152"/>
        <v>295.01432800690293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-4.9658410716801891E-14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334.73467807584336</v>
      </c>
      <c r="EP195" s="60">
        <f t="shared" si="154"/>
        <v>463.8772059551726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0.34246762477821441</v>
      </c>
      <c r="EW195" s="23">
        <f>EXP(-LN(2)/25)*EW194+(1-EXP(-LN(2)/25))/(LN(2)/25)*Calculateur!ER195*Calculateur!ET195*VLOOKUP('Données projet'!$B$15,Paramètres!$A$1:$I$89,3,0)*0.475*44/12</f>
        <v>0.21355502864843109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0.55602265342664547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135.66666666666666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0">
        <f t="shared" si="191"/>
        <v>288.5775132730576</v>
      </c>
      <c r="S196" s="60">
        <f ca="1">AVERAGE(OFFSET($R$3,0,0,'Données projet'!$E$9+1,1))-AVERAGE(OFFSET($H$3,0,0,'Données projet'!$E$9+1,1))</f>
        <v>199.65420589615553</v>
      </c>
      <c r="T196" s="60">
        <f t="shared" si="142"/>
        <v>477.85821088970999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0">
        <f t="shared" ref="AM196:AM203" si="193">AL196+(AD196+AE196)*44/12</f>
        <v>288.5775132730576</v>
      </c>
      <c r="AN196" s="60">
        <f ca="1">AVERAGE(OFFSET($AM$3,0,0,'Données projet'!$E$10+1,1))-AVERAGE(OFFSET($H$3,0,0,'Données projet'!$E$10+1,1))</f>
        <v>199.65420589615553</v>
      </c>
      <c r="AO196" s="60">
        <f t="shared" si="144"/>
        <v>477.85821088970999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1.5961632016114892E-13</v>
      </c>
      <c r="BF196" s="14">
        <f t="shared" si="167"/>
        <v>2.2708641912150958E-12</v>
      </c>
      <c r="BG196" s="22">
        <f t="shared" si="168"/>
        <v>4.2330868906469593E-12</v>
      </c>
      <c r="BH196" s="60">
        <f t="shared" ref="BH196:BH203" si="194">BG196+(AY196+AZ196)*44/12</f>
        <v>288.57751327305982</v>
      </c>
      <c r="BI196" s="60">
        <f ca="1">AVERAGE(OFFSET($BH$3,0,0,'Données projet'!$E$11+1,1))-AVERAGE(OFFSET($H$3,0,0,'Données projet'!$E$11+1,1))</f>
        <v>374.62597460242665</v>
      </c>
      <c r="BJ196" s="60">
        <f t="shared" si="146"/>
        <v>277.50105097454616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1.0286385077051818E-13</v>
      </c>
      <c r="CA196" s="14">
        <f t="shared" si="170"/>
        <v>1.5402366592183556E-12</v>
      </c>
      <c r="CB196" s="22">
        <f t="shared" si="171"/>
        <v>2.8617333882306215E-12</v>
      </c>
      <c r="CC196" s="60">
        <f t="shared" ref="CC196:CC203" si="195">CB196+(BT196+BU196)*44/12</f>
        <v>288.57751327305846</v>
      </c>
      <c r="CD196" s="60">
        <f ca="1">AVERAGE(OFFSET($CC$3,0,0,'Données projet'!$E$12+1,1))-AVERAGE(OFFSET($H$3,0,0,'Données projet'!$E$12+1,1))</f>
        <v>434.56763649859136</v>
      </c>
      <c r="CE196" s="60">
        <f t="shared" si="148"/>
        <v>271.90302066766264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9.5769792096689348E-14</v>
      </c>
      <c r="CV196" s="14">
        <f t="shared" si="173"/>
        <v>1.4459910566979609E-12</v>
      </c>
      <c r="CW196" s="22">
        <f t="shared" si="174"/>
        <v>2.6852334783173491E-12</v>
      </c>
      <c r="CX196" s="60">
        <f t="shared" ref="CX196:CX203" si="196">CW196+(CO196+CP196)*44/12</f>
        <v>288.57751327305829</v>
      </c>
      <c r="CY196" s="60">
        <f ca="1">AVERAGE(OFFSET($CX$3,0,0,'Données projet'!$E$13+1,1))-AVERAGE(OFFSET($H$3,0,0,'Données projet'!$E$13+1,1))</f>
        <v>411.64829629901465</v>
      </c>
      <c r="CZ196" s="60">
        <f t="shared" si="150"/>
        <v>258.66864562757917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1.1527845344971866E-13</v>
      </c>
      <c r="DQ196" s="14">
        <f t="shared" si="176"/>
        <v>1.7033846239409443E-12</v>
      </c>
      <c r="DR196" s="22">
        <f t="shared" si="177"/>
        <v>3.1675048597887374E-12</v>
      </c>
      <c r="DS196" s="60">
        <f t="shared" ref="DS196:DS203" si="197">DR196+(DJ196+DK196)*44/12</f>
        <v>288.5775132730588</v>
      </c>
      <c r="DT196" s="60">
        <f ca="1">AVERAGE(OFFSET($DS$3,0,0,'Données projet'!$E$14+1,1))-AVERAGE(OFFSET($H$3,0,0,'Données projet'!$E$14+1,1))</f>
        <v>474.59791006623266</v>
      </c>
      <c r="DU196" s="60">
        <f t="shared" si="152"/>
        <v>295.01432800690293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-4.9658410716801891E-14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334.73467807584336</v>
      </c>
      <c r="EP196" s="60">
        <f t="shared" si="154"/>
        <v>463.8772059551726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0.33575204354093907</v>
      </c>
      <c r="EW196" s="23">
        <f>EXP(-LN(2)/25)*EW195+(1-EXP(-LN(2)/25))/(LN(2)/25)*Calculateur!ER196*Calculateur!ET196*VLOOKUP('Données projet'!$B$15,Paramètres!$A$1:$I$89,3,0)*0.475*44/12</f>
        <v>0.20771535515966888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0.54346739870060801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135.66666666666666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0">
        <f t="shared" si="191"/>
        <v>288.66001611868262</v>
      </c>
      <c r="S197" s="60">
        <f ca="1">AVERAGE(OFFSET($R$3,0,0,'Données projet'!$E$9+1,1))-AVERAGE(OFFSET($H$3,0,0,'Données projet'!$E$9+1,1))</f>
        <v>199.65420589615553</v>
      </c>
      <c r="T197" s="60">
        <f t="shared" ref="T197:T203" si="204">$T$3</f>
        <v>477.85821088970999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0">
        <f t="shared" si="193"/>
        <v>288.66001611868262</v>
      </c>
      <c r="AN197" s="60">
        <f ca="1">AVERAGE(OFFSET($AM$3,0,0,'Données projet'!$E$10+1,1))-AVERAGE(OFFSET($H$3,0,0,'Données projet'!$E$10+1,1))</f>
        <v>199.65420589615553</v>
      </c>
      <c r="AO197" s="60">
        <f t="shared" ref="AO197:AO203" si="205">$AO$3</f>
        <v>477.85821088970999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1.5961632016114892E-13</v>
      </c>
      <c r="BF197" s="14">
        <f t="shared" si="167"/>
        <v>2.2708641912150958E-12</v>
      </c>
      <c r="BG197" s="22">
        <f t="shared" si="168"/>
        <v>4.2330868906469593E-12</v>
      </c>
      <c r="BH197" s="60">
        <f t="shared" si="194"/>
        <v>288.66001611868484</v>
      </c>
      <c r="BI197" s="60">
        <f ca="1">AVERAGE(OFFSET($BH$3,0,0,'Données projet'!$E$11+1,1))-AVERAGE(OFFSET($H$3,0,0,'Données projet'!$E$11+1,1))</f>
        <v>374.62597460242665</v>
      </c>
      <c r="BJ197" s="60">
        <f t="shared" ref="BJ197:BJ203" si="206">$BJ$3</f>
        <v>277.50105097454616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1.0286385077051818E-13</v>
      </c>
      <c r="CA197" s="14">
        <f t="shared" si="170"/>
        <v>1.5402366592183556E-12</v>
      </c>
      <c r="CB197" s="22">
        <f t="shared" si="171"/>
        <v>2.8617333882306215E-12</v>
      </c>
      <c r="CC197" s="60">
        <f t="shared" si="195"/>
        <v>288.66001611868347</v>
      </c>
      <c r="CD197" s="60">
        <f ca="1">AVERAGE(OFFSET($CC$3,0,0,'Données projet'!$E$12+1,1))-AVERAGE(OFFSET($H$3,0,0,'Données projet'!$E$12+1,1))</f>
        <v>434.56763649859136</v>
      </c>
      <c r="CE197" s="60">
        <f t="shared" ref="CE197:CE203" si="207">$CE$3</f>
        <v>271.90302066766264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9.5769792096689348E-14</v>
      </c>
      <c r="CV197" s="14">
        <f t="shared" si="173"/>
        <v>1.4459910566979609E-12</v>
      </c>
      <c r="CW197" s="22">
        <f t="shared" si="174"/>
        <v>2.6852334783173491E-12</v>
      </c>
      <c r="CX197" s="60">
        <f t="shared" si="196"/>
        <v>288.6600161186833</v>
      </c>
      <c r="CY197" s="60">
        <f ca="1">AVERAGE(OFFSET($CX$3,0,0,'Données projet'!$E$13+1,1))-AVERAGE(OFFSET($H$3,0,0,'Données projet'!$E$13+1,1))</f>
        <v>411.64829629901465</v>
      </c>
      <c r="CZ197" s="60">
        <f t="shared" ref="CZ197:CZ203" si="208">$CZ$3</f>
        <v>258.66864562757917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1.1527845344971866E-13</v>
      </c>
      <c r="DQ197" s="14">
        <f t="shared" si="176"/>
        <v>1.7033846239409443E-12</v>
      </c>
      <c r="DR197" s="22">
        <f t="shared" si="177"/>
        <v>3.1675048597887374E-12</v>
      </c>
      <c r="DS197" s="60">
        <f t="shared" si="197"/>
        <v>288.66001611868381</v>
      </c>
      <c r="DT197" s="60">
        <f ca="1">AVERAGE(OFFSET($DS$3,0,0,'Données projet'!$E$14+1,1))-AVERAGE(OFFSET($H$3,0,0,'Données projet'!$E$14+1,1))</f>
        <v>474.59791006623266</v>
      </c>
      <c r="DU197" s="60">
        <f t="shared" ref="DU197:DU203" si="209">$DU$3</f>
        <v>295.01432800690293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-4.9658410716801891E-14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334.73467807584336</v>
      </c>
      <c r="EP197" s="60">
        <f t="shared" ref="EP197:EP203" si="210">$EP$3</f>
        <v>463.8772059551726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0.32916815075562661</v>
      </c>
      <c r="EW197" s="23">
        <f>EXP(-LN(2)/25)*EW196+(1-EXP(-LN(2)/25))/(LN(2)/25)*Calculateur!ER197*Calculateur!ET197*VLOOKUP('Données projet'!$B$15,Paramètres!$A$1:$I$89,3,0)*0.475*44/12</f>
        <v>0.20203536784955195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0.53120351860517856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135.66666666666666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0">
        <f t="shared" si="191"/>
        <v>288.74108772438478</v>
      </c>
      <c r="S198" s="60">
        <f ca="1">AVERAGE(OFFSET($R$3,0,0,'Données projet'!$E$9+1,1))-AVERAGE(OFFSET($H$3,0,0,'Données projet'!$E$9+1,1))</f>
        <v>199.65420589615553</v>
      </c>
      <c r="T198" s="60">
        <f t="shared" si="204"/>
        <v>477.85821088970999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0">
        <f t="shared" si="193"/>
        <v>288.74108772438478</v>
      </c>
      <c r="AN198" s="60">
        <f ca="1">AVERAGE(OFFSET($AM$3,0,0,'Données projet'!$E$10+1,1))-AVERAGE(OFFSET($H$3,0,0,'Données projet'!$E$10+1,1))</f>
        <v>199.65420589615553</v>
      </c>
      <c r="AO198" s="60">
        <f t="shared" si="205"/>
        <v>477.85821088970999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1.5961632016114892E-13</v>
      </c>
      <c r="BF198" s="14">
        <f t="shared" si="167"/>
        <v>2.2708641912150958E-12</v>
      </c>
      <c r="BG198" s="22">
        <f t="shared" si="168"/>
        <v>4.2330868906469593E-12</v>
      </c>
      <c r="BH198" s="60">
        <f t="shared" si="194"/>
        <v>288.741087724387</v>
      </c>
      <c r="BI198" s="60">
        <f ca="1">AVERAGE(OFFSET($BH$3,0,0,'Données projet'!$E$11+1,1))-AVERAGE(OFFSET($H$3,0,0,'Données projet'!$E$11+1,1))</f>
        <v>374.62597460242665</v>
      </c>
      <c r="BJ198" s="60">
        <f t="shared" si="206"/>
        <v>277.50105097454616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1.0286385077051818E-13</v>
      </c>
      <c r="CA198" s="14">
        <f t="shared" si="170"/>
        <v>1.5402366592183556E-12</v>
      </c>
      <c r="CB198" s="22">
        <f t="shared" si="171"/>
        <v>2.8617333882306215E-12</v>
      </c>
      <c r="CC198" s="60">
        <f t="shared" si="195"/>
        <v>288.74108772438564</v>
      </c>
      <c r="CD198" s="60">
        <f ca="1">AVERAGE(OFFSET($CC$3,0,0,'Données projet'!$E$12+1,1))-AVERAGE(OFFSET($H$3,0,0,'Données projet'!$E$12+1,1))</f>
        <v>434.56763649859136</v>
      </c>
      <c r="CE198" s="60">
        <f t="shared" si="207"/>
        <v>271.90302066766264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9.5769792096689348E-14</v>
      </c>
      <c r="CV198" s="14">
        <f t="shared" si="173"/>
        <v>1.4459910566979609E-12</v>
      </c>
      <c r="CW198" s="22">
        <f t="shared" si="174"/>
        <v>2.6852334783173491E-12</v>
      </c>
      <c r="CX198" s="60">
        <f t="shared" si="196"/>
        <v>288.74108772438547</v>
      </c>
      <c r="CY198" s="60">
        <f ca="1">AVERAGE(OFFSET($CX$3,0,0,'Données projet'!$E$13+1,1))-AVERAGE(OFFSET($H$3,0,0,'Données projet'!$E$13+1,1))</f>
        <v>411.64829629901465</v>
      </c>
      <c r="CZ198" s="60">
        <f t="shared" si="208"/>
        <v>258.66864562757917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1.1527845344971866E-13</v>
      </c>
      <c r="DQ198" s="14">
        <f t="shared" si="176"/>
        <v>1.7033846239409443E-12</v>
      </c>
      <c r="DR198" s="22">
        <f t="shared" si="177"/>
        <v>3.1675048597887374E-12</v>
      </c>
      <c r="DS198" s="60">
        <f t="shared" si="197"/>
        <v>288.74108772438598</v>
      </c>
      <c r="DT198" s="60">
        <f ca="1">AVERAGE(OFFSET($DS$3,0,0,'Données projet'!$E$14+1,1))-AVERAGE(OFFSET($H$3,0,0,'Données projet'!$E$14+1,1))</f>
        <v>474.59791006623266</v>
      </c>
      <c r="DU198" s="60">
        <f t="shared" si="209"/>
        <v>295.01432800690293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-4.9658410716801891E-14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334.73467807584336</v>
      </c>
      <c r="EP198" s="60">
        <f t="shared" si="210"/>
        <v>463.8772059551726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0.32271336409205609</v>
      </c>
      <c r="EW198" s="23">
        <f>EXP(-LN(2)/25)*EW197+(1-EXP(-LN(2)/25))/(LN(2)/25)*Calculateur!ER198*Calculateur!ET198*VLOOKUP('Données projet'!$B$15,Paramètres!$A$1:$I$89,3,0)*0.475*44/12</f>
        <v>0.19651070009112773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0.51922406418318379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135.66666666666666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0">
        <f t="shared" si="191"/>
        <v>288.82075291897695</v>
      </c>
      <c r="S199" s="60">
        <f ca="1">AVERAGE(OFFSET($R$3,0,0,'Données projet'!$E$9+1,1))-AVERAGE(OFFSET($H$3,0,0,'Données projet'!$E$9+1,1))</f>
        <v>199.65420589615553</v>
      </c>
      <c r="T199" s="60">
        <f t="shared" si="204"/>
        <v>477.85821088970999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0">
        <f t="shared" si="193"/>
        <v>288.82075291897695</v>
      </c>
      <c r="AN199" s="60">
        <f ca="1">AVERAGE(OFFSET($AM$3,0,0,'Données projet'!$E$10+1,1))-AVERAGE(OFFSET($H$3,0,0,'Données projet'!$E$10+1,1))</f>
        <v>199.65420589615553</v>
      </c>
      <c r="AO199" s="60">
        <f t="shared" si="205"/>
        <v>477.85821088970999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1.5961632016114892E-13</v>
      </c>
      <c r="BF199" s="14">
        <f t="shared" si="167"/>
        <v>2.2708641912150958E-12</v>
      </c>
      <c r="BG199" s="22">
        <f t="shared" si="168"/>
        <v>4.2330868906469593E-12</v>
      </c>
      <c r="BH199" s="60">
        <f t="shared" si="194"/>
        <v>288.82075291897917</v>
      </c>
      <c r="BI199" s="60">
        <f ca="1">AVERAGE(OFFSET($BH$3,0,0,'Données projet'!$E$11+1,1))-AVERAGE(OFFSET($H$3,0,0,'Données projet'!$E$11+1,1))</f>
        <v>374.62597460242665</v>
      </c>
      <c r="BJ199" s="60">
        <f t="shared" si="206"/>
        <v>277.50105097454616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1.0286385077051818E-13</v>
      </c>
      <c r="CA199" s="14">
        <f t="shared" si="170"/>
        <v>1.5402366592183556E-12</v>
      </c>
      <c r="CB199" s="22">
        <f t="shared" si="171"/>
        <v>2.8617333882306215E-12</v>
      </c>
      <c r="CC199" s="60">
        <f t="shared" si="195"/>
        <v>288.8207529189778</v>
      </c>
      <c r="CD199" s="60">
        <f ca="1">AVERAGE(OFFSET($CC$3,0,0,'Données projet'!$E$12+1,1))-AVERAGE(OFFSET($H$3,0,0,'Données projet'!$E$12+1,1))</f>
        <v>434.56763649859136</v>
      </c>
      <c r="CE199" s="60">
        <f t="shared" si="207"/>
        <v>271.90302066766264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9.5769792096689348E-14</v>
      </c>
      <c r="CV199" s="14">
        <f t="shared" si="173"/>
        <v>1.4459910566979609E-12</v>
      </c>
      <c r="CW199" s="22">
        <f t="shared" si="174"/>
        <v>2.6852334783173491E-12</v>
      </c>
      <c r="CX199" s="60">
        <f t="shared" si="196"/>
        <v>288.82075291897763</v>
      </c>
      <c r="CY199" s="60">
        <f ca="1">AVERAGE(OFFSET($CX$3,0,0,'Données projet'!$E$13+1,1))-AVERAGE(OFFSET($H$3,0,0,'Données projet'!$E$13+1,1))</f>
        <v>411.64829629901465</v>
      </c>
      <c r="CZ199" s="60">
        <f t="shared" si="208"/>
        <v>258.66864562757917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1.1527845344971866E-13</v>
      </c>
      <c r="DQ199" s="14">
        <f t="shared" si="176"/>
        <v>1.7033846239409443E-12</v>
      </c>
      <c r="DR199" s="22">
        <f t="shared" si="177"/>
        <v>3.1675048597887374E-12</v>
      </c>
      <c r="DS199" s="60">
        <f t="shared" si="197"/>
        <v>288.82075291897814</v>
      </c>
      <c r="DT199" s="60">
        <f ca="1">AVERAGE(OFFSET($DS$3,0,0,'Données projet'!$E$14+1,1))-AVERAGE(OFFSET($H$3,0,0,'Données projet'!$E$14+1,1))</f>
        <v>474.59791006623266</v>
      </c>
      <c r="DU199" s="60">
        <f t="shared" si="209"/>
        <v>295.01432800690293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-4.9658410716801891E-14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334.73467807584336</v>
      </c>
      <c r="EP199" s="60">
        <f t="shared" si="210"/>
        <v>463.8772059551726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0.31638515185792704</v>
      </c>
      <c r="EW199" s="23">
        <f>EXP(-LN(2)/25)*EW198+(1-EXP(-LN(2)/25))/(LN(2)/25)*Calculateur!ER199*Calculateur!ET199*VLOOKUP('Données projet'!$B$15,Paramètres!$A$1:$I$89,3,0)*0.475*44/12</f>
        <v>0.19113710466308725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0.50752225652101424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135.66666666666666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0">
        <f t="shared" si="191"/>
        <v>288.89903610054762</v>
      </c>
      <c r="S200" s="60">
        <f ca="1">AVERAGE(OFFSET($R$3,0,0,'Données projet'!$E$9+1,1))-AVERAGE(OFFSET($H$3,0,0,'Données projet'!$E$9+1,1))</f>
        <v>199.65420589615553</v>
      </c>
      <c r="T200" s="60">
        <f t="shared" si="204"/>
        <v>477.85821088970999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0">
        <f t="shared" si="193"/>
        <v>288.89903610054762</v>
      </c>
      <c r="AN200" s="60">
        <f ca="1">AVERAGE(OFFSET($AM$3,0,0,'Données projet'!$E$10+1,1))-AVERAGE(OFFSET($H$3,0,0,'Données projet'!$E$10+1,1))</f>
        <v>199.65420589615553</v>
      </c>
      <c r="AO200" s="60">
        <f t="shared" si="205"/>
        <v>477.85821088970999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1.5961632016114892E-13</v>
      </c>
      <c r="BF200" s="14">
        <f t="shared" si="167"/>
        <v>2.2708641912150958E-12</v>
      </c>
      <c r="BG200" s="22">
        <f t="shared" si="168"/>
        <v>4.2330868906469593E-12</v>
      </c>
      <c r="BH200" s="60">
        <f t="shared" si="194"/>
        <v>288.89903610054984</v>
      </c>
      <c r="BI200" s="60">
        <f ca="1">AVERAGE(OFFSET($BH$3,0,0,'Données projet'!$E$11+1,1))-AVERAGE(OFFSET($H$3,0,0,'Données projet'!$E$11+1,1))</f>
        <v>374.62597460242665</v>
      </c>
      <c r="BJ200" s="60">
        <f t="shared" si="206"/>
        <v>277.50105097454616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1.0286385077051818E-13</v>
      </c>
      <c r="CA200" s="14">
        <f t="shared" si="170"/>
        <v>1.5402366592183556E-12</v>
      </c>
      <c r="CB200" s="22">
        <f t="shared" si="171"/>
        <v>2.8617333882306215E-12</v>
      </c>
      <c r="CC200" s="60">
        <f t="shared" si="195"/>
        <v>288.89903610054847</v>
      </c>
      <c r="CD200" s="60">
        <f ca="1">AVERAGE(OFFSET($CC$3,0,0,'Données projet'!$E$12+1,1))-AVERAGE(OFFSET($H$3,0,0,'Données projet'!$E$12+1,1))</f>
        <v>434.56763649859136</v>
      </c>
      <c r="CE200" s="60">
        <f t="shared" si="207"/>
        <v>271.90302066766264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9.5769792096689348E-14</v>
      </c>
      <c r="CV200" s="14">
        <f t="shared" si="173"/>
        <v>1.4459910566979609E-12</v>
      </c>
      <c r="CW200" s="22">
        <f t="shared" si="174"/>
        <v>2.6852334783173491E-12</v>
      </c>
      <c r="CX200" s="60">
        <f t="shared" si="196"/>
        <v>288.8990361005483</v>
      </c>
      <c r="CY200" s="60">
        <f ca="1">AVERAGE(OFFSET($CX$3,0,0,'Données projet'!$E$13+1,1))-AVERAGE(OFFSET($H$3,0,0,'Données projet'!$E$13+1,1))</f>
        <v>411.64829629901465</v>
      </c>
      <c r="CZ200" s="60">
        <f t="shared" si="208"/>
        <v>258.66864562757917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1.1527845344971866E-13</v>
      </c>
      <c r="DQ200" s="14">
        <f t="shared" si="176"/>
        <v>1.7033846239409443E-12</v>
      </c>
      <c r="DR200" s="22">
        <f t="shared" si="177"/>
        <v>3.1675048597887374E-12</v>
      </c>
      <c r="DS200" s="60">
        <f t="shared" si="197"/>
        <v>288.89903610054881</v>
      </c>
      <c r="DT200" s="60">
        <f ca="1">AVERAGE(OFFSET($DS$3,0,0,'Données projet'!$E$14+1,1))-AVERAGE(OFFSET($H$3,0,0,'Données projet'!$E$14+1,1))</f>
        <v>474.59791006623266</v>
      </c>
      <c r="DU200" s="60">
        <f t="shared" si="209"/>
        <v>295.01432800690293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-4.9658410716801891E-14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334.73467807584336</v>
      </c>
      <c r="EP200" s="60">
        <f t="shared" si="210"/>
        <v>463.8772059551726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0.31018103200588093</v>
      </c>
      <c r="EW200" s="23">
        <f>EXP(-LN(2)/25)*EW199+(1-EXP(-LN(2)/25))/(LN(2)/25)*Calculateur!ER200*Calculateur!ET200*VLOOKUP('Données projet'!$B$15,Paramètres!$A$1:$I$89,3,0)*0.475*44/12</f>
        <v>0.18591045048461166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0.49609148249049262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135.66666666666666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0">
        <f t="shared" si="191"/>
        <v>288.97596124393306</v>
      </c>
      <c r="S201" s="60">
        <f ca="1">AVERAGE(OFFSET($R$3,0,0,'Données projet'!$E$9+1,1))-AVERAGE(OFFSET($H$3,0,0,'Données projet'!$E$9+1,1))</f>
        <v>199.65420589615553</v>
      </c>
      <c r="T201" s="60">
        <f t="shared" si="204"/>
        <v>477.85821088970999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0">
        <f t="shared" si="193"/>
        <v>288.97596124393306</v>
      </c>
      <c r="AN201" s="60">
        <f ca="1">AVERAGE(OFFSET($AM$3,0,0,'Données projet'!$E$10+1,1))-AVERAGE(OFFSET($H$3,0,0,'Données projet'!$E$10+1,1))</f>
        <v>199.65420589615553</v>
      </c>
      <c r="AO201" s="60">
        <f t="shared" si="205"/>
        <v>477.85821088970999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1.5961632016114892E-13</v>
      </c>
      <c r="BF201" s="14">
        <f t="shared" si="167"/>
        <v>2.2708641912150958E-12</v>
      </c>
      <c r="BG201" s="22">
        <f t="shared" si="168"/>
        <v>4.2330868906469593E-12</v>
      </c>
      <c r="BH201" s="60">
        <f t="shared" si="194"/>
        <v>288.97596124393527</v>
      </c>
      <c r="BI201" s="60">
        <f ca="1">AVERAGE(OFFSET($BH$3,0,0,'Données projet'!$E$11+1,1))-AVERAGE(OFFSET($H$3,0,0,'Données projet'!$E$11+1,1))</f>
        <v>374.62597460242665</v>
      </c>
      <c r="BJ201" s="60">
        <f t="shared" si="206"/>
        <v>277.50105097454616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1.0286385077051818E-13</v>
      </c>
      <c r="CA201" s="14">
        <f t="shared" si="170"/>
        <v>1.5402366592183556E-12</v>
      </c>
      <c r="CB201" s="22">
        <f t="shared" si="171"/>
        <v>2.8617333882306215E-12</v>
      </c>
      <c r="CC201" s="60">
        <f t="shared" si="195"/>
        <v>288.97596124393391</v>
      </c>
      <c r="CD201" s="60">
        <f ca="1">AVERAGE(OFFSET($CC$3,0,0,'Données projet'!$E$12+1,1))-AVERAGE(OFFSET($H$3,0,0,'Données projet'!$E$12+1,1))</f>
        <v>434.56763649859136</v>
      </c>
      <c r="CE201" s="60">
        <f t="shared" si="207"/>
        <v>271.90302066766264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9.5769792096689348E-14</v>
      </c>
      <c r="CV201" s="14">
        <f t="shared" si="173"/>
        <v>1.4459910566979609E-12</v>
      </c>
      <c r="CW201" s="22">
        <f t="shared" si="174"/>
        <v>2.6852334783173491E-12</v>
      </c>
      <c r="CX201" s="60">
        <f t="shared" si="196"/>
        <v>288.97596124393374</v>
      </c>
      <c r="CY201" s="60">
        <f ca="1">AVERAGE(OFFSET($CX$3,0,0,'Données projet'!$E$13+1,1))-AVERAGE(OFFSET($H$3,0,0,'Données projet'!$E$13+1,1))</f>
        <v>411.64829629901465</v>
      </c>
      <c r="CZ201" s="60">
        <f t="shared" si="208"/>
        <v>258.66864562757917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1.1527845344971866E-13</v>
      </c>
      <c r="DQ201" s="14">
        <f t="shared" si="176"/>
        <v>1.7033846239409443E-12</v>
      </c>
      <c r="DR201" s="22">
        <f t="shared" si="177"/>
        <v>3.1675048597887374E-12</v>
      </c>
      <c r="DS201" s="60">
        <f t="shared" si="197"/>
        <v>288.97596124393425</v>
      </c>
      <c r="DT201" s="60">
        <f ca="1">AVERAGE(OFFSET($DS$3,0,0,'Données projet'!$E$14+1,1))-AVERAGE(OFFSET($H$3,0,0,'Données projet'!$E$14+1,1))</f>
        <v>474.59791006623266</v>
      </c>
      <c r="DU201" s="60">
        <f t="shared" si="209"/>
        <v>295.01432800690293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-4.9658410716801891E-14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334.73467807584336</v>
      </c>
      <c r="EP201" s="60">
        <f t="shared" si="210"/>
        <v>463.8772059551726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0.304098571159994</v>
      </c>
      <c r="EW201" s="23">
        <f>EXP(-LN(2)/25)*EW200+(1-EXP(-LN(2)/25))/(LN(2)/25)*Calculateur!ER201*Calculateur!ET201*VLOOKUP('Données projet'!$B$15,Paramètres!$A$1:$I$89,3,0)*0.475*44/12</f>
        <v>0.18082671943950426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0.48492529059949829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135.66666666666666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0">
        <f t="shared" si="191"/>
        <v>289.05155190805959</v>
      </c>
      <c r="S202" s="60">
        <f ca="1">AVERAGE(OFFSET($R$3,0,0,'Données projet'!$E$9+1,1))-AVERAGE(OFFSET($H$3,0,0,'Données projet'!$E$9+1,1))</f>
        <v>199.65420589615553</v>
      </c>
      <c r="T202" s="60">
        <f t="shared" si="204"/>
        <v>477.85821088970999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0">
        <f t="shared" si="193"/>
        <v>289.05155190805959</v>
      </c>
      <c r="AN202" s="60">
        <f ca="1">AVERAGE(OFFSET($AM$3,0,0,'Données projet'!$E$10+1,1))-AVERAGE(OFFSET($H$3,0,0,'Données projet'!$E$10+1,1))</f>
        <v>199.65420589615553</v>
      </c>
      <c r="AO202" s="60">
        <f t="shared" si="205"/>
        <v>477.85821088970999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1.5961632016114892E-13</v>
      </c>
      <c r="BF202" s="14">
        <f t="shared" si="167"/>
        <v>2.2708641912150958E-12</v>
      </c>
      <c r="BG202" s="22">
        <f t="shared" si="168"/>
        <v>4.2330868906469593E-12</v>
      </c>
      <c r="BH202" s="60">
        <f t="shared" si="194"/>
        <v>289.05155190806181</v>
      </c>
      <c r="BI202" s="60">
        <f ca="1">AVERAGE(OFFSET($BH$3,0,0,'Données projet'!$E$11+1,1))-AVERAGE(OFFSET($H$3,0,0,'Données projet'!$E$11+1,1))</f>
        <v>374.62597460242665</v>
      </c>
      <c r="BJ202" s="60">
        <f t="shared" si="206"/>
        <v>277.50105097454616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1.0286385077051818E-13</v>
      </c>
      <c r="CA202" s="14">
        <f t="shared" si="170"/>
        <v>1.5402366592183556E-12</v>
      </c>
      <c r="CB202" s="22">
        <f t="shared" si="171"/>
        <v>2.8617333882306215E-12</v>
      </c>
      <c r="CC202" s="60">
        <f t="shared" si="195"/>
        <v>289.05155190806045</v>
      </c>
      <c r="CD202" s="60">
        <f ca="1">AVERAGE(OFFSET($CC$3,0,0,'Données projet'!$E$12+1,1))-AVERAGE(OFFSET($H$3,0,0,'Données projet'!$E$12+1,1))</f>
        <v>434.56763649859136</v>
      </c>
      <c r="CE202" s="60">
        <f t="shared" si="207"/>
        <v>271.90302066766264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9.5769792096689348E-14</v>
      </c>
      <c r="CV202" s="14">
        <f t="shared" si="173"/>
        <v>1.4459910566979609E-12</v>
      </c>
      <c r="CW202" s="22">
        <f t="shared" si="174"/>
        <v>2.6852334783173491E-12</v>
      </c>
      <c r="CX202" s="60">
        <f t="shared" si="196"/>
        <v>289.05155190806028</v>
      </c>
      <c r="CY202" s="60">
        <f ca="1">AVERAGE(OFFSET($CX$3,0,0,'Données projet'!$E$13+1,1))-AVERAGE(OFFSET($H$3,0,0,'Données projet'!$E$13+1,1))</f>
        <v>411.64829629901465</v>
      </c>
      <c r="CZ202" s="60">
        <f t="shared" si="208"/>
        <v>258.66864562757917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1.1527845344971866E-13</v>
      </c>
      <c r="DQ202" s="14">
        <f t="shared" si="176"/>
        <v>1.7033846239409443E-12</v>
      </c>
      <c r="DR202" s="22">
        <f t="shared" si="177"/>
        <v>3.1675048597887374E-12</v>
      </c>
      <c r="DS202" s="60">
        <f t="shared" si="197"/>
        <v>289.05155190806079</v>
      </c>
      <c r="DT202" s="60">
        <f ca="1">AVERAGE(OFFSET($DS$3,0,0,'Données projet'!$E$14+1,1))-AVERAGE(OFFSET($H$3,0,0,'Données projet'!$E$14+1,1))</f>
        <v>474.59791006623266</v>
      </c>
      <c r="DU202" s="60">
        <f t="shared" si="209"/>
        <v>295.01432800690293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-4.9658410716801891E-14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334.73467807584336</v>
      </c>
      <c r="EP202" s="60">
        <f t="shared" si="210"/>
        <v>463.8772059551726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0.29813538366136011</v>
      </c>
      <c r="EW202" s="23">
        <f>EXP(-LN(2)/25)*EW201+(1-EXP(-LN(2)/25))/(LN(2)/25)*Calculateur!ER202*Calculateur!ET202*VLOOKUP('Données projet'!$B$15,Paramètres!$A$1:$I$89,3,0)*0.475*44/12</f>
        <v>0.17588200328716713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0.47401738694852724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135.66666666666666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0">
        <f t="shared" si="191"/>
        <v>289.12583124315898</v>
      </c>
      <c r="S203" s="60">
        <f ca="1">AVERAGE(OFFSET($R$3,0,0,'Données projet'!$E$9+1,1))-AVERAGE(OFFSET($H$3,0,0,'Données projet'!$E$9+1,1))</f>
        <v>199.65420589615553</v>
      </c>
      <c r="T203" s="60">
        <f t="shared" si="204"/>
        <v>477.85821088970999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0">
        <f t="shared" si="193"/>
        <v>289.12583124315898</v>
      </c>
      <c r="AN203" s="60">
        <f ca="1">AVERAGE(OFFSET($AM$3,0,0,'Données projet'!$E$10+1,1))-AVERAGE(OFFSET($H$3,0,0,'Données projet'!$E$10+1,1))</f>
        <v>199.65420589615553</v>
      </c>
      <c r="AO203" s="60">
        <f t="shared" si="205"/>
        <v>477.85821088970999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1.5961632016114892E-13</v>
      </c>
      <c r="BF203" s="14">
        <f t="shared" si="167"/>
        <v>2.2708641912150958E-12</v>
      </c>
      <c r="BG203" s="22">
        <f t="shared" si="168"/>
        <v>4.2330868906469593E-12</v>
      </c>
      <c r="BH203" s="60">
        <f t="shared" si="194"/>
        <v>289.1258312431612</v>
      </c>
      <c r="BI203" s="60">
        <f ca="1">AVERAGE(OFFSET($BH$3,0,0,'Données projet'!$E$11+1,1))-AVERAGE(OFFSET($H$3,0,0,'Données projet'!$E$11+1,1))</f>
        <v>374.62597460242665</v>
      </c>
      <c r="BJ203" s="60">
        <f t="shared" si="206"/>
        <v>277.50105097454616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1.0286385077051818E-13</v>
      </c>
      <c r="CA203" s="14">
        <f t="shared" si="170"/>
        <v>1.5402366592183556E-12</v>
      </c>
      <c r="CB203" s="22">
        <f t="shared" si="171"/>
        <v>2.8617333882306215E-12</v>
      </c>
      <c r="CC203" s="60">
        <f t="shared" si="195"/>
        <v>289.12583124315984</v>
      </c>
      <c r="CD203" s="60">
        <f ca="1">AVERAGE(OFFSET($CC$3,0,0,'Données projet'!$E$12+1,1))-AVERAGE(OFFSET($H$3,0,0,'Données projet'!$E$12+1,1))</f>
        <v>434.56763649859136</v>
      </c>
      <c r="CE203" s="60">
        <f t="shared" si="207"/>
        <v>271.90302066766264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9.5769792096689348E-14</v>
      </c>
      <c r="CV203" s="14">
        <f t="shared" si="173"/>
        <v>1.4459910566979609E-12</v>
      </c>
      <c r="CW203" s="22">
        <f t="shared" si="174"/>
        <v>2.6852334783173491E-12</v>
      </c>
      <c r="CX203" s="60">
        <f t="shared" si="196"/>
        <v>289.12583124315967</v>
      </c>
      <c r="CY203" s="60">
        <f ca="1">AVERAGE(OFFSET($CX$3,0,0,'Données projet'!$E$13+1,1))-AVERAGE(OFFSET($H$3,0,0,'Données projet'!$E$13+1,1))</f>
        <v>411.64829629901465</v>
      </c>
      <c r="CZ203" s="60">
        <f t="shared" si="208"/>
        <v>258.66864562757917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1.1527845344971866E-13</v>
      </c>
      <c r="DQ203" s="14">
        <f t="shared" si="176"/>
        <v>1.7033846239409443E-12</v>
      </c>
      <c r="DR203" s="22">
        <f t="shared" si="177"/>
        <v>3.1675048597887374E-12</v>
      </c>
      <c r="DS203" s="60">
        <f t="shared" si="197"/>
        <v>289.12583124316018</v>
      </c>
      <c r="DT203" s="60">
        <f ca="1">AVERAGE(OFFSET($DS$3,0,0,'Données projet'!$E$14+1,1))-AVERAGE(OFFSET($H$3,0,0,'Données projet'!$E$14+1,1))</f>
        <v>474.59791006623266</v>
      </c>
      <c r="DU203" s="60">
        <f t="shared" si="209"/>
        <v>295.01432800690293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-4.9658410716801891E-14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334.73467807584336</v>
      </c>
      <c r="EP203" s="60">
        <f t="shared" si="210"/>
        <v>463.8772059551726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0.2922891306323892</v>
      </c>
      <c r="EW203" s="23">
        <f>EXP(-LN(2)/25)*EW202+(1-EXP(-LN(2)/25))/(LN(2)/25)*Calculateur!ER203*Calculateur!ET203*VLOOKUP('Données projet'!$B$15,Paramètres!$A$1:$I$89,3,0)*0.475*44/12</f>
        <v>0.17107250065804697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0.46336163129043617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1.4749438547769935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1.4749438547769935</v>
      </c>
      <c r="BA205" s="86">
        <f>EXP(LN('Données projet'!B88)/'Données projet'!A88)</f>
        <v>1.1921598380198544</v>
      </c>
      <c r="BV205" s="86">
        <f>EXP(LN('Données projet'!B114)/'Données projet'!A114)</f>
        <v>1.185906184594963</v>
      </c>
      <c r="CQ205" s="86">
        <f>EXP(LN('Données projet'!B140)/'Données projet'!A140)</f>
        <v>1.185906184594963</v>
      </c>
      <c r="DL205" s="86">
        <f>EXP(LN('Données projet'!B166)/'Données projet'!A166)</f>
        <v>1.185906184594963</v>
      </c>
      <c r="EG205" s="86">
        <f>EXP(LN('Données projet'!B192)/'Données projet'!A192)</f>
        <v>1.3655017210306359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workbookViewId="0">
      <selection activeCell="J11" sqref="J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Pin maritime</v>
      </c>
      <c r="B6" s="153">
        <f>'Données projet'!D9</f>
        <v>2.5721999999999996</v>
      </c>
      <c r="C6" s="154">
        <f ca="1">IF(OR('Données projet'!B9="",'Données projet'!C9="",'Données projet'!C9=0%),0,Calculateur!S3)</f>
        <v>199.65420589615553</v>
      </c>
      <c r="D6" s="154">
        <f>IF(OR('Données projet'!B9="",'Données projet'!C9="",'Données projet'!C9=0%),0,Calculateur!T3)</f>
        <v>477.85821088970999</v>
      </c>
      <c r="E6" s="154">
        <f ca="1">MIN(C6,D6)</f>
        <v>199.65420589615553</v>
      </c>
      <c r="F6" s="154">
        <f ca="1">E6*B6</f>
        <v>513.55054840609114</v>
      </c>
      <c r="G6" s="154">
        <f ca="1">F6*(100%-'Données projet'!$C$24)*(100%-'Données projet'!$C$25)*(100%-'Données projet'!$C$26)*(100%-'Données projet'!$C$27)</f>
        <v>462.19549356548202</v>
      </c>
      <c r="H6" s="155">
        <f>IF(OR('Données projet'!B9="",'Données projet'!C9="",'Données projet'!C9=0%),0,AVERAGE(Calculateur!$AC$3:$AC$33)*B6)</f>
        <v>38.668083125933556</v>
      </c>
      <c r="I6" s="156">
        <f>H6*(100%-'Données projet'!$C$24)*(100%-'Données projet'!$C$25)*(100%-'Données projet'!$C$26)*(100%-'Données projet'!$C$27)</f>
        <v>34.8012748133402</v>
      </c>
      <c r="J6" s="157">
        <f>IF(OR('Données projet'!B9="",'Données projet'!C9="",'Données projet'!C9=0%),0,SUM(Calculateur!$V$3:$V$33)*VLOOKUP('Données projet'!$B$9,Paramètres!$A$1:$I$89,9,0)*B6)</f>
        <v>670.77831599999979</v>
      </c>
      <c r="K6" s="158">
        <f>J6*(100%-'Données projet'!$C$24)*(100%-'Données projet'!$C$25)*(100%-'Données projet'!$C$26)*(100%-'Données projet'!$C$27)</f>
        <v>603.70048439999982</v>
      </c>
      <c r="L6" s="159">
        <f ca="1">G6+I6+K6</f>
        <v>1100.6972527788221</v>
      </c>
      <c r="M6" s="25">
        <f ca="1">L6/B6</f>
        <v>427.92055546956777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Pin taeda</v>
      </c>
      <c r="B7" s="161">
        <f>'Données projet'!D10</f>
        <v>3.7153999999999998</v>
      </c>
      <c r="C7" s="154">
        <f ca="1">IF(OR('Données projet'!B10="",'Données projet'!C10="",'Données projet'!C10=0%),0,Calculateur!AN3)</f>
        <v>199.65420589615553</v>
      </c>
      <c r="D7" s="154">
        <f>IF(OR('Données projet'!B10="",'Données projet'!C10="",'Données projet'!C10=0%),0,Calculateur!AO3)</f>
        <v>477.85821088970999</v>
      </c>
      <c r="E7" s="154">
        <f t="shared" ref="E7:E15" ca="1" si="0">MIN(C7,D7)</f>
        <v>199.65420589615553</v>
      </c>
      <c r="F7" s="154">
        <f t="shared" ref="F7:F15" ca="1" si="1">E7*B7</f>
        <v>741.79523658657627</v>
      </c>
      <c r="G7" s="154">
        <f ca="1">F7*(100%-'Données projet'!$C$24)*(100%-'Données projet'!$C$25)*(100%-'Données projet'!$C$26)*(100%-'Données projet'!$C$27)</f>
        <v>667.61571292791871</v>
      </c>
      <c r="H7" s="162">
        <f>IF(OR('Données projet'!B10="",'Données projet'!C10="",'Données projet'!C10=0%),0,AVERAGE(Calculateur!$AX$3:$AX$33)*B7)</f>
        <v>55.853897848570696</v>
      </c>
      <c r="I7" s="156">
        <f>H7*(100%-'Données projet'!$C$24)*(100%-'Données projet'!$C$25)*(100%-'Données projet'!$C$26)*(100%-'Données projet'!$C$27)</f>
        <v>50.268508063713625</v>
      </c>
      <c r="J7" s="157">
        <f>IF(OR('Données projet'!B10="",'Données projet'!C10="",'Données projet'!C10=0%),0,SUM(Calculateur!$AQ$3:$AQ$33)*VLOOKUP('Données projet'!$B$10,Paramètres!$A$1:$I$89,9,0)*B7)</f>
        <v>706.14892399999997</v>
      </c>
      <c r="K7" s="158">
        <f>J7*(100%-'Données projet'!$C$24)*(100%-'Données projet'!$C$25)*(100%-'Données projet'!$C$26)*(100%-'Données projet'!$C$27)</f>
        <v>635.53403159999993</v>
      </c>
      <c r="L7" s="159">
        <f t="shared" ref="L7:L15" ca="1" si="2">G7+I7+K7</f>
        <v>1353.4182525916322</v>
      </c>
      <c r="M7" s="25">
        <f ca="1">L7/B7</f>
        <v>364.27255546956781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Cèdre de l'Atlas</v>
      </c>
      <c r="B8" s="161">
        <f>'Données projet'!D11</f>
        <v>3.5724999999999998</v>
      </c>
      <c r="C8" s="154">
        <f ca="1">IF(OR('Données projet'!B11="",'Données projet'!C11="",'Données projet'!C11=0%),0,Calculateur!BI3)</f>
        <v>374.62597460242665</v>
      </c>
      <c r="D8" s="154">
        <f>IF(OR('Données projet'!B11="",'Données projet'!C11="",'Données projet'!C11=0%),0,Calculateur!BJ3)</f>
        <v>277.50105097454616</v>
      </c>
      <c r="E8" s="154">
        <f t="shared" ca="1" si="0"/>
        <v>277.50105097454616</v>
      </c>
      <c r="F8" s="154">
        <f t="shared" ca="1" si="1"/>
        <v>991.37250460656605</v>
      </c>
      <c r="G8" s="154">
        <f ca="1">F8*(100%-'Données projet'!$C$24)*(100%-'Données projet'!$C$25)*(100%-'Données projet'!$C$26)*(100%-'Données projet'!$C$27)</f>
        <v>892.23525414590949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892.23525414590949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sessile</v>
      </c>
      <c r="B9" s="161">
        <f>'Données projet'!D12</f>
        <v>1.2860999999999998</v>
      </c>
      <c r="C9" s="154">
        <f ca="1">IF(OR('Données projet'!B12="",'Données projet'!C12="",'Données projet'!C12=0%),0,Calculateur!CD3)</f>
        <v>434.56763649859136</v>
      </c>
      <c r="D9" s="154">
        <f>IF(OR('Données projet'!B12="",'Données projet'!C12="",'Données projet'!C12=0%),0,Calculateur!CE3)</f>
        <v>271.90302066766264</v>
      </c>
      <c r="E9" s="154">
        <f t="shared" ca="1" si="0"/>
        <v>271.90302066766264</v>
      </c>
      <c r="F9" s="154">
        <f t="shared" ca="1" si="1"/>
        <v>349.6944748806809</v>
      </c>
      <c r="G9" s="154">
        <f ca="1">F9*(100%-'Données projet'!$C$24)*(100%-'Données projet'!$C$25)*(100%-'Données projet'!$C$26)*(100%-'Données projet'!$C$27)</f>
        <v>314.72502739261284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9.3242249999999984</v>
      </c>
      <c r="K9" s="158">
        <f>J9*(100%-'Données projet'!$C$24)*(100%-'Données projet'!$C$25)*(100%-'Données projet'!$C$26)*(100%-'Données projet'!$C$27)</f>
        <v>8.3918024999999989</v>
      </c>
      <c r="L9" s="159">
        <f t="shared" ca="1" si="2"/>
        <v>323.11682989261283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Chêne pédonculé</v>
      </c>
      <c r="B10" s="161">
        <f>'Données projet'!D13</f>
        <v>1.2860999999999998</v>
      </c>
      <c r="C10" s="154">
        <f ca="1">IF(OR('Données projet'!B13="",'Données projet'!C13="",'Données projet'!C13=0%),0,Calculateur!CY3)</f>
        <v>411.64829629901465</v>
      </c>
      <c r="D10" s="154">
        <f>IF(OR('Données projet'!B13="",'Données projet'!C13="",'Données projet'!C13=0%),0,Calculateur!CZ3)</f>
        <v>258.66864562757917</v>
      </c>
      <c r="E10" s="154">
        <f t="shared" ca="1" si="0"/>
        <v>258.66864562757917</v>
      </c>
      <c r="F10" s="154">
        <f t="shared" ca="1" si="1"/>
        <v>332.67374514162952</v>
      </c>
      <c r="G10" s="154">
        <f ca="1">F10*(100%-'Données projet'!$C$24)*(100%-'Données projet'!$C$25)*(100%-'Données projet'!$C$26)*(100%-'Données projet'!$C$27)</f>
        <v>299.40637062746657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9.3242249999999984</v>
      </c>
      <c r="K10" s="158">
        <f>J10*(100%-'Données projet'!$C$24)*(100%-'Données projet'!$C$25)*(100%-'Données projet'!$C$26)*(100%-'Données projet'!$C$27)</f>
        <v>8.3918024999999989</v>
      </c>
      <c r="L10" s="159">
        <f t="shared" ca="1" si="2"/>
        <v>307.79817312746655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Chêne pubescent</v>
      </c>
      <c r="B11" s="161">
        <f>'Données projet'!D14</f>
        <v>1.2860999999999998</v>
      </c>
      <c r="C11" s="154">
        <f ca="1">IF(OR('Données projet'!B14="",'Données projet'!C14="",'Données projet'!C14=0%),0,Calculateur!DT3)</f>
        <v>474.59791006623266</v>
      </c>
      <c r="D11" s="154">
        <f>IF(OR('Données projet'!B14="",'Données projet'!C14="",'Données projet'!C14=0%),0,Calculateur!DU3)</f>
        <v>295.01432800690293</v>
      </c>
      <c r="E11" s="154">
        <f t="shared" ca="1" si="0"/>
        <v>295.01432800690293</v>
      </c>
      <c r="F11" s="154">
        <f t="shared" ca="1" si="1"/>
        <v>379.4179272496778</v>
      </c>
      <c r="G11" s="154">
        <f ca="1">F11*(100%-'Données projet'!$C$24)*(100%-'Données projet'!$C$25)*(100%-'Données projet'!$C$26)*(100%-'Données projet'!$C$27)</f>
        <v>341.47613452471001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9.3242249999999984</v>
      </c>
      <c r="K11" s="158">
        <f>J11*(100%-'Données projet'!$C$24)*(100%-'Données projet'!$C$25)*(100%-'Données projet'!$C$26)*(100%-'Données projet'!$C$27)</f>
        <v>8.3918024999999989</v>
      </c>
      <c r="L11" s="159">
        <f t="shared" ca="1" si="2"/>
        <v>349.86793702470999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Chêne rouge d'Amérique</v>
      </c>
      <c r="B12" s="161">
        <f>'Données projet'!D15</f>
        <v>0.5716</v>
      </c>
      <c r="C12" s="154">
        <f ca="1">IF(OR('Données projet'!B15="",'Données projet'!C15="",'Données projet'!C15=0%),0,Calculateur!EO3)</f>
        <v>334.73467807584336</v>
      </c>
      <c r="D12" s="154">
        <f>IF(OR('Données projet'!B15="",'Données projet'!C15="",'Données projet'!C15=0%),0,Calculateur!EP3)</f>
        <v>463.8772059551726</v>
      </c>
      <c r="E12" s="154">
        <f t="shared" ca="1" si="0"/>
        <v>334.73467807584336</v>
      </c>
      <c r="F12" s="154">
        <f t="shared" ca="1" si="1"/>
        <v>191.33434198815206</v>
      </c>
      <c r="G12" s="154">
        <f ca="1">F12*(100%-'Données projet'!$C$24)*(100%-'Données projet'!$C$25)*(100%-'Données projet'!$C$26)*(100%-'Données projet'!$C$27)</f>
        <v>172.20090778933687</v>
      </c>
      <c r="H12" s="162">
        <f>IF(OR('Données projet'!B15="",'Données projet'!C15="",'Données projet'!C15=0%),0,AVERAGE(Calculateur!$EY$3:$EY$33)*B12)</f>
        <v>1.934038573268269</v>
      </c>
      <c r="I12" s="156">
        <f>H12*(100%-'Données projet'!$C$24)*(100%-'Données projet'!$C$25)*(100%-'Données projet'!$C$26)*(100%-'Données projet'!$C$27)</f>
        <v>1.7406347159414421</v>
      </c>
      <c r="J12" s="157">
        <f>IF(OR('Données projet'!B15="",'Données projet'!C15="",'Données projet'!C15=0%),0,SUM(Calculateur!$ER$3:$ER$33)*VLOOKUP('Données projet'!$B$15,Paramètres!$A$1:$I$89,9,0)*B12)</f>
        <v>26.722300000000001</v>
      </c>
      <c r="K12" s="158">
        <f>J12*(100%-'Données projet'!$C$24)*(100%-'Données projet'!$C$25)*(100%-'Données projet'!$C$26)*(100%-'Données projet'!$C$27)</f>
        <v>24.050070000000002</v>
      </c>
      <c r="L12" s="159">
        <f t="shared" ca="1" si="2"/>
        <v>197.99161250527831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3499.8387788593736</v>
      </c>
      <c r="G16" s="173">
        <f t="shared" ca="1" si="3"/>
        <v>3149.8549009734365</v>
      </c>
      <c r="H16" s="174">
        <f t="shared" si="3"/>
        <v>96.456019547772527</v>
      </c>
      <c r="I16" s="174">
        <f t="shared" si="3"/>
        <v>86.810417592995265</v>
      </c>
      <c r="J16" s="175">
        <f t="shared" si="3"/>
        <v>1431.6222149999999</v>
      </c>
      <c r="K16" s="175">
        <f t="shared" si="3"/>
        <v>1288.4599934999999</v>
      </c>
      <c r="L16" s="176">
        <f t="shared" ca="1" si="3"/>
        <v>4525.1253120664314</v>
      </c>
      <c r="M16" s="25">
        <f ca="1">L16/14.29</f>
        <v>316.66377271283636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Pin maritime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Pin taeda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Cèdre de l'Atlas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sessile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Chêne pédonculé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Chêne pubescent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Chêne rouge d'Amérique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1" zoomScale="90" zoomScaleNormal="90" workbookViewId="0">
      <selection activeCell="I214" sqref="I21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9" t="s">
        <v>315</v>
      </c>
      <c r="I4" s="339"/>
      <c r="K4" s="336" t="s">
        <v>253</v>
      </c>
      <c r="L4" s="337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8" t="s">
        <v>310</v>
      </c>
      <c r="S7" s="329"/>
      <c r="T7" s="329"/>
      <c r="U7" s="329"/>
      <c r="V7" s="330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Pin maritime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5064.2663570946788</v>
      </c>
      <c r="U10" s="188">
        <f>'Données projet'!D9</f>
        <v>2.5721999999999996</v>
      </c>
      <c r="V10" s="187">
        <f>U10*T10</f>
        <v>13026.30592371893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taeda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4657.3346656118283</v>
      </c>
      <c r="U11" s="188">
        <f>'Données projet'!D10</f>
        <v>3.7153999999999998</v>
      </c>
      <c r="V11" s="187">
        <f t="shared" ref="V11" si="0">U11*T11</f>
        <v>17303.861216614187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Cèdre de l'Atlas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1352.5477459637616</v>
      </c>
      <c r="U12" s="188">
        <f>'Données projet'!D11</f>
        <v>3.5724999999999998</v>
      </c>
      <c r="V12" s="187">
        <f t="shared" ref="V12:V19" si="1">U12*T12</f>
        <v>4831.9768224555382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sessile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574.7753805200548</v>
      </c>
      <c r="U13" s="188">
        <f>'Données projet'!D12</f>
        <v>1.2860999999999998</v>
      </c>
      <c r="V13" s="187">
        <f t="shared" si="1"/>
        <v>739.21861688684237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Pin maritime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Chêne pédonculé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574.7753805200548</v>
      </c>
      <c r="U14" s="188">
        <f>'Données projet'!D13</f>
        <v>1.2860999999999998</v>
      </c>
      <c r="V14" s="187">
        <f t="shared" si="1"/>
        <v>739.21861688684237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40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Chêne pubescent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574.7753805200548</v>
      </c>
      <c r="U15" s="188">
        <f>'Données projet'!D14</f>
        <v>1.2860999999999998</v>
      </c>
      <c r="V15" s="187">
        <f t="shared" si="1"/>
        <v>739.21861688684237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0"/>
      <c r="H16" s="201"/>
      <c r="I16" s="202"/>
      <c r="J16" s="214"/>
      <c r="K16" s="223"/>
      <c r="L16" s="336" t="s">
        <v>254</v>
      </c>
      <c r="M16" s="337"/>
      <c r="N16" s="2"/>
      <c r="O16" s="25"/>
      <c r="P16" s="25"/>
      <c r="Q16" s="263"/>
      <c r="R16" s="25"/>
      <c r="S16" s="183" t="str">
        <f>B200</f>
        <v>Chêne rouge d'Amérique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2569.3293506696332</v>
      </c>
      <c r="U16" s="188">
        <f>'Données projet'!D15</f>
        <v>0.5716</v>
      </c>
      <c r="V16" s="187">
        <f t="shared" si="1"/>
        <v>1468.6286568427622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0"/>
      <c r="J17" s="214"/>
      <c r="K17" s="223"/>
      <c r="L17" s="294" t="s">
        <v>289</v>
      </c>
      <c r="M17" s="296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0"/>
      <c r="J18" s="214"/>
      <c r="K18" s="223"/>
      <c r="L18" s="294" t="s">
        <v>255</v>
      </c>
      <c r="M18" s="296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0"/>
      <c r="H19" s="230" t="s">
        <v>178</v>
      </c>
      <c r="I19" s="230" t="s">
        <v>287</v>
      </c>
      <c r="J19" s="258"/>
      <c r="K19" s="181"/>
      <c r="L19" s="336" t="s">
        <v>288</v>
      </c>
      <c r="M19" s="337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0"/>
      <c r="H20" s="201">
        <v>0</v>
      </c>
      <c r="I20" s="202">
        <f>(47239+28660)/14.29</f>
        <v>5311.3365990202947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1</v>
      </c>
      <c r="I21" s="202">
        <f>10245/14.29</f>
        <v>716.93491952414286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>
        <v>2</v>
      </c>
      <c r="I22" s="202">
        <f>7881/14.29</f>
        <v>551.50454863540938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12</v>
      </c>
      <c r="B23" s="191">
        <f>'Données projet'!D36</f>
        <v>34</v>
      </c>
      <c r="C23" s="290">
        <v>10</v>
      </c>
      <c r="D23" s="192">
        <f>B23*C23</f>
        <v>340</v>
      </c>
      <c r="E23" s="204"/>
      <c r="F23" s="259"/>
      <c r="H23" s="201">
        <v>3</v>
      </c>
      <c r="I23" s="202">
        <f>2579/14.29</f>
        <v>180.47585724282717</v>
      </c>
      <c r="K23" s="223"/>
      <c r="L23" s="338" t="s">
        <v>260</v>
      </c>
      <c r="M23" s="338"/>
      <c r="N23" s="338"/>
      <c r="O23" s="25"/>
      <c r="P23" s="25"/>
      <c r="Q23" s="263"/>
      <c r="R23" s="25"/>
      <c r="S23" s="183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-56331.235968463639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17</v>
      </c>
      <c r="B24" s="191">
        <f>'Données projet'!D37</f>
        <v>43</v>
      </c>
      <c r="C24" s="290">
        <v>20</v>
      </c>
      <c r="D24" s="192">
        <f t="shared" ref="D24:D42" si="2">B24*C24</f>
        <v>860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121799.70112785875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22</v>
      </c>
      <c r="B25" s="191">
        <f>'Données projet'!D38</f>
        <v>56</v>
      </c>
      <c r="C25" s="290">
        <v>35</v>
      </c>
      <c r="D25" s="192">
        <f t="shared" si="2"/>
        <v>1960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493</v>
      </c>
      <c r="Q25" s="263"/>
      <c r="R25" s="25"/>
      <c r="S25" s="196" t="s">
        <v>266</v>
      </c>
      <c r="T25" s="335">
        <f ca="1">T23-T24</f>
        <v>-178130.93709632239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30</v>
      </c>
      <c r="B26" s="191">
        <f>'Données projet'!D39</f>
        <v>309</v>
      </c>
      <c r="C26" s="290">
        <v>45</v>
      </c>
      <c r="D26" s="192">
        <f t="shared" si="2"/>
        <v>13905</v>
      </c>
      <c r="E26" s="204"/>
      <c r="F26" s="262"/>
      <c r="G26" s="257"/>
      <c r="H26" s="201"/>
      <c r="I26" s="202"/>
      <c r="K26" s="223"/>
      <c r="L26" s="322" t="s">
        <v>258</v>
      </c>
      <c r="M26" s="323"/>
      <c r="N26" s="323"/>
      <c r="O26" s="323"/>
      <c r="P26" s="324"/>
      <c r="Q26" s="263"/>
      <c r="R26" s="25"/>
      <c r="S26" s="196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0</v>
      </c>
      <c r="B27" s="191">
        <f>'Données projet'!D40</f>
        <v>0</v>
      </c>
      <c r="C27" s="290"/>
      <c r="D27" s="192">
        <f t="shared" si="2"/>
        <v>0</v>
      </c>
      <c r="E27" s="204"/>
      <c r="F27" s="262"/>
      <c r="G27" s="257"/>
      <c r="H27" s="201"/>
      <c r="I27" s="202"/>
      <c r="K27" s="223"/>
      <c r="L27" s="325"/>
      <c r="M27" s="326"/>
      <c r="N27" s="326"/>
      <c r="O27" s="326"/>
      <c r="P27" s="327"/>
      <c r="Q27" s="263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0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0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0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8523.422052334412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0</v>
      </c>
      <c r="B31" s="191">
        <f>'Données projet'!D44</f>
        <v>0</v>
      </c>
      <c r="C31" s="204"/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493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471.77033492822972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451.45486596002849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432.01422579907029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413.41074239145496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395.60836592483724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378.57259897113624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362.27042963745089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346.67026759564692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331.74188286664781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317.45634724081134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303.7859782208721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Pin taeda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290.70428537882503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278.18591902279906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266.20662107444895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254.74317806167358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243.7733761355729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233.27595802447169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223.23058184159973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213.61778166660264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/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204.41892982450017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12</v>
      </c>
      <c r="B54" s="191">
        <f>'Données projet'!D62</f>
        <v>34</v>
      </c>
      <c r="C54" s="290">
        <v>10</v>
      </c>
      <c r="D54" s="189">
        <f>B54*C54</f>
        <v>340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195.61620078899537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17</v>
      </c>
      <c r="B55" s="191">
        <f>'Données projet'!D63</f>
        <v>43</v>
      </c>
      <c r="C55" s="290">
        <v>20</v>
      </c>
      <c r="D55" s="189">
        <f t="shared" ref="D55:D73" si="4">B55*C55</f>
        <v>860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187.19253664018703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22</v>
      </c>
      <c r="B56" s="191">
        <f>'Données projet'!D64</f>
        <v>56</v>
      </c>
      <c r="C56" s="290">
        <v>35</v>
      </c>
      <c r="D56" s="189">
        <f t="shared" si="4"/>
        <v>1960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179.13161400974835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309</v>
      </c>
      <c r="C57" s="290">
        <v>45</v>
      </c>
      <c r="D57" s="189">
        <f t="shared" si="4"/>
        <v>13905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171.41781244951997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0</v>
      </c>
      <c r="B58" s="191">
        <f>'Données projet'!D66</f>
        <v>0</v>
      </c>
      <c r="C58" s="290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164.03618416222008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0</v>
      </c>
      <c r="B59" s="191">
        <f>'Données projet'!D67</f>
        <v>0</v>
      </c>
      <c r="C59" s="290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156.97242503561733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0</v>
      </c>
      <c r="B60" s="191">
        <f>'Données projet'!D68</f>
        <v>0</v>
      </c>
      <c r="C60" s="290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150.21284692403574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143.74435112347919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137.55440298897528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131.63100764495249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 t="str">
        <f>IF(O63+1&lt;=MIN('Données projet'!$E$9:$E$18),O63+1,"STOP")</f>
        <v>STOP</v>
      </c>
      <c r="P64" s="195" t="e">
        <f t="shared" si="3"/>
        <v>#VALUE!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 t="e">
        <f>IF(O64+1&lt;=MIN('Données projet'!$E$9:$E$18),O64+1,"STOP")</f>
        <v>#VALUE!</v>
      </c>
      <c r="P65" s="195" t="e">
        <f t="shared" ref="P65:P96" si="5">$P$25/(1+$M$4)^O65</f>
        <v>#VALUE!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 t="e">
        <f>IF(O65+1&lt;=MIN('Données projet'!$E$9:$E$18),O65+1,"STOP")</f>
        <v>#VALUE!</v>
      </c>
      <c r="P66" s="195" t="e">
        <f t="shared" si="5"/>
        <v>#VALUE!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 t="e">
        <f>IF(O66+1&lt;=MIN('Données projet'!$E$9:$E$18),O66+1,"STOP")</f>
        <v>#VALUE!</v>
      </c>
      <c r="P67" s="195" t="e">
        <f t="shared" si="5"/>
        <v>#VALUE!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e">
        <f>IF(O67+1&lt;=MIN('Données projet'!$E$9:$E$18),O67+1,"STOP")</f>
        <v>#VALUE!</v>
      </c>
      <c r="P68" s="195" t="e">
        <f t="shared" si="5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Cèdre de l'Atlas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30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35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42</v>
      </c>
      <c r="B87" s="191">
        <f>'Données projet'!D90</f>
        <v>182</v>
      </c>
      <c r="C87" s="202">
        <v>15</v>
      </c>
      <c r="D87" s="189">
        <f t="shared" si="6"/>
        <v>2730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43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49</v>
      </c>
      <c r="B89" s="191">
        <f>'Données projet'!D92</f>
        <v>100</v>
      </c>
      <c r="C89" s="202">
        <v>18</v>
      </c>
      <c r="D89" s="189">
        <f t="shared" si="6"/>
        <v>1800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50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56</v>
      </c>
      <c r="B91" s="191">
        <f>'Données projet'!D94</f>
        <v>79</v>
      </c>
      <c r="C91" s="202">
        <v>20</v>
      </c>
      <c r="D91" s="189">
        <f t="shared" si="6"/>
        <v>1580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57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63</v>
      </c>
      <c r="B93" s="191">
        <f>'Données projet'!D96</f>
        <v>79</v>
      </c>
      <c r="C93" s="202">
        <v>20</v>
      </c>
      <c r="D93" s="189">
        <f t="shared" si="6"/>
        <v>1580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64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71</v>
      </c>
      <c r="B95" s="191">
        <f>'Données projet'!D98</f>
        <v>91</v>
      </c>
      <c r="C95" s="202">
        <v>20</v>
      </c>
      <c r="D95" s="189">
        <f t="shared" si="6"/>
        <v>1820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72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79</v>
      </c>
      <c r="B97" s="191">
        <f>'Données projet'!D100</f>
        <v>88</v>
      </c>
      <c r="C97" s="202">
        <v>20</v>
      </c>
      <c r="D97" s="189">
        <f t="shared" si="6"/>
        <v>1760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87</v>
      </c>
      <c r="B99" s="191">
        <f>'Données projet'!D102</f>
        <v>89</v>
      </c>
      <c r="C99" s="202">
        <v>25</v>
      </c>
      <c r="D99" s="189">
        <f t="shared" si="6"/>
        <v>2225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88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94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95</v>
      </c>
      <c r="B102" s="191">
        <f>'Données projet'!D105</f>
        <v>269</v>
      </c>
      <c r="C102" s="202">
        <v>30</v>
      </c>
      <c r="D102" s="189">
        <f t="shared" si="6"/>
        <v>8070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96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105</v>
      </c>
      <c r="B104" s="191">
        <f>'Données projet'!D107</f>
        <v>357</v>
      </c>
      <c r="C104" s="202">
        <v>50</v>
      </c>
      <c r="D104" s="189">
        <f t="shared" si="6"/>
        <v>17850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sessile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25</v>
      </c>
      <c r="B116" s="191">
        <f>'Données projet'!D114</f>
        <v>8</v>
      </c>
      <c r="C116" s="290">
        <v>4</v>
      </c>
      <c r="D116" s="189">
        <f>B116*C116</f>
        <v>32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30</v>
      </c>
      <c r="B117" s="191">
        <f>'Données projet'!D115</f>
        <v>21</v>
      </c>
      <c r="C117" s="290">
        <v>8</v>
      </c>
      <c r="D117" s="189">
        <f t="shared" ref="D117:D135" si="8">B117*C117</f>
        <v>168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35</v>
      </c>
      <c r="B118" s="191">
        <f>'Données projet'!D116</f>
        <v>21</v>
      </c>
      <c r="C118" s="290">
        <v>10</v>
      </c>
      <c r="D118" s="189">
        <f t="shared" si="8"/>
        <v>210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40</v>
      </c>
      <c r="B119" s="191">
        <f>'Données projet'!D117</f>
        <v>21</v>
      </c>
      <c r="C119" s="290">
        <v>10</v>
      </c>
      <c r="D119" s="189">
        <f t="shared" si="8"/>
        <v>210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45</v>
      </c>
      <c r="B120" s="191">
        <f>'Données projet'!D118</f>
        <v>21</v>
      </c>
      <c r="C120" s="290">
        <v>10</v>
      </c>
      <c r="D120" s="189">
        <f t="shared" si="8"/>
        <v>210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50</v>
      </c>
      <c r="B121" s="191">
        <f>'Données projet'!D119</f>
        <v>21</v>
      </c>
      <c r="C121" s="290">
        <v>10</v>
      </c>
      <c r="D121" s="189">
        <f t="shared" si="8"/>
        <v>210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55</v>
      </c>
      <c r="B122" s="191">
        <f>'Données projet'!D120</f>
        <v>21</v>
      </c>
      <c r="C122" s="290">
        <v>15</v>
      </c>
      <c r="D122" s="189">
        <f t="shared" si="8"/>
        <v>315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60</v>
      </c>
      <c r="B123" s="191">
        <f>'Données projet'!D121</f>
        <v>21</v>
      </c>
      <c r="C123" s="290">
        <v>15</v>
      </c>
      <c r="D123" s="189">
        <f t="shared" si="8"/>
        <v>315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65</v>
      </c>
      <c r="B124" s="191">
        <f>'Données projet'!D122</f>
        <v>21</v>
      </c>
      <c r="C124" s="290">
        <v>15</v>
      </c>
      <c r="D124" s="189">
        <f t="shared" si="8"/>
        <v>315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70</v>
      </c>
      <c r="B125" s="191">
        <f>'Données projet'!D123</f>
        <v>21</v>
      </c>
      <c r="C125" s="290">
        <v>15</v>
      </c>
      <c r="D125" s="189">
        <f t="shared" si="8"/>
        <v>315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75</v>
      </c>
      <c r="B126" s="191">
        <f>'Données projet'!D124</f>
        <v>21</v>
      </c>
      <c r="C126" s="290">
        <v>20</v>
      </c>
      <c r="D126" s="189">
        <f t="shared" si="8"/>
        <v>420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80</v>
      </c>
      <c r="B127" s="191">
        <f>'Données projet'!D125</f>
        <v>21</v>
      </c>
      <c r="C127" s="290">
        <v>20</v>
      </c>
      <c r="D127" s="189">
        <f t="shared" si="8"/>
        <v>420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85</v>
      </c>
      <c r="B128" s="191">
        <f>'Données projet'!D126</f>
        <v>21</v>
      </c>
      <c r="C128" s="290">
        <v>20</v>
      </c>
      <c r="D128" s="189">
        <f t="shared" si="8"/>
        <v>420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21</v>
      </c>
      <c r="C129" s="290">
        <v>20</v>
      </c>
      <c r="D129" s="189">
        <f t="shared" si="8"/>
        <v>420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95</v>
      </c>
      <c r="B130" s="191">
        <f>'Données projet'!D128</f>
        <v>21</v>
      </c>
      <c r="C130" s="290">
        <v>30</v>
      </c>
      <c r="D130" s="189">
        <f t="shared" si="8"/>
        <v>630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100</v>
      </c>
      <c r="B131" s="191">
        <f>'Données projet'!D129</f>
        <v>21</v>
      </c>
      <c r="C131" s="290">
        <v>30</v>
      </c>
      <c r="D131" s="189">
        <f t="shared" si="8"/>
        <v>630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105</v>
      </c>
      <c r="B132" s="191">
        <f>'Données projet'!D130</f>
        <v>20</v>
      </c>
      <c r="C132" s="290">
        <v>40</v>
      </c>
      <c r="D132" s="189">
        <f t="shared" si="8"/>
        <v>800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110</v>
      </c>
      <c r="B133" s="191">
        <f>'Données projet'!D131</f>
        <v>19</v>
      </c>
      <c r="C133" s="290">
        <v>50</v>
      </c>
      <c r="D133" s="189">
        <f t="shared" si="8"/>
        <v>950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115</v>
      </c>
      <c r="B134" s="191">
        <f>'Données projet'!D132</f>
        <v>18</v>
      </c>
      <c r="C134" s="290">
        <v>70</v>
      </c>
      <c r="D134" s="189">
        <f t="shared" si="8"/>
        <v>1260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120</v>
      </c>
      <c r="B135" s="191">
        <f>'Données projet'!D133</f>
        <v>284</v>
      </c>
      <c r="C135" s="290">
        <v>150</v>
      </c>
      <c r="D135" s="189">
        <f t="shared" si="8"/>
        <v>42600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Chêne pédonculé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5">
        <f>'Données projet'!D140</f>
        <v>8</v>
      </c>
      <c r="C147" s="290">
        <v>4</v>
      </c>
      <c r="D147" s="192">
        <f>B147*C147</f>
        <v>32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5">
        <f>'Données projet'!D141</f>
        <v>21</v>
      </c>
      <c r="C148" s="290">
        <v>8</v>
      </c>
      <c r="D148" s="192">
        <f t="shared" ref="D148:D166" si="10">B148*C148</f>
        <v>168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5">
        <f>'Données projet'!D142</f>
        <v>21</v>
      </c>
      <c r="C149" s="290">
        <v>10</v>
      </c>
      <c r="D149" s="192">
        <f t="shared" si="10"/>
        <v>210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5">
        <f>'Données projet'!D143</f>
        <v>21</v>
      </c>
      <c r="C150" s="290">
        <v>10</v>
      </c>
      <c r="D150" s="192">
        <f t="shared" si="10"/>
        <v>210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5">
        <f>'Données projet'!D144</f>
        <v>21</v>
      </c>
      <c r="C151" s="290">
        <v>10</v>
      </c>
      <c r="D151" s="192">
        <f t="shared" si="10"/>
        <v>210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5">
        <f>'Données projet'!D145</f>
        <v>21</v>
      </c>
      <c r="C152" s="290">
        <v>10</v>
      </c>
      <c r="D152" s="192">
        <f t="shared" si="10"/>
        <v>210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5">
        <f>'Données projet'!D146</f>
        <v>21</v>
      </c>
      <c r="C153" s="290">
        <v>15</v>
      </c>
      <c r="D153" s="192">
        <f t="shared" si="10"/>
        <v>315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5">
        <f>'Données projet'!D147</f>
        <v>21</v>
      </c>
      <c r="C154" s="290">
        <v>15</v>
      </c>
      <c r="D154" s="192">
        <f t="shared" si="10"/>
        <v>315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5">
        <f>'Données projet'!D148</f>
        <v>21</v>
      </c>
      <c r="C155" s="290">
        <v>15</v>
      </c>
      <c r="D155" s="192">
        <f t="shared" si="10"/>
        <v>315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5">
        <f>'Données projet'!D149</f>
        <v>21</v>
      </c>
      <c r="C156" s="290">
        <v>15</v>
      </c>
      <c r="D156" s="192">
        <f t="shared" si="10"/>
        <v>315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5">
        <f>'Données projet'!D150</f>
        <v>21</v>
      </c>
      <c r="C157" s="290">
        <v>20</v>
      </c>
      <c r="D157" s="192">
        <f t="shared" si="10"/>
        <v>420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5">
        <f>'Données projet'!D151</f>
        <v>21</v>
      </c>
      <c r="C158" s="290">
        <v>20</v>
      </c>
      <c r="D158" s="192">
        <f t="shared" si="10"/>
        <v>420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5">
        <f>'Données projet'!D152</f>
        <v>21</v>
      </c>
      <c r="C159" s="290">
        <v>20</v>
      </c>
      <c r="D159" s="192">
        <f t="shared" si="10"/>
        <v>420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21</v>
      </c>
      <c r="C160" s="290">
        <v>20</v>
      </c>
      <c r="D160" s="192">
        <f t="shared" si="10"/>
        <v>420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95</v>
      </c>
      <c r="B161" s="185">
        <f>'Données projet'!D154</f>
        <v>21</v>
      </c>
      <c r="C161" s="290">
        <v>30</v>
      </c>
      <c r="D161" s="192">
        <f t="shared" si="10"/>
        <v>630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100</v>
      </c>
      <c r="B162" s="185">
        <f>'Données projet'!D155</f>
        <v>21</v>
      </c>
      <c r="C162" s="290">
        <v>30</v>
      </c>
      <c r="D162" s="192">
        <f t="shared" si="10"/>
        <v>630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105</v>
      </c>
      <c r="B163" s="185">
        <f>'Données projet'!D156</f>
        <v>20</v>
      </c>
      <c r="C163" s="290">
        <v>40</v>
      </c>
      <c r="D163" s="192">
        <f t="shared" si="10"/>
        <v>800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5">
        <f>'Données projet'!D157</f>
        <v>19</v>
      </c>
      <c r="C164" s="290">
        <v>50</v>
      </c>
      <c r="D164" s="192">
        <f t="shared" si="10"/>
        <v>950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115</v>
      </c>
      <c r="B165" s="185">
        <f>'Données projet'!D158</f>
        <v>18</v>
      </c>
      <c r="C165" s="290">
        <v>70</v>
      </c>
      <c r="D165" s="192">
        <f t="shared" si="10"/>
        <v>1260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5">
        <f>'Données projet'!D159</f>
        <v>284</v>
      </c>
      <c r="C166" s="290">
        <v>150</v>
      </c>
      <c r="D166" s="192">
        <f t="shared" si="10"/>
        <v>42600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Chêne pubescent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25</v>
      </c>
      <c r="B178" s="191">
        <f>'Données projet'!D166</f>
        <v>8</v>
      </c>
      <c r="C178" s="290">
        <v>4</v>
      </c>
      <c r="D178" s="189">
        <f>B178*C178</f>
        <v>32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30</v>
      </c>
      <c r="B179" s="191">
        <f>'Données projet'!D167</f>
        <v>21</v>
      </c>
      <c r="C179" s="290">
        <v>8</v>
      </c>
      <c r="D179" s="189">
        <f t="shared" ref="D179:D197" si="11">B179*C179</f>
        <v>168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35</v>
      </c>
      <c r="B180" s="191">
        <f>'Données projet'!D168</f>
        <v>21</v>
      </c>
      <c r="C180" s="290">
        <v>10</v>
      </c>
      <c r="D180" s="189">
        <f t="shared" si="11"/>
        <v>210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40</v>
      </c>
      <c r="B181" s="191">
        <f>'Données projet'!D169</f>
        <v>21</v>
      </c>
      <c r="C181" s="290">
        <v>10</v>
      </c>
      <c r="D181" s="189">
        <f t="shared" si="11"/>
        <v>210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45</v>
      </c>
      <c r="B182" s="191">
        <f>'Données projet'!D170</f>
        <v>21</v>
      </c>
      <c r="C182" s="290">
        <v>10</v>
      </c>
      <c r="D182" s="189">
        <f t="shared" si="11"/>
        <v>210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50</v>
      </c>
      <c r="B183" s="191">
        <f>'Données projet'!D171</f>
        <v>21</v>
      </c>
      <c r="C183" s="290">
        <v>10</v>
      </c>
      <c r="D183" s="189">
        <f t="shared" si="11"/>
        <v>210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55</v>
      </c>
      <c r="B184" s="191">
        <f>'Données projet'!D172</f>
        <v>21</v>
      </c>
      <c r="C184" s="290">
        <v>15</v>
      </c>
      <c r="D184" s="189">
        <f t="shared" si="11"/>
        <v>315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60</v>
      </c>
      <c r="B185" s="191">
        <f>'Données projet'!D173</f>
        <v>21</v>
      </c>
      <c r="C185" s="290">
        <v>15</v>
      </c>
      <c r="D185" s="189">
        <f t="shared" si="11"/>
        <v>315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65</v>
      </c>
      <c r="B186" s="191">
        <f>'Données projet'!D174</f>
        <v>21</v>
      </c>
      <c r="C186" s="290">
        <v>15</v>
      </c>
      <c r="D186" s="189">
        <f t="shared" si="11"/>
        <v>315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70</v>
      </c>
      <c r="B187" s="191">
        <f>'Données projet'!D175</f>
        <v>21</v>
      </c>
      <c r="C187" s="290">
        <v>15</v>
      </c>
      <c r="D187" s="189">
        <f t="shared" si="11"/>
        <v>315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75</v>
      </c>
      <c r="B188" s="191">
        <f>'Données projet'!D176</f>
        <v>21</v>
      </c>
      <c r="C188" s="290">
        <v>20</v>
      </c>
      <c r="D188" s="189">
        <f t="shared" si="11"/>
        <v>420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80</v>
      </c>
      <c r="B189" s="191">
        <f>'Données projet'!D177</f>
        <v>21</v>
      </c>
      <c r="C189" s="290">
        <v>20</v>
      </c>
      <c r="D189" s="189">
        <f t="shared" si="11"/>
        <v>420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85</v>
      </c>
      <c r="B190" s="191">
        <f>'Données projet'!D178</f>
        <v>21</v>
      </c>
      <c r="C190" s="290">
        <v>20</v>
      </c>
      <c r="D190" s="189">
        <f t="shared" si="11"/>
        <v>420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90</v>
      </c>
      <c r="B191" s="191">
        <f>'Données projet'!D179</f>
        <v>21</v>
      </c>
      <c r="C191" s="290">
        <v>20</v>
      </c>
      <c r="D191" s="189">
        <f t="shared" si="11"/>
        <v>420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95</v>
      </c>
      <c r="B192" s="191">
        <f>'Données projet'!D180</f>
        <v>21</v>
      </c>
      <c r="C192" s="290">
        <v>30</v>
      </c>
      <c r="D192" s="189">
        <f t="shared" si="11"/>
        <v>630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100</v>
      </c>
      <c r="B193" s="191">
        <f>'Données projet'!D181</f>
        <v>21</v>
      </c>
      <c r="C193" s="290">
        <v>30</v>
      </c>
      <c r="D193" s="189">
        <f t="shared" si="11"/>
        <v>630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105</v>
      </c>
      <c r="B194" s="191">
        <f>'Données projet'!D182</f>
        <v>20</v>
      </c>
      <c r="C194" s="290">
        <v>40</v>
      </c>
      <c r="D194" s="189">
        <f t="shared" si="11"/>
        <v>800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110</v>
      </c>
      <c r="B195" s="191">
        <f>'Données projet'!D183</f>
        <v>19</v>
      </c>
      <c r="C195" s="290">
        <v>50</v>
      </c>
      <c r="D195" s="189">
        <f t="shared" si="11"/>
        <v>950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115</v>
      </c>
      <c r="B196" s="191">
        <f>'Données projet'!D184</f>
        <v>18</v>
      </c>
      <c r="C196" s="290">
        <v>70</v>
      </c>
      <c r="D196" s="189">
        <f t="shared" si="11"/>
        <v>1260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120</v>
      </c>
      <c r="B197" s="191">
        <f>'Données projet'!D185</f>
        <v>284</v>
      </c>
      <c r="C197" s="290">
        <v>150</v>
      </c>
      <c r="D197" s="189">
        <f t="shared" si="11"/>
        <v>42600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Chêne rouge d'Amérique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15</v>
      </c>
      <c r="B209" s="191">
        <f>'Données projet'!D192</f>
        <v>34</v>
      </c>
      <c r="C209" s="204">
        <v>10</v>
      </c>
      <c r="D209" s="189">
        <f>B209*C209</f>
        <v>340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20</v>
      </c>
      <c r="B210" s="191">
        <f>'Données projet'!D193</f>
        <v>50</v>
      </c>
      <c r="C210" s="204">
        <v>10</v>
      </c>
      <c r="D210" s="189">
        <f t="shared" ref="D210:D228" si="12">B210*C210</f>
        <v>500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25</v>
      </c>
      <c r="B211" s="191">
        <f>'Données projet'!D194</f>
        <v>52</v>
      </c>
      <c r="C211" s="204">
        <v>15</v>
      </c>
      <c r="D211" s="189">
        <f t="shared" si="12"/>
        <v>780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30</v>
      </c>
      <c r="B212" s="191">
        <f>'Données projet'!D195</f>
        <v>51</v>
      </c>
      <c r="C212" s="204">
        <v>15</v>
      </c>
      <c r="D212" s="189">
        <f t="shared" si="12"/>
        <v>765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35</v>
      </c>
      <c r="B213" s="191">
        <f>'Données projet'!D196</f>
        <v>49</v>
      </c>
      <c r="C213" s="204">
        <v>15</v>
      </c>
      <c r="D213" s="189">
        <f t="shared" si="12"/>
        <v>735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40</v>
      </c>
      <c r="B214" s="191">
        <f>'Données projet'!D197</f>
        <v>45</v>
      </c>
      <c r="C214" s="204">
        <v>20</v>
      </c>
      <c r="D214" s="189">
        <f t="shared" si="12"/>
        <v>900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45</v>
      </c>
      <c r="B215" s="191">
        <f>'Données projet'!D198</f>
        <v>41</v>
      </c>
      <c r="C215" s="204">
        <v>25</v>
      </c>
      <c r="D215" s="189">
        <f t="shared" si="12"/>
        <v>1025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50</v>
      </c>
      <c r="B216" s="191">
        <f>'Données projet'!D199</f>
        <v>37</v>
      </c>
      <c r="C216" s="204">
        <v>30</v>
      </c>
      <c r="D216" s="189">
        <f t="shared" si="12"/>
        <v>1110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55</v>
      </c>
      <c r="B217" s="191">
        <f>'Données projet'!D200</f>
        <v>258</v>
      </c>
      <c r="C217" s="204">
        <v>50</v>
      </c>
      <c r="D217" s="189">
        <f t="shared" si="12"/>
        <v>12900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>
        <v>55</v>
      </c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>
        <v>60</v>
      </c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>
        <v>60</v>
      </c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>
        <v>65</v>
      </c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>
        <v>70</v>
      </c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>
        <v>80</v>
      </c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2025-06-02T09:07:43Z</dcterms:modified>
</cp:coreProperties>
</file>