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ierroton\DUROU Martine - MOULON\LBC\"/>
    </mc:Choice>
  </mc:AlternateContent>
  <xr:revisionPtr revIDLastSave="0" documentId="13_ncr:1_{AA7240BF-6EE5-4962-81FC-6D9F0F85AA2F}" xr6:coauthVersionLast="36" xr6:coauthVersionMax="36" xr10:uidLastSave="{00000000-0000-0000-0000-000000000000}"/>
  <bookViews>
    <workbookView xWindow="0" yWindow="0" windowWidth="28800" windowHeight="12615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4" i="6" l="1"/>
  <c r="I25" i="6"/>
  <c r="I23" i="6"/>
  <c r="I22" i="6"/>
  <c r="I21" i="6"/>
  <c r="I20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9" i="2" a="1"/>
  <c r="AH19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<sst xmlns="http://schemas.openxmlformats.org/spreadsheetml/2006/main" count="1171" uniqueCount="324">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</sst>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1.7387447482365042</c:v>
                </c:pt>
                <c:pt idx="2">
                  <c:v>2.2781726731137182</c:v>
                </c:pt>
                <c:pt idx="3">
                  <c:v>2.9856443554169769</c:v>
                </c:pt>
                <c:pt idx="4">
                  <c:v>3.9137125843014489</c:v>
                </c:pt>
                <c:pt idx="5">
                  <c:v>5.1314247115460745</c:v>
                </c:pt>
                <c:pt idx="6">
                  <c:v>6.7295171268431453</c:v>
                </c:pt>
                <c:pt idx="7">
                  <c:v>8.8272506331588332</c:v>
                </c:pt>
                <c:pt idx="8">
                  <c:v>11.581406535692608</c:v>
                </c:pt>
                <c:pt idx="9">
                  <c:v>15.198128350308357</c:v>
                </c:pt>
                <c:pt idx="10">
                  <c:v>19.948511684651319</c:v>
                </c:pt>
                <c:pt idx="11">
                  <c:v>26.189131812693919</c:v>
                </c:pt>
                <c:pt idx="12">
                  <c:v>34.389076874533764</c:v>
                </c:pt>
                <c:pt idx="13">
                  <c:v>45.165553684780683</c:v>
                </c:pt>
                <c:pt idx="14">
                  <c:v>59.330791360527577</c:v>
                </c:pt>
                <c:pt idx="15">
                  <c:v>77.953836250075213</c:v>
                </c:pt>
                <c:pt idx="16">
                  <c:v>102.44197710497166</c:v>
                </c:pt>
                <c:pt idx="17">
                  <c:v>134.64805074137209</c:v>
                </c:pt>
                <c:pt idx="18">
                  <c:v>177.01187263061669</c:v>
                </c:pt>
                <c:pt idx="19">
                  <c:v>232.74666849877102</c:v>
                </c:pt>
                <c:pt idx="20">
                  <c:v>306.08485619875319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1.9129108861298834</c:v>
                </c:pt>
                <c:pt idx="2">
                  <c:v>2.5065781124534845</c:v>
                </c:pt>
                <c:pt idx="3">
                  <c:v>3.285246432588758</c:v>
                </c:pt>
                <c:pt idx="4">
                  <c:v>4.3067894970377631</c:v>
                </c:pt>
                <c:pt idx="5">
                  <c:v>5.6472507370009408</c:v>
                </c:pt>
                <c:pt idx="6">
                  <c:v>7.4065669052789334</c:v>
                </c:pt>
                <c:pt idx="7">
                  <c:v>9.7161000816296639</c:v>
                </c:pt>
                <c:pt idx="8">
                  <c:v>12.748551164052641</c:v>
                </c:pt>
                <c:pt idx="9">
                  <c:v>16.731009894895092</c:v>
                </c:pt>
                <c:pt idx="10">
                  <c:v>21.962136454577301</c:v>
                </c:pt>
                <c:pt idx="11">
                  <c:v>28.834786087384632</c:v>
                </c:pt>
                <c:pt idx="12">
                  <c:v>37.86580550511983</c:v>
                </c:pt>
                <c:pt idx="13">
                  <c:v>49.735280150552427</c:v>
                </c:pt>
                <c:pt idx="14">
                  <c:v>65.338237301083865</c:v>
                </c:pt>
                <c:pt idx="15">
                  <c:v>85.852767564793282</c:v>
                </c:pt>
                <c:pt idx="16">
                  <c:v>112.82979064040988</c:v>
                </c:pt>
                <c:pt idx="17">
                  <c:v>148.31135807699755</c:v>
                </c:pt>
                <c:pt idx="18">
                  <c:v>194.98658530673845</c:v>
                </c:pt>
                <c:pt idx="19">
                  <c:v>256.3972079467066</c:v>
                </c:pt>
                <c:pt idx="20">
                  <c:v>337.20858844808714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1.9538064474759482</c:v>
                </c:pt>
                <c:pt idx="2">
                  <c:v>2.5602120152260031</c:v>
                </c:pt>
                <c:pt idx="3">
                  <c:v>3.3556019246704003</c:v>
                </c:pt>
                <c:pt idx="4">
                  <c:v>4.399099903620713</c:v>
                </c:pt>
                <c:pt idx="5">
                  <c:v>5.7683930974406818</c:v>
                </c:pt>
                <c:pt idx="6">
                  <c:v>7.5655799461724511</c:v>
                </c:pt>
                <c:pt idx="7">
                  <c:v>9.9248659108586939</c:v>
                </c:pt>
                <c:pt idx="8">
                  <c:v>13.022692578175928</c:v>
                </c:pt>
                <c:pt idx="9">
                  <c:v>17.09107168129848</c:v>
                </c:pt>
                <c:pt idx="10">
                  <c:v>22.435140810193428</c:v>
                </c:pt>
                <c:pt idx="11">
                  <c:v>29.456280943441726</c:v>
                </c:pt>
                <c:pt idx="12">
                  <c:v>38.682562353936774</c:v>
                </c:pt>
                <c:pt idx="13">
                  <c:v>50.808847834911369</c:v>
                </c:pt>
                <c:pt idx="14">
                  <c:v>66.749624002218198</c:v>
                </c:pt>
                <c:pt idx="15">
                  <c:v>87.708609997864713</c:v>
                </c:pt>
                <c:pt idx="16">
                  <c:v>115.27048395150035</c:v>
                </c:pt>
                <c:pt idx="17">
                  <c:v>151.52177099901712</c:v>
                </c:pt>
                <c:pt idx="18">
                  <c:v>199.2101844800321</c:v>
                </c:pt>
                <c:pt idx="19">
                  <c:v>261.95467840274119</c:v>
                </c:pt>
                <c:pt idx="20">
                  <c:v>344.52238450747836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34" zoomScale="90" zoomScaleNormal="90" workbookViewId="0">
      <selection activeCell="C26" sqref="C2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4.3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112</v>
      </c>
      <c r="C9" s="35">
        <v>0.46</v>
      </c>
      <c r="D9" s="36">
        <f t="shared" ref="D9:D18" si="0">C9*$C$5</f>
        <v>1.978</v>
      </c>
      <c r="E9" s="37">
        <v>20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117</v>
      </c>
      <c r="C10" s="35">
        <v>0.33</v>
      </c>
      <c r="D10" s="36">
        <f t="shared" si="0"/>
        <v>1.419</v>
      </c>
      <c r="E10" s="37">
        <v>20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118</v>
      </c>
      <c r="C11" s="35">
        <v>0.21</v>
      </c>
      <c r="D11" s="36">
        <f t="shared" si="0"/>
        <v>0.90299999999999991</v>
      </c>
      <c r="E11" s="37">
        <v>20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4.3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Peuplier Koster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20</v>
      </c>
      <c r="B36" s="63">
        <v>274.39999999999998</v>
      </c>
      <c r="C36" s="63">
        <v>1</v>
      </c>
      <c r="D36" s="63">
        <v>274.39999999999998</v>
      </c>
      <c r="E36" s="54">
        <v>0.8</v>
      </c>
      <c r="F36" s="54">
        <v>0.2</v>
      </c>
      <c r="G36" s="54"/>
      <c r="H36" s="54"/>
      <c r="I36" s="52">
        <f>IFERROR(B36/A36,"")</f>
        <v>13.719999999999999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/>
      <c r="B37" s="63"/>
      <c r="C37" s="63"/>
      <c r="D37" s="63"/>
      <c r="E37" s="54"/>
      <c r="F37" s="54"/>
      <c r="G37" s="54"/>
      <c r="H37" s="54"/>
      <c r="I37" s="56" t="str">
        <f t="shared" ref="I37:I55" si="1">IF(A37&lt;&gt;0,(B37-(B36-D36))/(A37-A36),"")</f>
        <v/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/>
      <c r="B38" s="63"/>
      <c r="C38" s="63"/>
      <c r="D38" s="63"/>
      <c r="E38" s="54"/>
      <c r="F38" s="54"/>
      <c r="G38" s="54"/>
      <c r="H38" s="54"/>
      <c r="I38" s="56" t="str">
        <f t="shared" si="1"/>
        <v/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/>
      <c r="B39" s="63"/>
      <c r="C39" s="63"/>
      <c r="D39" s="63"/>
      <c r="E39" s="54"/>
      <c r="F39" s="54"/>
      <c r="G39" s="54"/>
      <c r="H39" s="54"/>
      <c r="I39" s="52" t="str">
        <f t="shared" si="1"/>
        <v/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Peuplier Soligo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20</v>
      </c>
      <c r="B62" s="63">
        <v>274.39999999999998</v>
      </c>
      <c r="C62" s="63">
        <v>1</v>
      </c>
      <c r="D62" s="63">
        <v>274.39999999999998</v>
      </c>
      <c r="E62" s="54">
        <v>0.8</v>
      </c>
      <c r="F62" s="54">
        <v>0.2</v>
      </c>
      <c r="G62" s="54"/>
      <c r="H62" s="54"/>
      <c r="I62" s="56">
        <f>IFERROR(B62/A62,"")</f>
        <v>13.719999999999999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Peuplier Taro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20</v>
      </c>
      <c r="B88" s="63">
        <v>274.39999999999998</v>
      </c>
      <c r="C88" s="63">
        <v>1</v>
      </c>
      <c r="D88" s="63">
        <v>274.39999999999998</v>
      </c>
      <c r="E88" s="54">
        <v>0.8</v>
      </c>
      <c r="F88" s="54">
        <v>0.2</v>
      </c>
      <c r="G88" s="54"/>
      <c r="H88" s="93"/>
      <c r="I88" s="56">
        <f>IFERROR(B88/A88,"")</f>
        <v>13.719999999999999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4" sqref="G24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1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Peuplier Koster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>Peuplier Soligo</v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>Peuplier Taro</v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135.66666666666666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117.33333333333333</v>
      </c>
      <c r="S3" s="62">
        <f ca="1">AVERAGE(OFFSET($R$3,0,0,'Données projet'!$E$9+1,1))-AVERAGE(OFFSET($H$3,0,0,'Données projet'!$E$9+1,1))</f>
        <v>76.280749912424909</v>
      </c>
      <c r="T3" s="62">
        <f>IF('Données projet'!E9&gt;30,$R$33-$H$33,LOOKUP('Données projet'!$E$9,$A$3:$A$203,R3:R203)-LOOKUP('Données projet'!$E$9,$A$3:$A$203,$H$3:$H$203))</f>
        <v>353.34276014239026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117.33333333333333</v>
      </c>
      <c r="AN3" s="62">
        <f ca="1">AVERAGE(OFFSET($AM$3,0,0,'Données projet'!$E$10+1,1))-AVERAGE(OFFSET($H$3,0,0,'Données projet'!$E$10+1,1))</f>
        <v>82.437379371146534</v>
      </c>
      <c r="AO3" s="62">
        <f>IF('Données projet'!E10&gt;30,$AM$33-$H$33,LOOKUP('Données projet'!$E$10,$A$3:$A$203,AM3:AM203)-LOOKUP('Données projet'!$E$10,$A$3:$A$203,$H$3:$H$203))</f>
        <v>384.46649239172427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117.33333333333333</v>
      </c>
      <c r="BI3" s="62">
        <f ca="1">AVERAGE(OFFSET($BH$3,0,0,'Données projet'!$E$11+1,1))-AVERAGE(OFFSET($H$3,0,0,'Données projet'!$E$11+1,1))</f>
        <v>83.883967208992033</v>
      </c>
      <c r="BJ3" s="62">
        <f>IF('Données projet'!E11&gt;30,$BH$33-$H$33,LOOKUP('Données projet'!$E$11,$A$3:$A$203,BH3:BH203)-LOOKUP('Données projet'!$E$11,$A$3:$A$203,$H$3:$H$203))</f>
        <v>391.78028845111544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135.66666666666666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13.719999999999999</v>
      </c>
      <c r="N4" s="14">
        <f>IF('Données projet'!$A$36&gt;35,N3+M4-V3,IF(A4&lt;'Données projet'!$A$36,$K$205^A4,IF(A4='Données projet'!$A$36,'Données projet'!$B$36,N3+M4-V3)))</f>
        <v>1.3240951821769202</v>
      </c>
      <c r="O4" s="14">
        <f>N4*VLOOKUP('Données projet'!$B$9,Paramètres!$A$1:$I$89,3,0)*VLOOKUP('Données projet'!$B$9,Paramètres!$A$1:$I$89,5,0)</f>
        <v>0.67338184584789462</v>
      </c>
      <c r="P4" s="14">
        <f>EXP(-1.0587+0.8836*LN(O4)+0.284)</f>
        <v>0.32494049763717942</v>
      </c>
      <c r="Q4" s="22">
        <f t="shared" ref="Q4:Q34" si="2">(O4+P4)*0.475*44/12</f>
        <v>1.7387447482365042</v>
      </c>
      <c r="R4" s="62">
        <f t="shared" si="0"/>
        <v>122.71142213445853</v>
      </c>
      <c r="S4" s="62">
        <f ca="1">AVERAGE(OFFSET($R$3,0,0,'Données projet'!$E$9+1,1))-AVERAGE(OFFSET($H$3,0,0,'Données projet'!$E$9+1,1))</f>
        <v>76.280749912424909</v>
      </c>
      <c r="T4" s="62">
        <f>$T$3</f>
        <v>353.34276014239026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13.719999999999999</v>
      </c>
      <c r="AI4" s="14">
        <f>IF('Données projet'!$A$62&gt;35,AI3+AH4-AQ3,IF(A4&lt;'Données projet'!$A$62,$AF$205^A4,IF(A4='Données projet'!$A$62,'Données projet'!$B$62,AI3+AH4-AQ3)))</f>
        <v>1.3240951821769202</v>
      </c>
      <c r="AJ4" s="14">
        <f>AI4*VLOOKUP('Données projet'!$B$10,Paramètres!$A$1:$I$89,3,0)*VLOOKUP('Données projet'!$B$10,Paramètres!$A$1:$I$89,5,0)</f>
        <v>0.74361185431055832</v>
      </c>
      <c r="AK4" s="14">
        <f>EXP(-1.0587+0.8836*LN(AJ4)+0.284)</f>
        <v>0.35471018557262812</v>
      </c>
      <c r="AL4" s="22">
        <f t="shared" ref="AL4:AL67" si="4">(AJ4+AK4)*0.475*44/12</f>
        <v>1.9129108861298834</v>
      </c>
      <c r="AM4" s="62">
        <f t="shared" ref="AM4:AM67" si="5">AL4+(AD4+AE4)*44/12</f>
        <v>122.88558827235191</v>
      </c>
      <c r="AN4" s="62">
        <f ca="1">AVERAGE(OFFSET($AM$3,0,0,'Données projet'!$E$10+1,1))-AVERAGE(OFFSET($H$3,0,0,'Données projet'!$E$10+1,1))</f>
        <v>82.437379371146534</v>
      </c>
      <c r="AO4" s="62">
        <f>$AO$3</f>
        <v>384.46649239172427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13.719999999999999</v>
      </c>
      <c r="BD4" s="13">
        <f>IF('Données projet'!$A$88&gt;35,BD3+BC4-BL3,IF(A4&lt;'Données projet'!$A$88,$BA$205^A4,IF(A4='Données projet'!$A$88,'Données projet'!$B$88,BD3+BC4-BL3)))</f>
        <v>1.3240951821769202</v>
      </c>
      <c r="BE4" s="14">
        <f>BD4*VLOOKUP('Données projet'!$B$11,Paramètres!$A$1:$I$89,3,0)*VLOOKUP('Données projet'!$B$11,Paramètres!$A$1:$I$89,5,0)</f>
        <v>0.7601365621841264</v>
      </c>
      <c r="BF4" s="14">
        <f>EXP(-1.0587+0.8836*LN(BE4)+0.284)</f>
        <v>0.36166618277814089</v>
      </c>
      <c r="BG4" s="22">
        <f t="shared" ref="BG4:BG67" si="7">(BE4+BF4)*0.475*44/12</f>
        <v>1.9538064474759482</v>
      </c>
      <c r="BH4" s="62">
        <f t="shared" ref="BH4:BH67" si="8">BG4+(AY4+AZ4)*44/12</f>
        <v>122.92648383369799</v>
      </c>
      <c r="BI4" s="62">
        <f ca="1">AVERAGE(OFFSET($BH$3,0,0,'Données projet'!$E$11+1,1))-AVERAGE(OFFSET($H$3,0,0,'Données projet'!$E$11+1,1))</f>
        <v>83.883967208992033</v>
      </c>
      <c r="BJ4" s="62">
        <f>$BJ$3</f>
        <v>391.78028845111544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135.66666666666666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13.719999999999999</v>
      </c>
      <c r="N5" s="14">
        <f>IF('Données projet'!$A$36&gt;35,N4+M5-V4,IF(A5&lt;'Données projet'!$A$36,$K$205^A5,IF(A5='Données projet'!$A$36,'Données projet'!$B$36,N4+M5-V4)))</f>
        <v>1.7532280514641316</v>
      </c>
      <c r="O5" s="14">
        <f>N5*VLOOKUP('Données projet'!$B$9,Paramètres!$A$1:$I$89,3,0)*VLOOKUP('Données projet'!$B$9,Paramètres!$A$1:$I$89,5,0)</f>
        <v>0.89162165785259895</v>
      </c>
      <c r="P5" s="14">
        <f t="shared" ref="P5:P68" si="33">EXP(-1.0587+0.8836*LN(O5)+0.284)</f>
        <v>0.41642006833709599</v>
      </c>
      <c r="Q5" s="22">
        <f t="shared" si="2"/>
        <v>2.2781726731137182</v>
      </c>
      <c r="R5" s="62">
        <f t="shared" si="0"/>
        <v>126.84826245233724</v>
      </c>
      <c r="S5" s="62">
        <f ca="1">AVERAGE(OFFSET($R$3,0,0,'Données projet'!$E$9+1,1))-AVERAGE(OFFSET($H$3,0,0,'Données projet'!$E$9+1,1))</f>
        <v>76.280749912424909</v>
      </c>
      <c r="T5" s="62">
        <f t="shared" ref="T5:T68" si="34">$T$3</f>
        <v>353.34276014239026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13.719999999999999</v>
      </c>
      <c r="AI5" s="14">
        <f>IF('Données projet'!$A$62&gt;35,AI4+AH5-AQ4,IF(A5&lt;'Données projet'!$A$62,$AF$205^A5,IF(A5='Données projet'!$A$62,'Données projet'!$B$62,AI4+AH5-AQ4)))</f>
        <v>1.7532280514641316</v>
      </c>
      <c r="AJ5" s="14">
        <f>AI5*VLOOKUP('Données projet'!$B$10,Paramètres!$A$1:$I$89,3,0)*VLOOKUP('Données projet'!$B$10,Paramètres!$A$1:$I$89,5,0)</f>
        <v>0.98461287370225636</v>
      </c>
      <c r="AK5" s="14">
        <f t="shared" ref="AK5:AK68" si="35">EXP(-1.0587+0.8836*LN(AJ5)+0.284)</f>
        <v>0.45457073153419436</v>
      </c>
      <c r="AL5" s="22">
        <f t="shared" si="4"/>
        <v>2.5065781124534845</v>
      </c>
      <c r="AM5" s="62">
        <f t="shared" si="5"/>
        <v>127.076667891677</v>
      </c>
      <c r="AN5" s="62">
        <f ca="1">AVERAGE(OFFSET($AM$3,0,0,'Données projet'!$E$10+1,1))-AVERAGE(OFFSET($H$3,0,0,'Données projet'!$E$10+1,1))</f>
        <v>82.437379371146534</v>
      </c>
      <c r="AO5" s="62">
        <f t="shared" ref="AO5:AO68" si="36">$AO$3</f>
        <v>384.46649239172427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13.719999999999999</v>
      </c>
      <c r="BD5" s="13">
        <f>IF('Données projet'!$A$88&gt;35,BD4+BC5-BL4,IF(A5&lt;'Données projet'!$A$88,$BA$205^A5,IF(A5='Données projet'!$A$88,'Données projet'!$B$88,BD4+BC5-BL4)))</f>
        <v>1.7532280514641316</v>
      </c>
      <c r="BE5" s="14">
        <f>BD5*VLOOKUP('Données projet'!$B$11,Paramètres!$A$1:$I$89,3,0)*VLOOKUP('Données projet'!$B$11,Paramètres!$A$1:$I$89,5,0)</f>
        <v>1.0064931597845288</v>
      </c>
      <c r="BF5" s="14">
        <f t="shared" ref="BF5:BF68" si="37">EXP(-1.0587+0.8836*LN(BE5)+0.284)</f>
        <v>0.46348503077585607</v>
      </c>
      <c r="BG5" s="22">
        <f t="shared" si="7"/>
        <v>2.5602120152260031</v>
      </c>
      <c r="BH5" s="62">
        <f t="shared" si="8"/>
        <v>127.13030179444952</v>
      </c>
      <c r="BI5" s="62">
        <f ca="1">AVERAGE(OFFSET($BH$3,0,0,'Données projet'!$E$11+1,1))-AVERAGE(OFFSET($H$3,0,0,'Données projet'!$E$11+1,1))</f>
        <v>83.883967208992033</v>
      </c>
      <c r="BJ5" s="62">
        <f t="shared" ref="BJ5:BJ68" si="38">$BJ$3</f>
        <v>391.78028845111544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135.66666666666666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13.719999999999999</v>
      </c>
      <c r="N6" s="14">
        <f>IF('Données projet'!$A$36&gt;35,N5+M6-V5,IF(A6&lt;'Données projet'!$A$36,$K$205^A6,IF(A6='Données projet'!$A$36,'Données projet'!$B$36,N5+M6-V5)))</f>
        <v>2.3214408162010862</v>
      </c>
      <c r="O6" s="14">
        <f>N6*VLOOKUP('Données projet'!$B$9,Paramètres!$A$1:$I$89,3,0)*VLOOKUP('Données projet'!$B$9,Paramètres!$A$1:$I$89,5,0)</f>
        <v>1.1805919414872246</v>
      </c>
      <c r="P6" s="14">
        <f t="shared" si="33"/>
        <v>0.53365362143161421</v>
      </c>
      <c r="Q6" s="22">
        <f t="shared" si="2"/>
        <v>2.9856443554169769</v>
      </c>
      <c r="R6" s="62">
        <f t="shared" si="0"/>
        <v>131.11194228830868</v>
      </c>
      <c r="S6" s="62">
        <f ca="1">AVERAGE(OFFSET($R$3,0,0,'Données projet'!$E$9+1,1))-AVERAGE(OFFSET($H$3,0,0,'Données projet'!$E$9+1,1))</f>
        <v>76.280749912424909</v>
      </c>
      <c r="T6" s="62">
        <f t="shared" si="34"/>
        <v>353.34276014239026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13.719999999999999</v>
      </c>
      <c r="AI6" s="14">
        <f>IF('Données projet'!$A$62&gt;35,AI5+AH6-AQ5,IF(A6&lt;'Données projet'!$A$62,$AF$205^A6,IF(A6='Données projet'!$A$62,'Données projet'!$B$62,AI5+AH6-AQ5)))</f>
        <v>2.3214408162010862</v>
      </c>
      <c r="AJ6" s="14">
        <f>AI6*VLOOKUP('Données projet'!$B$10,Paramètres!$A$1:$I$89,3,0)*VLOOKUP('Données projet'!$B$10,Paramètres!$A$1:$I$89,5,0)</f>
        <v>1.3037211623785301</v>
      </c>
      <c r="AK6" s="14">
        <f t="shared" si="35"/>
        <v>0.58254473193080458</v>
      </c>
      <c r="AL6" s="22">
        <f t="shared" si="4"/>
        <v>3.285246432588758</v>
      </c>
      <c r="AM6" s="62">
        <f t="shared" si="5"/>
        <v>131.41154436548047</v>
      </c>
      <c r="AN6" s="62">
        <f ca="1">AVERAGE(OFFSET($AM$3,0,0,'Données projet'!$E$10+1,1))-AVERAGE(OFFSET($H$3,0,0,'Données projet'!$E$10+1,1))</f>
        <v>82.437379371146534</v>
      </c>
      <c r="AO6" s="62">
        <f t="shared" si="36"/>
        <v>384.46649239172427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13.719999999999999</v>
      </c>
      <c r="BD6" s="13">
        <f>IF('Données projet'!$A$88&gt;35,BD5+BC6-BL5,IF(A6&lt;'Données projet'!$A$88,$BA$205^A6,IF(A6='Données projet'!$A$88,'Données projet'!$B$88,BD5+BC6-BL5)))</f>
        <v>2.3214408162010862</v>
      </c>
      <c r="BE6" s="14">
        <f>BD6*VLOOKUP('Données projet'!$B$11,Paramètres!$A$1:$I$89,3,0)*VLOOKUP('Données projet'!$B$11,Paramètres!$A$1:$I$89,5,0)</f>
        <v>1.3326927437647196</v>
      </c>
      <c r="BF6" s="14">
        <f t="shared" si="37"/>
        <v>0.59396864839053409</v>
      </c>
      <c r="BG6" s="22">
        <f t="shared" si="7"/>
        <v>3.3556019246704003</v>
      </c>
      <c r="BH6" s="62">
        <f t="shared" si="8"/>
        <v>131.4818998575621</v>
      </c>
      <c r="BI6" s="62">
        <f ca="1">AVERAGE(OFFSET($BH$3,0,0,'Données projet'!$E$11+1,1))-AVERAGE(OFFSET($H$3,0,0,'Données projet'!$E$11+1,1))</f>
        <v>83.883967208992033</v>
      </c>
      <c r="BJ6" s="62">
        <f t="shared" si="38"/>
        <v>391.78028845111544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135.66666666666666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13.719999999999999</v>
      </c>
      <c r="N7" s="14">
        <f>IF('Données projet'!$A$36&gt;35,N6+M7-V6,IF(A7&lt;'Données projet'!$A$36,$K$205^A7,IF(A7='Données projet'!$A$36,'Données projet'!$B$36,N6+M7-V6)))</f>
        <v>3.0738086004407159</v>
      </c>
      <c r="O7" s="14">
        <f>N7*VLOOKUP('Données projet'!$B$9,Paramètres!$A$1:$I$89,3,0)*VLOOKUP('Données projet'!$B$9,Paramètres!$A$1:$I$89,5,0)</f>
        <v>1.5632161018401305</v>
      </c>
      <c r="P7" s="14">
        <f t="shared" si="33"/>
        <v>0.68389160206500788</v>
      </c>
      <c r="Q7" s="22">
        <f t="shared" si="2"/>
        <v>3.9137125843014489</v>
      </c>
      <c r="R7" s="62">
        <f t="shared" si="0"/>
        <v>135.55572923296154</v>
      </c>
      <c r="S7" s="62">
        <f ca="1">AVERAGE(OFFSET($R$3,0,0,'Données projet'!$E$9+1,1))-AVERAGE(OFFSET($H$3,0,0,'Données projet'!$E$9+1,1))</f>
        <v>76.280749912424909</v>
      </c>
      <c r="T7" s="62">
        <f t="shared" si="34"/>
        <v>353.34276014239026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13.719999999999999</v>
      </c>
      <c r="AI7" s="14">
        <f>IF('Données projet'!$A$62&gt;35,AI6+AH7-AQ6,IF(A7&lt;'Données projet'!$A$62,$AF$205^A7,IF(A7='Données projet'!$A$62,'Données projet'!$B$62,AI6+AH7-AQ6)))</f>
        <v>3.0738086004407159</v>
      </c>
      <c r="AJ7" s="14">
        <f>AI7*VLOOKUP('Données projet'!$B$10,Paramètres!$A$1:$I$89,3,0)*VLOOKUP('Données projet'!$B$10,Paramètres!$A$1:$I$89,5,0)</f>
        <v>1.7262509100075061</v>
      </c>
      <c r="AK7" s="14">
        <f t="shared" si="35"/>
        <v>0.74654688733474983</v>
      </c>
      <c r="AL7" s="22">
        <f t="shared" si="4"/>
        <v>4.3067894970377631</v>
      </c>
      <c r="AM7" s="62">
        <f t="shared" si="5"/>
        <v>135.94880614569786</v>
      </c>
      <c r="AN7" s="62">
        <f ca="1">AVERAGE(OFFSET($AM$3,0,0,'Données projet'!$E$10+1,1))-AVERAGE(OFFSET($H$3,0,0,'Données projet'!$E$10+1,1))</f>
        <v>82.437379371146534</v>
      </c>
      <c r="AO7" s="62">
        <f t="shared" si="36"/>
        <v>384.46649239172427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13.719999999999999</v>
      </c>
      <c r="BD7" s="13">
        <f>IF('Données projet'!$A$88&gt;35,BD6+BC7-BL6,IF(A7&lt;'Données projet'!$A$88,$BA$205^A7,IF(A7='Données projet'!$A$88,'Données projet'!$B$88,BD6+BC7-BL6)))</f>
        <v>3.0738086004407159</v>
      </c>
      <c r="BE7" s="14">
        <f>BD7*VLOOKUP('Données projet'!$B$11,Paramètres!$A$1:$I$89,3,0)*VLOOKUP('Données projet'!$B$11,Paramètres!$A$1:$I$89,5,0)</f>
        <v>1.764612041341006</v>
      </c>
      <c r="BF7" s="14">
        <f t="shared" si="37"/>
        <v>0.76118694638380546</v>
      </c>
      <c r="BG7" s="22">
        <f t="shared" si="7"/>
        <v>4.399099903620713</v>
      </c>
      <c r="BH7" s="62">
        <f t="shared" si="8"/>
        <v>136.04111655228081</v>
      </c>
      <c r="BI7" s="62">
        <f ca="1">AVERAGE(OFFSET($BH$3,0,0,'Données projet'!$E$11+1,1))-AVERAGE(OFFSET($H$3,0,0,'Données projet'!$E$11+1,1))</f>
        <v>83.883967208992033</v>
      </c>
      <c r="BJ7" s="62">
        <f t="shared" si="38"/>
        <v>391.78028845111544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135.66666666666666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13.719999999999999</v>
      </c>
      <c r="N8" s="14">
        <f>IF('Données projet'!$A$36&gt;35,N7+M8-V7,IF(A8&lt;'Données projet'!$A$36,$K$205^A8,IF(A8='Données projet'!$A$36,'Données projet'!$B$36,N7+M8-V7)))</f>
        <v>4.0700151587775339</v>
      </c>
      <c r="O8" s="14">
        <f>N8*VLOOKUP('Données projet'!$B$9,Paramètres!$A$1:$I$89,3,0)*VLOOKUP('Données projet'!$B$9,Paramètres!$A$1:$I$89,5,0)</f>
        <v>2.0698469091479028</v>
      </c>
      <c r="P8" s="14">
        <f t="shared" si="33"/>
        <v>0.87642565250534554</v>
      </c>
      <c r="Q8" s="22">
        <f t="shared" si="2"/>
        <v>5.1314247115460745</v>
      </c>
      <c r="R8" s="62">
        <f t="shared" si="0"/>
        <v>140.24937303930159</v>
      </c>
      <c r="S8" s="62">
        <f ca="1">AVERAGE(OFFSET($R$3,0,0,'Données projet'!$E$9+1,1))-AVERAGE(OFFSET($H$3,0,0,'Données projet'!$E$9+1,1))</f>
        <v>76.280749912424909</v>
      </c>
      <c r="T8" s="62">
        <f t="shared" si="34"/>
        <v>353.34276014239026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13.719999999999999</v>
      </c>
      <c r="AI8" s="14">
        <f>IF('Données projet'!$A$62&gt;35,AI7+AH8-AQ7,IF(A8&lt;'Données projet'!$A$62,$AF$205^A8,IF(A8='Données projet'!$A$62,'Données projet'!$B$62,AI7+AH8-AQ7)))</f>
        <v>4.0700151587775339</v>
      </c>
      <c r="AJ8" s="14">
        <f>AI8*VLOOKUP('Données projet'!$B$10,Paramètres!$A$1:$I$89,3,0)*VLOOKUP('Données projet'!$B$10,Paramètres!$A$1:$I$89,5,0)</f>
        <v>2.2857205131694633</v>
      </c>
      <c r="AK8" s="14">
        <f t="shared" si="35"/>
        <v>0.95672010137653141</v>
      </c>
      <c r="AL8" s="22">
        <f t="shared" si="4"/>
        <v>5.6472507370009408</v>
      </c>
      <c r="AM8" s="62">
        <f t="shared" si="5"/>
        <v>140.76519906475644</v>
      </c>
      <c r="AN8" s="62">
        <f ca="1">AVERAGE(OFFSET($AM$3,0,0,'Données projet'!$E$10+1,1))-AVERAGE(OFFSET($H$3,0,0,'Données projet'!$E$10+1,1))</f>
        <v>82.437379371146534</v>
      </c>
      <c r="AO8" s="62">
        <f t="shared" si="36"/>
        <v>384.46649239172427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13.719999999999999</v>
      </c>
      <c r="BD8" s="13">
        <f>IF('Données projet'!$A$88&gt;35,BD7+BC8-BL7,IF(A8&lt;'Données projet'!$A$88,$BA$205^A8,IF(A8='Données projet'!$A$88,'Données projet'!$B$88,BD7+BC8-BL7)))</f>
        <v>4.0700151587775339</v>
      </c>
      <c r="BE8" s="14">
        <f>BD8*VLOOKUP('Données projet'!$B$11,Paramètres!$A$1:$I$89,3,0)*VLOOKUP('Données projet'!$B$11,Paramètres!$A$1:$I$89,5,0)</f>
        <v>2.3365143023510067</v>
      </c>
      <c r="BF8" s="14">
        <f t="shared" si="37"/>
        <v>0.97548173445704056</v>
      </c>
      <c r="BG8" s="22">
        <f t="shared" si="7"/>
        <v>5.7683930974406818</v>
      </c>
      <c r="BH8" s="62">
        <f t="shared" si="8"/>
        <v>140.88634142519618</v>
      </c>
      <c r="BI8" s="62">
        <f ca="1">AVERAGE(OFFSET($BH$3,0,0,'Données projet'!$E$11+1,1))-AVERAGE(OFFSET($H$3,0,0,'Données projet'!$E$11+1,1))</f>
        <v>83.883967208992033</v>
      </c>
      <c r="BJ8" s="62">
        <f t="shared" si="38"/>
        <v>391.78028845111544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135.66666666666666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13.719999999999999</v>
      </c>
      <c r="N9" s="14">
        <f>IF('Données projet'!$A$36&gt;35,N8+M9-V8,IF(A9&lt;'Données projet'!$A$36,$K$205^A9,IF(A9='Données projet'!$A$36,'Données projet'!$B$36,N8+M9-V8)))</f>
        <v>5.3890874631243655</v>
      </c>
      <c r="O9" s="14">
        <f>N9*VLOOKUP('Données projet'!$B$9,Paramètres!$A$1:$I$89,3,0)*VLOOKUP('Données projet'!$B$9,Paramètres!$A$1:$I$89,5,0)</f>
        <v>2.7406743202465274</v>
      </c>
      <c r="P9" s="14">
        <f t="shared" si="33"/>
        <v>1.1231632645437954</v>
      </c>
      <c r="Q9" s="22">
        <f t="shared" si="2"/>
        <v>6.7295171268431453</v>
      </c>
      <c r="R9" s="62">
        <f t="shared" si="0"/>
        <v>145.28430031315682</v>
      </c>
      <c r="S9" s="62">
        <f ca="1">AVERAGE(OFFSET($R$3,0,0,'Données projet'!$E$9+1,1))-AVERAGE(OFFSET($H$3,0,0,'Données projet'!$E$9+1,1))</f>
        <v>76.280749912424909</v>
      </c>
      <c r="T9" s="62">
        <f t="shared" si="34"/>
        <v>353.34276014239026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13.719999999999999</v>
      </c>
      <c r="AI9" s="14">
        <f>IF('Données projet'!$A$62&gt;35,AI8+AH9-AQ8,IF(A9&lt;'Données projet'!$A$62,$AF$205^A9,IF(A9='Données projet'!$A$62,'Données projet'!$B$62,AI8+AH9-AQ8)))</f>
        <v>5.3890874631243655</v>
      </c>
      <c r="AJ9" s="14">
        <f>AI9*VLOOKUP('Données projet'!$B$10,Paramètres!$A$1:$I$89,3,0)*VLOOKUP('Données projet'!$B$10,Paramètres!$A$1:$I$89,5,0)</f>
        <v>3.0265115192906435</v>
      </c>
      <c r="AK9" s="14">
        <f t="shared" si="35"/>
        <v>1.2260627803910407</v>
      </c>
      <c r="AL9" s="22">
        <f t="shared" si="4"/>
        <v>7.4065669052789334</v>
      </c>
      <c r="AM9" s="62">
        <f t="shared" si="5"/>
        <v>145.96135009159261</v>
      </c>
      <c r="AN9" s="62">
        <f ca="1">AVERAGE(OFFSET($AM$3,0,0,'Données projet'!$E$10+1,1))-AVERAGE(OFFSET($H$3,0,0,'Données projet'!$E$10+1,1))</f>
        <v>82.437379371146534</v>
      </c>
      <c r="AO9" s="62">
        <f t="shared" si="36"/>
        <v>384.46649239172427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13.719999999999999</v>
      </c>
      <c r="BD9" s="13">
        <f>IF('Données projet'!$A$88&gt;35,BD8+BC9-BL8,IF(A9&lt;'Données projet'!$A$88,$BA$205^A9,IF(A9='Données projet'!$A$88,'Données projet'!$B$88,BD8+BC9-BL8)))</f>
        <v>5.3890874631243655</v>
      </c>
      <c r="BE9" s="14">
        <f>BD9*VLOOKUP('Données projet'!$B$11,Paramètres!$A$1:$I$89,3,0)*VLOOKUP('Données projet'!$B$11,Paramètres!$A$1:$I$89,5,0)</f>
        <v>3.0937673308304361</v>
      </c>
      <c r="BF9" s="14">
        <f t="shared" si="37"/>
        <v>1.2501063224743199</v>
      </c>
      <c r="BG9" s="22">
        <f t="shared" si="7"/>
        <v>7.5655799461724511</v>
      </c>
      <c r="BH9" s="62">
        <f t="shared" si="8"/>
        <v>146.12036313248612</v>
      </c>
      <c r="BI9" s="62">
        <f ca="1">AVERAGE(OFFSET($BH$3,0,0,'Données projet'!$E$11+1,1))-AVERAGE(OFFSET($H$3,0,0,'Données projet'!$E$11+1,1))</f>
        <v>83.883967208992033</v>
      </c>
      <c r="BJ9" s="62">
        <f t="shared" si="38"/>
        <v>391.78028845111544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135.66666666666666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13.719999999999999</v>
      </c>
      <c r="N10" s="14">
        <f>IF('Données projet'!$A$36&gt;35,N9+M10-V9,IF(A10&lt;'Données projet'!$A$36,$K$205^A10,IF(A10='Données projet'!$A$36,'Données projet'!$B$36,N9+M10-V9)))</f>
        <v>7.1356647462530143</v>
      </c>
      <c r="O10" s="14">
        <f>N10*VLOOKUP('Données projet'!$B$9,Paramètres!$A$1:$I$89,3,0)*VLOOKUP('Données projet'!$B$9,Paramètres!$A$1:$I$89,5,0)</f>
        <v>3.628913663354433</v>
      </c>
      <c r="P10" s="14">
        <f t="shared" si="33"/>
        <v>1.4393642121434618</v>
      </c>
      <c r="Q10" s="22">
        <f t="shared" si="2"/>
        <v>8.8272506331588332</v>
      </c>
      <c r="R10" s="62">
        <f t="shared" si="0"/>
        <v>150.78045009992235</v>
      </c>
      <c r="S10" s="62">
        <f ca="1">AVERAGE(OFFSET($R$3,0,0,'Données projet'!$E$9+1,1))-AVERAGE(OFFSET($H$3,0,0,'Données projet'!$E$9+1,1))</f>
        <v>76.280749912424909</v>
      </c>
      <c r="T10" s="62">
        <f t="shared" si="34"/>
        <v>353.34276014239026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13.719999999999999</v>
      </c>
      <c r="AI10" s="14">
        <f>IF('Données projet'!$A$62&gt;35,AI9+AH10-AQ9,IF(A10&lt;'Données projet'!$A$62,$AF$205^A10,IF(A10='Données projet'!$A$62,'Données projet'!$B$62,AI9+AH10-AQ9)))</f>
        <v>7.1356647462530143</v>
      </c>
      <c r="AJ10" s="14">
        <f>AI10*VLOOKUP('Données projet'!$B$10,Paramètres!$A$1:$I$89,3,0)*VLOOKUP('Données projet'!$B$10,Paramètres!$A$1:$I$89,5,0)</f>
        <v>4.007389321495693</v>
      </c>
      <c r="AK10" s="14">
        <f t="shared" si="35"/>
        <v>1.5712327349423916</v>
      </c>
      <c r="AL10" s="22">
        <f t="shared" si="4"/>
        <v>9.7161000816296639</v>
      </c>
      <c r="AM10" s="62">
        <f t="shared" si="5"/>
        <v>151.66929954839318</v>
      </c>
      <c r="AN10" s="62">
        <f ca="1">AVERAGE(OFFSET($AM$3,0,0,'Données projet'!$E$10+1,1))-AVERAGE(OFFSET($H$3,0,0,'Données projet'!$E$10+1,1))</f>
        <v>82.437379371146534</v>
      </c>
      <c r="AO10" s="62">
        <f t="shared" si="36"/>
        <v>384.46649239172427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13.719999999999999</v>
      </c>
      <c r="BD10" s="13">
        <f>IF('Données projet'!$A$88&gt;35,BD9+BC10-BL9,IF(A10&lt;'Données projet'!$A$88,$BA$205^A10,IF(A10='Données projet'!$A$88,'Données projet'!$B$88,BD9+BC10-BL9)))</f>
        <v>7.1356647462530143</v>
      </c>
      <c r="BE10" s="14">
        <f>BD10*VLOOKUP('Données projet'!$B$11,Paramètres!$A$1:$I$89,3,0)*VLOOKUP('Données projet'!$B$11,Paramètres!$A$1:$I$89,5,0)</f>
        <v>4.0964424175289302</v>
      </c>
      <c r="BF10" s="14">
        <f t="shared" si="37"/>
        <v>1.6020451867918506</v>
      </c>
      <c r="BG10" s="22">
        <f t="shared" si="7"/>
        <v>9.9248659108586939</v>
      </c>
      <c r="BH10" s="62">
        <f t="shared" si="8"/>
        <v>151.87806537762222</v>
      </c>
      <c r="BI10" s="62">
        <f ca="1">AVERAGE(OFFSET($BH$3,0,0,'Données projet'!$E$11+1,1))-AVERAGE(OFFSET($H$3,0,0,'Données projet'!$E$11+1,1))</f>
        <v>83.883967208992033</v>
      </c>
      <c r="BJ10" s="62">
        <f t="shared" si="38"/>
        <v>391.78028845111544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135.66666666666666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13.719999999999999</v>
      </c>
      <c r="N11" s="14">
        <f>IF('Données projet'!$A$36&gt;35,N10+M11-V10,IF(A11&lt;'Données projet'!$A$36,$K$205^A11,IF(A11='Données projet'!$A$36,'Données projet'!$B$36,N10+M11-V10)))</f>
        <v>9.4482993121433125</v>
      </c>
      <c r="O11" s="14">
        <f>N11*VLOOKUP('Données projet'!$B$9,Paramètres!$A$1:$I$89,3,0)*VLOOKUP('Données projet'!$B$9,Paramètres!$A$1:$I$89,5,0)</f>
        <v>4.8050270981836034</v>
      </c>
      <c r="P11" s="14">
        <f t="shared" si="33"/>
        <v>1.8445843098695685</v>
      </c>
      <c r="Q11" s="22">
        <f t="shared" si="2"/>
        <v>11.581406535692608</v>
      </c>
      <c r="R11" s="62">
        <f t="shared" si="0"/>
        <v>156.89527018123675</v>
      </c>
      <c r="S11" s="62">
        <f ca="1">AVERAGE(OFFSET($R$3,0,0,'Données projet'!$E$9+1,1))-AVERAGE(OFFSET($H$3,0,0,'Données projet'!$E$9+1,1))</f>
        <v>76.280749912424909</v>
      </c>
      <c r="T11" s="62">
        <f t="shared" si="34"/>
        <v>353.34276014239026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13.719999999999999</v>
      </c>
      <c r="AI11" s="14">
        <f>IF('Données projet'!$A$62&gt;35,AI10+AH11-AQ10,IF(A11&lt;'Données projet'!$A$62,$AF$205^A11,IF(A11='Données projet'!$A$62,'Données projet'!$B$62,AI10+AH11-AQ10)))</f>
        <v>9.4482993121433125</v>
      </c>
      <c r="AJ11" s="14">
        <f>AI11*VLOOKUP('Données projet'!$B$10,Paramètres!$A$1:$I$89,3,0)*VLOOKUP('Données projet'!$B$10,Paramètres!$A$1:$I$89,5,0)</f>
        <v>5.3061648936996839</v>
      </c>
      <c r="AK11" s="14">
        <f t="shared" si="35"/>
        <v>2.0135774014501573</v>
      </c>
      <c r="AL11" s="22">
        <f t="shared" si="4"/>
        <v>12.748551164052641</v>
      </c>
      <c r="AM11" s="62">
        <f t="shared" si="5"/>
        <v>158.06241480959679</v>
      </c>
      <c r="AN11" s="62">
        <f ca="1">AVERAGE(OFFSET($AM$3,0,0,'Données projet'!$E$10+1,1))-AVERAGE(OFFSET($H$3,0,0,'Données projet'!$E$10+1,1))</f>
        <v>82.437379371146534</v>
      </c>
      <c r="AO11" s="62">
        <f t="shared" si="36"/>
        <v>384.46649239172427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13.719999999999999</v>
      </c>
      <c r="BD11" s="13">
        <f>IF('Données projet'!$A$88&gt;35,BD10+BC11-BL10,IF(A11&lt;'Données projet'!$A$88,$BA$205^A11,IF(A11='Données projet'!$A$88,'Données projet'!$B$88,BD10+BC11-BL10)))</f>
        <v>9.4482993121433125</v>
      </c>
      <c r="BE11" s="14">
        <f>BD11*VLOOKUP('Données projet'!$B$11,Paramètres!$A$1:$I$89,3,0)*VLOOKUP('Données projet'!$B$11,Paramètres!$A$1:$I$89,5,0)</f>
        <v>5.4240796691152324</v>
      </c>
      <c r="BF11" s="14">
        <f t="shared" si="37"/>
        <v>2.0530643949092244</v>
      </c>
      <c r="BG11" s="22">
        <f t="shared" si="7"/>
        <v>13.022692578175928</v>
      </c>
      <c r="BH11" s="62">
        <f t="shared" si="8"/>
        <v>158.33655622372009</v>
      </c>
      <c r="BI11" s="62">
        <f ca="1">AVERAGE(OFFSET($BH$3,0,0,'Données projet'!$E$11+1,1))-AVERAGE(OFFSET($H$3,0,0,'Données projet'!$E$11+1,1))</f>
        <v>83.883967208992033</v>
      </c>
      <c r="BJ11" s="62">
        <f t="shared" si="38"/>
        <v>391.78028845111544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135.66666666666666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13.719999999999999</v>
      </c>
      <c r="N12" s="14">
        <f>IF('Données projet'!$A$36&gt;35,N11+M12-V11,IF(A12&lt;'Données projet'!$A$36,$K$205^A12,IF(A12='Données projet'!$A$36,'Données projet'!$B$36,N11+M12-V11)))</f>
        <v>12.510447598974469</v>
      </c>
      <c r="O12" s="14">
        <f>N12*VLOOKUP('Données projet'!$B$9,Paramètres!$A$1:$I$89,3,0)*VLOOKUP('Données projet'!$B$9,Paramètres!$A$1:$I$89,5,0)</f>
        <v>6.3623132309344559</v>
      </c>
      <c r="P12" s="14">
        <f t="shared" si="33"/>
        <v>2.3638848649363697</v>
      </c>
      <c r="Q12" s="22">
        <f t="shared" si="2"/>
        <v>15.198128350308357</v>
      </c>
      <c r="R12" s="62">
        <f t="shared" si="0"/>
        <v>163.83555898752687</v>
      </c>
      <c r="S12" s="62">
        <f ca="1">AVERAGE(OFFSET($R$3,0,0,'Données projet'!$E$9+1,1))-AVERAGE(OFFSET($H$3,0,0,'Données projet'!$E$9+1,1))</f>
        <v>76.280749912424909</v>
      </c>
      <c r="T12" s="62">
        <f t="shared" si="34"/>
        <v>353.34276014239026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13.719999999999999</v>
      </c>
      <c r="AI12" s="14">
        <f>IF('Données projet'!$A$62&gt;35,AI11+AH12-AQ11,IF(A12&lt;'Données projet'!$A$62,$AF$205^A12,IF(A12='Données projet'!$A$62,'Données projet'!$B$62,AI11+AH12-AQ11)))</f>
        <v>12.510447598974469</v>
      </c>
      <c r="AJ12" s="14">
        <f>AI12*VLOOKUP('Données projet'!$B$10,Paramètres!$A$1:$I$89,3,0)*VLOOKUP('Données projet'!$B$10,Paramètres!$A$1:$I$89,5,0)</f>
        <v>7.025867371584062</v>
      </c>
      <c r="AK12" s="14">
        <f t="shared" si="35"/>
        <v>2.5804540991690996</v>
      </c>
      <c r="AL12" s="22">
        <f t="shared" si="4"/>
        <v>16.731009894895092</v>
      </c>
      <c r="AM12" s="62">
        <f t="shared" si="5"/>
        <v>165.3684405321136</v>
      </c>
      <c r="AN12" s="62">
        <f ca="1">AVERAGE(OFFSET($AM$3,0,0,'Données projet'!$E$10+1,1))-AVERAGE(OFFSET($H$3,0,0,'Données projet'!$E$10+1,1))</f>
        <v>82.437379371146534</v>
      </c>
      <c r="AO12" s="62">
        <f t="shared" si="36"/>
        <v>384.46649239172427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13.719999999999999</v>
      </c>
      <c r="BD12" s="13">
        <f>IF('Données projet'!$A$88&gt;35,BD11+BC12-BL11,IF(A12&lt;'Données projet'!$A$88,$BA$205^A12,IF(A12='Données projet'!$A$88,'Données projet'!$B$88,BD11+BC12-BL11)))</f>
        <v>12.510447598974469</v>
      </c>
      <c r="BE12" s="14">
        <f>BD12*VLOOKUP('Données projet'!$B$11,Paramètres!$A$1:$I$89,3,0)*VLOOKUP('Données projet'!$B$11,Paramètres!$A$1:$I$89,5,0)</f>
        <v>7.1819977576192633</v>
      </c>
      <c r="BF12" s="14">
        <f t="shared" si="37"/>
        <v>2.631057753174121</v>
      </c>
      <c r="BG12" s="22">
        <f t="shared" si="7"/>
        <v>17.09107168129848</v>
      </c>
      <c r="BH12" s="62">
        <f t="shared" si="8"/>
        <v>165.72850231851697</v>
      </c>
      <c r="BI12" s="62">
        <f ca="1">AVERAGE(OFFSET($BH$3,0,0,'Données projet'!$E$11+1,1))-AVERAGE(OFFSET($H$3,0,0,'Données projet'!$E$11+1,1))</f>
        <v>83.883967208992033</v>
      </c>
      <c r="BJ12" s="62">
        <f t="shared" si="38"/>
        <v>391.78028845111544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135.66666666666666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13.719999999999999</v>
      </c>
      <c r="N13" s="14">
        <f>IF('Données projet'!$A$36&gt;35,N12+M13-V12,IF(A13&lt;'Données projet'!$A$36,$K$205^A13,IF(A13='Données projet'!$A$36,'Données projet'!$B$36,N12+M13-V12)))</f>
        <v>16.565023392678913</v>
      </c>
      <c r="O13" s="14">
        <f>N13*VLOOKUP('Données projet'!$B$9,Paramètres!$A$1:$I$89,3,0)*VLOOKUP('Données projet'!$B$9,Paramètres!$A$1:$I$89,5,0)</f>
        <v>8.4243082965807883</v>
      </c>
      <c r="P13" s="14">
        <f t="shared" si="33"/>
        <v>3.0293826228362351</v>
      </c>
      <c r="Q13" s="22">
        <f t="shared" si="2"/>
        <v>19.948511684651319</v>
      </c>
      <c r="R13" s="62">
        <f t="shared" si="0"/>
        <v>171.87305567969733</v>
      </c>
      <c r="S13" s="62">
        <f ca="1">AVERAGE(OFFSET($R$3,0,0,'Données projet'!$E$9+1,1))-AVERAGE(OFFSET($H$3,0,0,'Données projet'!$E$9+1,1))</f>
        <v>76.280749912424909</v>
      </c>
      <c r="T13" s="62">
        <f t="shared" si="34"/>
        <v>353.34276014239026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13.719999999999999</v>
      </c>
      <c r="AI13" s="14">
        <f>IF('Données projet'!$A$62&gt;35,AI12+AH13-AQ12,IF(A13&lt;'Données projet'!$A$62,$AF$205^A13,IF(A13='Données projet'!$A$62,'Données projet'!$B$62,AI12+AH13-AQ12)))</f>
        <v>16.565023392678913</v>
      </c>
      <c r="AJ13" s="14">
        <f>AI13*VLOOKUP('Données projet'!$B$10,Paramètres!$A$1:$I$89,3,0)*VLOOKUP('Données projet'!$B$10,Paramètres!$A$1:$I$89,5,0)</f>
        <v>9.3029171373284782</v>
      </c>
      <c r="AK13" s="14">
        <f t="shared" si="35"/>
        <v>3.3069219753474846</v>
      </c>
      <c r="AL13" s="22">
        <f t="shared" si="4"/>
        <v>21.962136454577301</v>
      </c>
      <c r="AM13" s="62">
        <f t="shared" si="5"/>
        <v>173.8866804496233</v>
      </c>
      <c r="AN13" s="62">
        <f ca="1">AVERAGE(OFFSET($AM$3,0,0,'Données projet'!$E$10+1,1))-AVERAGE(OFFSET($H$3,0,0,'Données projet'!$E$10+1,1))</f>
        <v>82.437379371146534</v>
      </c>
      <c r="AO13" s="62">
        <f t="shared" si="36"/>
        <v>384.46649239172427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13.719999999999999</v>
      </c>
      <c r="BD13" s="13">
        <f>IF('Données projet'!$A$88&gt;35,BD12+BC13-BL12,IF(A13&lt;'Données projet'!$A$88,$BA$205^A13,IF(A13='Données projet'!$A$88,'Données projet'!$B$88,BD12+BC13-BL12)))</f>
        <v>16.565023392678913</v>
      </c>
      <c r="BE13" s="14">
        <f>BD13*VLOOKUP('Données projet'!$B$11,Paramètres!$A$1:$I$89,3,0)*VLOOKUP('Données projet'!$B$11,Paramètres!$A$1:$I$89,5,0)</f>
        <v>9.5096486292691118</v>
      </c>
      <c r="BF13" s="14">
        <f t="shared" si="37"/>
        <v>3.3717719316074977</v>
      </c>
      <c r="BG13" s="22">
        <f t="shared" si="7"/>
        <v>22.435140810193428</v>
      </c>
      <c r="BH13" s="62">
        <f t="shared" si="8"/>
        <v>174.35968480523943</v>
      </c>
      <c r="BI13" s="62">
        <f ca="1">AVERAGE(OFFSET($BH$3,0,0,'Données projet'!$E$11+1,1))-AVERAGE(OFFSET($H$3,0,0,'Données projet'!$E$11+1,1))</f>
        <v>83.883967208992033</v>
      </c>
      <c r="BJ13" s="62">
        <f t="shared" si="38"/>
        <v>391.78028845111544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135.66666666666666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13.719999999999999</v>
      </c>
      <c r="N14" s="14">
        <f>IF('Données projet'!$A$36&gt;35,N13+M14-V13,IF(A14&lt;'Données projet'!$A$36,$K$205^A14,IF(A14='Données projet'!$A$36,'Données projet'!$B$36,N13+M14-V13)))</f>
        <v>21.933667666894134</v>
      </c>
      <c r="O14" s="14">
        <f>N14*VLOOKUP('Données projet'!$B$9,Paramètres!$A$1:$I$89,3,0)*VLOOKUP('Données projet'!$B$9,Paramètres!$A$1:$I$89,5,0)</f>
        <v>11.154586028675682</v>
      </c>
      <c r="P14" s="14">
        <f t="shared" si="33"/>
        <v>3.882236064737095</v>
      </c>
      <c r="Q14" s="22">
        <f t="shared" si="2"/>
        <v>26.189131812693919</v>
      </c>
      <c r="R14" s="62">
        <f t="shared" si="0"/>
        <v>181.3649679207696</v>
      </c>
      <c r="S14" s="62">
        <f ca="1">AVERAGE(OFFSET($R$3,0,0,'Données projet'!$E$9+1,1))-AVERAGE(OFFSET($H$3,0,0,'Données projet'!$E$9+1,1))</f>
        <v>76.280749912424909</v>
      </c>
      <c r="T14" s="62">
        <f t="shared" si="34"/>
        <v>353.34276014239026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13.719999999999999</v>
      </c>
      <c r="AI14" s="14">
        <f>IF('Données projet'!$A$62&gt;35,AI13+AH14-AQ13,IF(A14&lt;'Données projet'!$A$62,$AF$205^A14,IF(A14='Données projet'!$A$62,'Données projet'!$B$62,AI13+AH14-AQ13)))</f>
        <v>21.933667666894134</v>
      </c>
      <c r="AJ14" s="14">
        <f>AI14*VLOOKUP('Données projet'!$B$10,Paramètres!$A$1:$I$89,3,0)*VLOOKUP('Données projet'!$B$10,Paramètres!$A$1:$I$89,5,0)</f>
        <v>12.317947761727746</v>
      </c>
      <c r="AK14" s="14">
        <f t="shared" si="35"/>
        <v>4.237910278875872</v>
      </c>
      <c r="AL14" s="22">
        <f t="shared" si="4"/>
        <v>28.834786087384632</v>
      </c>
      <c r="AM14" s="62">
        <f t="shared" si="5"/>
        <v>184.01062219546031</v>
      </c>
      <c r="AN14" s="62">
        <f ca="1">AVERAGE(OFFSET($AM$3,0,0,'Données projet'!$E$10+1,1))-AVERAGE(OFFSET($H$3,0,0,'Données projet'!$E$10+1,1))</f>
        <v>82.437379371146534</v>
      </c>
      <c r="AO14" s="62">
        <f t="shared" si="36"/>
        <v>384.46649239172427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13.719999999999999</v>
      </c>
      <c r="BD14" s="13">
        <f>IF('Données projet'!$A$88&gt;35,BD13+BC14-BL13,IF(A14&lt;'Données projet'!$A$88,$BA$205^A14,IF(A14='Données projet'!$A$88,'Données projet'!$B$88,BD13+BC14-BL13)))</f>
        <v>21.933667666894134</v>
      </c>
      <c r="BE14" s="14">
        <f>BD14*VLOOKUP('Données projet'!$B$11,Paramètres!$A$1:$I$89,3,0)*VLOOKUP('Données projet'!$B$11,Paramètres!$A$1:$I$89,5,0)</f>
        <v>12.591679934210585</v>
      </c>
      <c r="BF14" s="14">
        <f t="shared" si="37"/>
        <v>4.3210172581961466</v>
      </c>
      <c r="BG14" s="22">
        <f t="shared" si="7"/>
        <v>29.456280943441726</v>
      </c>
      <c r="BH14" s="62">
        <f t="shared" si="8"/>
        <v>184.63211705151741</v>
      </c>
      <c r="BI14" s="62">
        <f ca="1">AVERAGE(OFFSET($BH$3,0,0,'Données projet'!$E$11+1,1))-AVERAGE(OFFSET($H$3,0,0,'Données projet'!$E$11+1,1))</f>
        <v>83.883967208992033</v>
      </c>
      <c r="BJ14" s="62">
        <f t="shared" si="38"/>
        <v>391.78028845111544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135.66666666666666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13.719999999999999</v>
      </c>
      <c r="N15" s="14">
        <f>IF('Données projet'!$A$36&gt;35,N14+M15-V14,IF(A15&lt;'Données projet'!$A$36,$K$205^A15,IF(A15='Données projet'!$A$36,'Données projet'!$B$36,N14+M15-V14)))</f>
        <v>29.042263685204215</v>
      </c>
      <c r="O15" s="14">
        <f>N15*VLOOKUP('Données projet'!$B$9,Paramètres!$A$1:$I$89,3,0)*VLOOKUP('Données projet'!$B$9,Paramètres!$A$1:$I$89,5,0)</f>
        <v>14.769733619747457</v>
      </c>
      <c r="P15" s="14">
        <f t="shared" si="33"/>
        <v>4.9751909015159459</v>
      </c>
      <c r="Q15" s="22">
        <f t="shared" si="2"/>
        <v>34.389076874533764</v>
      </c>
      <c r="R15" s="62">
        <f t="shared" si="0"/>
        <v>192.78100526935438</v>
      </c>
      <c r="S15" s="62">
        <f ca="1">AVERAGE(OFFSET($R$3,0,0,'Données projet'!$E$9+1,1))-AVERAGE(OFFSET($H$3,0,0,'Données projet'!$E$9+1,1))</f>
        <v>76.280749912424909</v>
      </c>
      <c r="T15" s="62">
        <f t="shared" si="34"/>
        <v>353.34276014239026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13.719999999999999</v>
      </c>
      <c r="AI15" s="14">
        <f>IF('Données projet'!$A$62&gt;35,AI14+AH15-AQ14,IF(A15&lt;'Données projet'!$A$62,$AF$205^A15,IF(A15='Données projet'!$A$62,'Données projet'!$B$62,AI14+AH15-AQ14)))</f>
        <v>29.042263685204215</v>
      </c>
      <c r="AJ15" s="14">
        <f>AI15*VLOOKUP('Données projet'!$B$10,Paramètres!$A$1:$I$89,3,0)*VLOOKUP('Données projet'!$B$10,Paramètres!$A$1:$I$89,5,0)</f>
        <v>16.310135285610688</v>
      </c>
      <c r="AK15" s="14">
        <f t="shared" si="35"/>
        <v>5.4309970618265329</v>
      </c>
      <c r="AL15" s="22">
        <f t="shared" si="4"/>
        <v>37.86580550511983</v>
      </c>
      <c r="AM15" s="62">
        <f t="shared" si="5"/>
        <v>196.25773389994043</v>
      </c>
      <c r="AN15" s="62">
        <f ca="1">AVERAGE(OFFSET($AM$3,0,0,'Données projet'!$E$10+1,1))-AVERAGE(OFFSET($H$3,0,0,'Données projet'!$E$10+1,1))</f>
        <v>82.437379371146534</v>
      </c>
      <c r="AO15" s="62">
        <f t="shared" si="36"/>
        <v>384.46649239172427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13.719999999999999</v>
      </c>
      <c r="BD15" s="13">
        <f>IF('Données projet'!$A$88&gt;35,BD14+BC15-BL14,IF(A15&lt;'Données projet'!$A$88,$BA$205^A15,IF(A15='Données projet'!$A$88,'Données projet'!$B$88,BD14+BC15-BL14)))</f>
        <v>29.042263685204215</v>
      </c>
      <c r="BE15" s="14">
        <f>BD15*VLOOKUP('Données projet'!$B$11,Paramètres!$A$1:$I$89,3,0)*VLOOKUP('Données projet'!$B$11,Paramètres!$A$1:$I$89,5,0)</f>
        <v>16.672582736402035</v>
      </c>
      <c r="BF15" s="14">
        <f t="shared" si="37"/>
        <v>5.5375009117913301</v>
      </c>
      <c r="BG15" s="22">
        <f t="shared" si="7"/>
        <v>38.682562353936774</v>
      </c>
      <c r="BH15" s="62">
        <f t="shared" si="8"/>
        <v>197.0744907487574</v>
      </c>
      <c r="BI15" s="62">
        <f ca="1">AVERAGE(OFFSET($BH$3,0,0,'Données projet'!$E$11+1,1))-AVERAGE(OFFSET($H$3,0,0,'Données projet'!$E$11+1,1))</f>
        <v>83.883967208992033</v>
      </c>
      <c r="BJ15" s="62">
        <f t="shared" si="38"/>
        <v>391.78028845111544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135.66666666666666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13.719999999999999</v>
      </c>
      <c r="N16" s="14">
        <f>IF('Données projet'!$A$36&gt;35,N15+M16-V15,IF(A16&lt;'Données projet'!$A$36,$K$205^A16,IF(A16='Données projet'!$A$36,'Données projet'!$B$36,N15+M16-V15)))</f>
        <v>38.454721425090632</v>
      </c>
      <c r="O16" s="14">
        <f>N16*VLOOKUP('Données projet'!$B$9,Paramètres!$A$1:$I$89,3,0)*VLOOKUP('Données projet'!$B$9,Paramètres!$A$1:$I$89,5,0)</f>
        <v>19.556533127944093</v>
      </c>
      <c r="P16" s="14">
        <f t="shared" si="33"/>
        <v>6.3758421934610805</v>
      </c>
      <c r="Q16" s="22">
        <f t="shared" si="2"/>
        <v>45.165553684780683</v>
      </c>
      <c r="R16" s="62">
        <f t="shared" si="0"/>
        <v>206.73898517835238</v>
      </c>
      <c r="S16" s="62">
        <f ca="1">AVERAGE(OFFSET($R$3,0,0,'Données projet'!$E$9+1,1))-AVERAGE(OFFSET($H$3,0,0,'Données projet'!$E$9+1,1))</f>
        <v>76.280749912424909</v>
      </c>
      <c r="T16" s="62">
        <f t="shared" si="34"/>
        <v>353.34276014239026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13.719999999999999</v>
      </c>
      <c r="AI16" s="14">
        <f>IF('Données projet'!$A$62&gt;35,AI15+AH16-AQ15,IF(A16&lt;'Données projet'!$A$62,$AF$205^A16,IF(A16='Données projet'!$A$62,'Données projet'!$B$62,AI15+AH16-AQ15)))</f>
        <v>38.454721425090632</v>
      </c>
      <c r="AJ16" s="14">
        <f>AI16*VLOOKUP('Données projet'!$B$10,Paramètres!$A$1:$I$89,3,0)*VLOOKUP('Données projet'!$B$10,Paramètres!$A$1:$I$89,5,0)</f>
        <v>21.596171552330901</v>
      </c>
      <c r="AK16" s="14">
        <f t="shared" si="35"/>
        <v>6.9599701609049429</v>
      </c>
      <c r="AL16" s="22">
        <f t="shared" si="4"/>
        <v>49.735280150552427</v>
      </c>
      <c r="AM16" s="62">
        <f t="shared" si="5"/>
        <v>211.30871164412412</v>
      </c>
      <c r="AN16" s="62">
        <f ca="1">AVERAGE(OFFSET($AM$3,0,0,'Données projet'!$E$10+1,1))-AVERAGE(OFFSET($H$3,0,0,'Données projet'!$E$10+1,1))</f>
        <v>82.437379371146534</v>
      </c>
      <c r="AO16" s="62">
        <f t="shared" si="36"/>
        <v>384.46649239172427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13.719999999999999</v>
      </c>
      <c r="BD16" s="13">
        <f>IF('Données projet'!$A$88&gt;35,BD15+BC16-BL15,IF(A16&lt;'Données projet'!$A$88,$BA$205^A16,IF(A16='Données projet'!$A$88,'Données projet'!$B$88,BD15+BC16-BL15)))</f>
        <v>38.454721425090632</v>
      </c>
      <c r="BE16" s="14">
        <f>BD16*VLOOKUP('Données projet'!$B$11,Paramètres!$A$1:$I$89,3,0)*VLOOKUP('Données projet'!$B$11,Paramètres!$A$1:$I$89,5,0)</f>
        <v>22.076086475716028</v>
      </c>
      <c r="BF16" s="14">
        <f t="shared" si="37"/>
        <v>7.0964577357163359</v>
      </c>
      <c r="BG16" s="22">
        <f t="shared" si="7"/>
        <v>50.808847834911369</v>
      </c>
      <c r="BH16" s="62">
        <f t="shared" si="8"/>
        <v>212.38227932848307</v>
      </c>
      <c r="BI16" s="62">
        <f ca="1">AVERAGE(OFFSET($BH$3,0,0,'Données projet'!$E$11+1,1))-AVERAGE(OFFSET($H$3,0,0,'Données projet'!$E$11+1,1))</f>
        <v>83.883967208992033</v>
      </c>
      <c r="BJ16" s="62">
        <f t="shared" si="38"/>
        <v>391.78028845111544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135.66666666666666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13.719999999999999</v>
      </c>
      <c r="N17" s="14">
        <f>IF('Données projet'!$A$36&gt;35,N16+M17-V16,IF(A17&lt;'Données projet'!$A$36,$K$205^A17,IF(A17='Données projet'!$A$36,'Données projet'!$B$36,N16+M17-V16)))</f>
        <v>50.917711370918092</v>
      </c>
      <c r="O17" s="14">
        <f>N17*VLOOKUP('Données projet'!$B$9,Paramètres!$A$1:$I$89,3,0)*VLOOKUP('Données projet'!$B$9,Paramètres!$A$1:$I$89,5,0)</f>
        <v>25.894711294794106</v>
      </c>
      <c r="P17" s="14">
        <f t="shared" si="33"/>
        <v>8.1708148452217308</v>
      </c>
      <c r="Q17" s="22">
        <f t="shared" si="2"/>
        <v>59.330791360527577</v>
      </c>
      <c r="R17" s="62">
        <f t="shared" si="0"/>
        <v>224.05173680993838</v>
      </c>
      <c r="S17" s="62">
        <f ca="1">AVERAGE(OFFSET($R$3,0,0,'Données projet'!$E$9+1,1))-AVERAGE(OFFSET($H$3,0,0,'Données projet'!$E$9+1,1))</f>
        <v>76.280749912424909</v>
      </c>
      <c r="T17" s="62">
        <f t="shared" si="34"/>
        <v>353.34276014239026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13.719999999999999</v>
      </c>
      <c r="AI17" s="14">
        <f>IF('Données projet'!$A$62&gt;35,AI16+AH17-AQ16,IF(A17&lt;'Données projet'!$A$62,$AF$205^A17,IF(A17='Données projet'!$A$62,'Données projet'!$B$62,AI16+AH17-AQ16)))</f>
        <v>50.917711370918092</v>
      </c>
      <c r="AJ17" s="14">
        <f>AI17*VLOOKUP('Données projet'!$B$10,Paramètres!$A$1:$I$89,3,0)*VLOOKUP('Données projet'!$B$10,Paramètres!$A$1:$I$89,5,0)</f>
        <v>28.595386705907597</v>
      </c>
      <c r="AK17" s="14">
        <f t="shared" si="35"/>
        <v>8.9193906918439048</v>
      </c>
      <c r="AL17" s="22">
        <f t="shared" si="4"/>
        <v>65.338237301083865</v>
      </c>
      <c r="AM17" s="62">
        <f t="shared" si="5"/>
        <v>230.05918275049467</v>
      </c>
      <c r="AN17" s="62">
        <f ca="1">AVERAGE(OFFSET($AM$3,0,0,'Données projet'!$E$10+1,1))-AVERAGE(OFFSET($H$3,0,0,'Données projet'!$E$10+1,1))</f>
        <v>82.437379371146534</v>
      </c>
      <c r="AO17" s="62">
        <f t="shared" si="36"/>
        <v>384.46649239172427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13.719999999999999</v>
      </c>
      <c r="BD17" s="13">
        <f>IF('Données projet'!$A$88&gt;35,BD16+BC17-BL16,IF(A17&lt;'Données projet'!$A$88,$BA$205^A17,IF(A17='Données projet'!$A$88,'Données projet'!$B$88,BD16+BC17-BL16)))</f>
        <v>50.917711370918092</v>
      </c>
      <c r="BE17" s="14">
        <f>BD17*VLOOKUP('Données projet'!$B$11,Paramètres!$A$1:$I$89,3,0)*VLOOKUP('Données projet'!$B$11,Paramètres!$A$1:$I$89,5,0)</f>
        <v>29.230839743816659</v>
      </c>
      <c r="BF17" s="14">
        <f t="shared" si="37"/>
        <v>9.0943032239641273</v>
      </c>
      <c r="BG17" s="22">
        <f t="shared" si="7"/>
        <v>66.749624002218198</v>
      </c>
      <c r="BH17" s="62">
        <f t="shared" si="8"/>
        <v>231.47056945162899</v>
      </c>
      <c r="BI17" s="62">
        <f ca="1">AVERAGE(OFFSET($BH$3,0,0,'Données projet'!$E$11+1,1))-AVERAGE(OFFSET($H$3,0,0,'Données projet'!$E$11+1,1))</f>
        <v>83.883967208992033</v>
      </c>
      <c r="BJ17" s="62">
        <f t="shared" si="38"/>
        <v>391.78028845111544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135.66666666666666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13.719999999999999</v>
      </c>
      <c r="N18" s="14">
        <f>IF('Données projet'!$A$36&gt;35,N17+M18-V17,IF(A18&lt;'Données projet'!$A$36,$K$205^A18,IF(A18='Données projet'!$A$36,'Données projet'!$B$36,N17+M18-V17)))</f>
        <v>67.419896313707639</v>
      </c>
      <c r="O18" s="14">
        <f>N18*VLOOKUP('Données projet'!$B$9,Paramètres!$A$1:$I$89,3,0)*VLOOKUP('Données projet'!$B$9,Paramètres!$A$1:$I$89,5,0)</f>
        <v>34.287062469299158</v>
      </c>
      <c r="P18" s="14">
        <f t="shared" si="33"/>
        <v>10.471121023566996</v>
      </c>
      <c r="Q18" s="22">
        <f t="shared" si="2"/>
        <v>77.953836250075213</v>
      </c>
      <c r="R18" s="62">
        <f t="shared" si="0"/>
        <v>245.78889614805439</v>
      </c>
      <c r="S18" s="62">
        <f ca="1">AVERAGE(OFFSET($R$3,0,0,'Données projet'!$E$9+1,1))-AVERAGE(OFFSET($H$3,0,0,'Données projet'!$E$9+1,1))</f>
        <v>76.280749912424909</v>
      </c>
      <c r="T18" s="62">
        <f t="shared" si="34"/>
        <v>353.34276014239026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13.719999999999999</v>
      </c>
      <c r="AI18" s="14">
        <f>IF('Données projet'!$A$62&gt;35,AI17+AH18-AQ17,IF(A18&lt;'Données projet'!$A$62,$AF$205^A18,IF(A18='Données projet'!$A$62,'Données projet'!$B$62,AI17+AH18-AQ17)))</f>
        <v>67.419896313707639</v>
      </c>
      <c r="AJ18" s="14">
        <f>AI18*VLOOKUP('Données projet'!$B$10,Paramètres!$A$1:$I$89,3,0)*VLOOKUP('Données projet'!$B$10,Paramètres!$A$1:$I$89,5,0)</f>
        <v>37.863013769778213</v>
      </c>
      <c r="AK18" s="14">
        <f t="shared" si="35"/>
        <v>11.430441291347123</v>
      </c>
      <c r="AL18" s="22">
        <f t="shared" si="4"/>
        <v>85.852767564793282</v>
      </c>
      <c r="AM18" s="62">
        <f t="shared" si="5"/>
        <v>253.68782746277245</v>
      </c>
      <c r="AN18" s="62">
        <f ca="1">AVERAGE(OFFSET($AM$3,0,0,'Données projet'!$E$10+1,1))-AVERAGE(OFFSET($H$3,0,0,'Données projet'!$E$10+1,1))</f>
        <v>82.437379371146534</v>
      </c>
      <c r="AO18" s="62">
        <f t="shared" si="36"/>
        <v>384.46649239172427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13.719999999999999</v>
      </c>
      <c r="BD18" s="13">
        <f>IF('Données projet'!$A$88&gt;35,BD17+BC18-BL17,IF(A18&lt;'Données projet'!$A$88,$BA$205^A18,IF(A18='Données projet'!$A$88,'Données projet'!$B$88,BD17+BC18-BL17)))</f>
        <v>67.419896313707639</v>
      </c>
      <c r="BE18" s="14">
        <f>BD18*VLOOKUP('Données projet'!$B$11,Paramètres!$A$1:$I$89,3,0)*VLOOKUP('Données projet'!$B$11,Paramètres!$A$1:$I$89,5,0)</f>
        <v>38.704414075773279</v>
      </c>
      <c r="BF18" s="14">
        <f t="shared" si="37"/>
        <v>11.654596449316523</v>
      </c>
      <c r="BG18" s="22">
        <f t="shared" si="7"/>
        <v>87.708609997864713</v>
      </c>
      <c r="BH18" s="62">
        <f t="shared" si="8"/>
        <v>255.54366989584389</v>
      </c>
      <c r="BI18" s="62">
        <f ca="1">AVERAGE(OFFSET($BH$3,0,0,'Données projet'!$E$11+1,1))-AVERAGE(OFFSET($H$3,0,0,'Données projet'!$E$11+1,1))</f>
        <v>83.883967208992033</v>
      </c>
      <c r="BJ18" s="62">
        <f t="shared" si="38"/>
        <v>391.78028845111544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135.66666666666666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13.719999999999999</v>
      </c>
      <c r="N19" s="14">
        <f>IF('Données projet'!$A$36&gt;35,N18+M19-V18,IF(A19&lt;'Données projet'!$A$36,$K$205^A19,IF(A19='Données projet'!$A$36,'Données projet'!$B$36,N18+M19-V18)))</f>
        <v>89.270359891847789</v>
      </c>
      <c r="O19" s="14">
        <f>N19*VLOOKUP('Données projet'!$B$9,Paramètres!$A$1:$I$89,3,0)*VLOOKUP('Données projet'!$B$9,Paramètres!$A$1:$I$89,5,0)</f>
        <v>45.399334226598114</v>
      </c>
      <c r="P19" s="14">
        <f t="shared" si="33"/>
        <v>13.419025833672695</v>
      </c>
      <c r="Q19" s="22">
        <f t="shared" si="2"/>
        <v>102.44197710497166</v>
      </c>
      <c r="R19" s="62">
        <f t="shared" si="0"/>
        <v>273.35833135102945</v>
      </c>
      <c r="S19" s="62">
        <f ca="1">AVERAGE(OFFSET($R$3,0,0,'Données projet'!$E$9+1,1))-AVERAGE(OFFSET($H$3,0,0,'Données projet'!$E$9+1,1))</f>
        <v>76.280749912424909</v>
      </c>
      <c r="T19" s="62">
        <f t="shared" si="34"/>
        <v>353.34276014239026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13.719999999999999</v>
      </c>
      <c r="AI19" s="14">
        <f>IF('Données projet'!$A$62&gt;35,AI18+AH19-AQ18,IF(A19&lt;'Données projet'!$A$62,$AF$205^A19,IF(A19='Données projet'!$A$62,'Données projet'!$B$62,AI18+AH19-AQ18)))</f>
        <v>89.270359891847789</v>
      </c>
      <c r="AJ19" s="14">
        <f>AI19*VLOOKUP('Données projet'!$B$10,Paramètres!$A$1:$I$89,3,0)*VLOOKUP('Données projet'!$B$10,Paramètres!$A$1:$I$89,5,0)</f>
        <v>50.134234115261712</v>
      </c>
      <c r="AK19" s="14">
        <f t="shared" si="35"/>
        <v>14.648420797892296</v>
      </c>
      <c r="AL19" s="22">
        <f t="shared" si="4"/>
        <v>112.82979064040988</v>
      </c>
      <c r="AM19" s="62">
        <f t="shared" si="5"/>
        <v>283.74614488646768</v>
      </c>
      <c r="AN19" s="62">
        <f ca="1">AVERAGE(OFFSET($AM$3,0,0,'Données projet'!$E$10+1,1))-AVERAGE(OFFSET($H$3,0,0,'Données projet'!$E$10+1,1))</f>
        <v>82.437379371146534</v>
      </c>
      <c r="AO19" s="62">
        <f t="shared" si="36"/>
        <v>384.46649239172427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13.719999999999999</v>
      </c>
      <c r="BD19" s="13">
        <f>IF('Données projet'!$A$88&gt;35,BD18+BC19-BL18,IF(A19&lt;'Données projet'!$A$88,$BA$205^A19,IF(A19='Données projet'!$A$88,'Données projet'!$B$88,BD18+BC19-BL18)))</f>
        <v>89.270359891847789</v>
      </c>
      <c r="BE19" s="14">
        <f>BD19*VLOOKUP('Données projet'!$B$11,Paramètres!$A$1:$I$89,3,0)*VLOOKUP('Données projet'!$B$11,Paramètres!$A$1:$I$89,5,0)</f>
        <v>51.248328206711975</v>
      </c>
      <c r="BF19" s="14">
        <f t="shared" si="37"/>
        <v>14.935681717594449</v>
      </c>
      <c r="BG19" s="22">
        <f t="shared" si="7"/>
        <v>115.27048395150035</v>
      </c>
      <c r="BH19" s="62">
        <f t="shared" si="8"/>
        <v>286.18683819755813</v>
      </c>
      <c r="BI19" s="62">
        <f ca="1">AVERAGE(OFFSET($BH$3,0,0,'Données projet'!$E$11+1,1))-AVERAGE(OFFSET($H$3,0,0,'Données projet'!$E$11+1,1))</f>
        <v>83.883967208992033</v>
      </c>
      <c r="BJ19" s="62">
        <f t="shared" si="38"/>
        <v>391.78028845111544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135.66666666666666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13.719999999999999</v>
      </c>
      <c r="N20" s="14">
        <f>IF('Données projet'!$A$36&gt;35,N19+M20-V19,IF(A20&lt;'Données projet'!$A$36,$K$205^A20,IF(A20='Données projet'!$A$36,'Données projet'!$B$36,N19+M20-V19)))</f>
        <v>118.20245344399544</v>
      </c>
      <c r="O20" s="14">
        <f>N20*VLOOKUP('Données projet'!$B$9,Paramètres!$A$1:$I$89,3,0)*VLOOKUP('Données projet'!$B$9,Paramètres!$A$1:$I$89,5,0)</f>
        <v>60.113039723478323</v>
      </c>
      <c r="P20" s="14">
        <f t="shared" si="33"/>
        <v>17.196845869653977</v>
      </c>
      <c r="Q20" s="22">
        <f t="shared" si="2"/>
        <v>134.64805074137209</v>
      </c>
      <c r="R20" s="62">
        <f t="shared" si="0"/>
        <v>308.61344859038752</v>
      </c>
      <c r="S20" s="62">
        <f ca="1">AVERAGE(OFFSET($R$3,0,0,'Données projet'!$E$9+1,1))-AVERAGE(OFFSET($H$3,0,0,'Données projet'!$E$9+1,1))</f>
        <v>76.280749912424909</v>
      </c>
      <c r="T20" s="62">
        <f t="shared" si="34"/>
        <v>353.34276014239026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13.719999999999999</v>
      </c>
      <c r="AI20" s="14">
        <f>IF('Données projet'!$A$62&gt;35,AI19+AH20-AQ19,IF(A20&lt;'Données projet'!$A$62,$AF$205^A20,IF(A20='Données projet'!$A$62,'Données projet'!$B$62,AI19+AH20-AQ19)))</f>
        <v>118.20245344399544</v>
      </c>
      <c r="AJ20" s="14">
        <f>AI20*VLOOKUP('Données projet'!$B$10,Paramètres!$A$1:$I$89,3,0)*VLOOKUP('Données projet'!$B$10,Paramètres!$A$1:$I$89,5,0)</f>
        <v>66.382497854147843</v>
      </c>
      <c r="AK20" s="14">
        <f t="shared" si="35"/>
        <v>18.772348888625885</v>
      </c>
      <c r="AL20" s="22">
        <f t="shared" si="4"/>
        <v>148.31135807699755</v>
      </c>
      <c r="AM20" s="62">
        <f t="shared" si="5"/>
        <v>322.27675592601298</v>
      </c>
      <c r="AN20" s="62">
        <f ca="1">AVERAGE(OFFSET($AM$3,0,0,'Données projet'!$E$10+1,1))-AVERAGE(OFFSET($H$3,0,0,'Données projet'!$E$10+1,1))</f>
        <v>82.437379371146534</v>
      </c>
      <c r="AO20" s="62">
        <f t="shared" si="36"/>
        <v>384.46649239172427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13.719999999999999</v>
      </c>
      <c r="BD20" s="13">
        <f>IF('Données projet'!$A$88&gt;35,BD19+BC20-BL19,IF(A20&lt;'Données projet'!$A$88,$BA$205^A20,IF(A20='Données projet'!$A$88,'Données projet'!$B$88,BD19+BC20-BL19)))</f>
        <v>118.20245344399544</v>
      </c>
      <c r="BE20" s="14">
        <f>BD20*VLOOKUP('Données projet'!$B$11,Paramètres!$A$1:$I$89,3,0)*VLOOKUP('Données projet'!$B$11,Paramètres!$A$1:$I$89,5,0)</f>
        <v>67.857664473128906</v>
      </c>
      <c r="BF20" s="14">
        <f t="shared" si="37"/>
        <v>19.140481555014897</v>
      </c>
      <c r="BG20" s="22">
        <f t="shared" si="7"/>
        <v>151.52177099901712</v>
      </c>
      <c r="BH20" s="62">
        <f t="shared" si="8"/>
        <v>325.48716884803252</v>
      </c>
      <c r="BI20" s="62">
        <f ca="1">AVERAGE(OFFSET($BH$3,0,0,'Données projet'!$E$11+1,1))-AVERAGE(OFFSET($H$3,0,0,'Données projet'!$E$11+1,1))</f>
        <v>83.883967208992033</v>
      </c>
      <c r="BJ20" s="62">
        <f t="shared" si="38"/>
        <v>391.78028845111544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135.66666666666666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13.719999999999999</v>
      </c>
      <c r="N21" s="14">
        <f>IF('Données projet'!$A$36&gt;35,N20+M21-V20,IF(A21&lt;'Données projet'!$A$36,$K$205^A21,IF(A21='Données projet'!$A$36,'Données projet'!$B$36,N20+M21-V20)))</f>
        <v>156.51129912668605</v>
      </c>
      <c r="O21" s="14">
        <f>N21*VLOOKUP('Données projet'!$B$9,Paramètres!$A$1:$I$89,3,0)*VLOOKUP('Données projet'!$B$9,Paramètres!$A$1:$I$89,5,0)</f>
        <v>79.59538628386747</v>
      </c>
      <c r="P21" s="14">
        <f t="shared" si="33"/>
        <v>22.038224795912448</v>
      </c>
      <c r="Q21" s="22">
        <f t="shared" si="2"/>
        <v>177.01187263061669</v>
      </c>
      <c r="R21" s="62">
        <f t="shared" si="0"/>
        <v>353.9946228157948</v>
      </c>
      <c r="S21" s="62">
        <f ca="1">AVERAGE(OFFSET($R$3,0,0,'Données projet'!$E$9+1,1))-AVERAGE(OFFSET($H$3,0,0,'Données projet'!$E$9+1,1))</f>
        <v>76.280749912424909</v>
      </c>
      <c r="T21" s="62">
        <f t="shared" si="34"/>
        <v>353.34276014239026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13.719999999999999</v>
      </c>
      <c r="AI21" s="14">
        <f>IF('Données projet'!$A$62&gt;35,AI20+AH21-AQ20,IF(A21&lt;'Données projet'!$A$62,$AF$205^A21,IF(A21='Données projet'!$A$62,'Données projet'!$B$62,AI20+AH21-AQ20)))</f>
        <v>156.51129912668605</v>
      </c>
      <c r="AJ21" s="14">
        <f>AI21*VLOOKUP('Données projet'!$B$10,Paramètres!$A$1:$I$89,3,0)*VLOOKUP('Données projet'!$B$10,Paramètres!$A$1:$I$89,5,0)</f>
        <v>87.896745589546896</v>
      </c>
      <c r="AK21" s="14">
        <f t="shared" si="35"/>
        <v>24.057274682264666</v>
      </c>
      <c r="AL21" s="22">
        <f t="shared" si="4"/>
        <v>194.98658530673845</v>
      </c>
      <c r="AM21" s="62">
        <f t="shared" si="5"/>
        <v>371.96933549191658</v>
      </c>
      <c r="AN21" s="62">
        <f ca="1">AVERAGE(OFFSET($AM$3,0,0,'Données projet'!$E$10+1,1))-AVERAGE(OFFSET($H$3,0,0,'Données projet'!$E$10+1,1))</f>
        <v>82.437379371146534</v>
      </c>
      <c r="AO21" s="62">
        <f t="shared" si="36"/>
        <v>384.46649239172427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13.719999999999999</v>
      </c>
      <c r="BD21" s="13">
        <f>IF('Données projet'!$A$88&gt;35,BD20+BC21-BL20,IF(A21&lt;'Données projet'!$A$88,$BA$205^A21,IF(A21='Données projet'!$A$88,'Données projet'!$B$88,BD20+BC21-BL20)))</f>
        <v>156.51129912668605</v>
      </c>
      <c r="BE21" s="14">
        <f>BD21*VLOOKUP('Données projet'!$B$11,Paramètres!$A$1:$I$89,3,0)*VLOOKUP('Données projet'!$B$11,Paramètres!$A$1:$I$89,5,0)</f>
        <v>89.850006602647937</v>
      </c>
      <c r="BF21" s="14">
        <f t="shared" si="37"/>
        <v>24.529046687322655</v>
      </c>
      <c r="BG21" s="22">
        <f t="shared" si="7"/>
        <v>199.2101844800321</v>
      </c>
      <c r="BH21" s="62">
        <f t="shared" si="8"/>
        <v>376.1929346652102</v>
      </c>
      <c r="BI21" s="62">
        <f ca="1">AVERAGE(OFFSET($BH$3,0,0,'Données projet'!$E$11+1,1))-AVERAGE(OFFSET($H$3,0,0,'Données projet'!$E$11+1,1))</f>
        <v>83.883967208992033</v>
      </c>
      <c r="BJ21" s="62">
        <f t="shared" si="38"/>
        <v>391.78028845111544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135.66666666666666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13.719999999999999</v>
      </c>
      <c r="N22" s="14">
        <f>IF('Données projet'!$A$36&gt;35,N21+M22-V21,IF(A22&lt;'Données projet'!$A$36,$K$205^A22,IF(A22='Données projet'!$A$36,'Données projet'!$B$36,N21+M22-V21)))</f>
        <v>207.23585712989583</v>
      </c>
      <c r="O22" s="14">
        <f>N22*VLOOKUP('Données projet'!$B$9,Paramètres!$A$1:$I$89,3,0)*VLOOKUP('Données projet'!$B$9,Paramètres!$A$1:$I$89,5,0)</f>
        <v>105.39186750197985</v>
      </c>
      <c r="P22" s="14">
        <f t="shared" si="33"/>
        <v>28.242583310711669</v>
      </c>
      <c r="Q22" s="22">
        <f t="shared" si="2"/>
        <v>232.74666849877102</v>
      </c>
      <c r="R22" s="62">
        <f t="shared" si="0"/>
        <v>412.71562952594456</v>
      </c>
      <c r="S22" s="62">
        <f ca="1">AVERAGE(OFFSET($R$3,0,0,'Données projet'!$E$9+1,1))-AVERAGE(OFFSET($H$3,0,0,'Données projet'!$E$9+1,1))</f>
        <v>76.280749912424909</v>
      </c>
      <c r="T22" s="62">
        <f t="shared" si="34"/>
        <v>353.34276014239026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13.719999999999999</v>
      </c>
      <c r="AI22" s="14">
        <f>IF('Données projet'!$A$62&gt;35,AI21+AH22-AQ21,IF(A22&lt;'Données projet'!$A$62,$AF$205^A22,IF(A22='Données projet'!$A$62,'Données projet'!$B$62,AI21+AH22-AQ21)))</f>
        <v>207.23585712989583</v>
      </c>
      <c r="AJ22" s="14">
        <f>AI22*VLOOKUP('Données projet'!$B$10,Paramètres!$A$1:$I$89,3,0)*VLOOKUP('Données projet'!$B$10,Paramètres!$A$1:$I$89,5,0)</f>
        <v>116.38365736414951</v>
      </c>
      <c r="AK22" s="14">
        <f t="shared" si="35"/>
        <v>30.830050547835121</v>
      </c>
      <c r="AL22" s="22">
        <f t="shared" si="4"/>
        <v>256.3972079467066</v>
      </c>
      <c r="AM22" s="62">
        <f t="shared" si="5"/>
        <v>436.36616897388018</v>
      </c>
      <c r="AN22" s="62">
        <f ca="1">AVERAGE(OFFSET($AM$3,0,0,'Données projet'!$E$10+1,1))-AVERAGE(OFFSET($H$3,0,0,'Données projet'!$E$10+1,1))</f>
        <v>82.437379371146534</v>
      </c>
      <c r="AO22" s="62">
        <f t="shared" si="36"/>
        <v>384.46649239172427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13.719999999999999</v>
      </c>
      <c r="BD22" s="13">
        <f>IF('Données projet'!$A$88&gt;35,BD21+BC22-BL21,IF(A22&lt;'Données projet'!$A$88,$BA$205^A22,IF(A22='Données projet'!$A$88,'Données projet'!$B$88,BD21+BC22-BL21)))</f>
        <v>207.23585712989583</v>
      </c>
      <c r="BE22" s="14">
        <f>BD22*VLOOKUP('Données projet'!$B$11,Paramètres!$A$1:$I$89,3,0)*VLOOKUP('Données projet'!$B$11,Paramètres!$A$1:$I$89,5,0)</f>
        <v>118.9699608611306</v>
      </c>
      <c r="BF22" s="14">
        <f t="shared" si="37"/>
        <v>31.434639178720825</v>
      </c>
      <c r="BG22" s="22">
        <f t="shared" si="7"/>
        <v>261.95467840274119</v>
      </c>
      <c r="BH22" s="62">
        <f t="shared" si="8"/>
        <v>441.92363942991477</v>
      </c>
      <c r="BI22" s="62">
        <f ca="1">AVERAGE(OFFSET($BH$3,0,0,'Données projet'!$E$11+1,1))-AVERAGE(OFFSET($H$3,0,0,'Données projet'!$E$11+1,1))</f>
        <v>83.883967208992033</v>
      </c>
      <c r="BJ22" s="62">
        <f t="shared" si="38"/>
        <v>391.78028845111544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135.66666666666666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274.39999999999998</v>
      </c>
      <c r="L23" s="13">
        <f>VLOOKUP(A23,'Données projet'!$A$35:$I$55,9,0)</f>
        <v>13.719999999999999</v>
      </c>
      <c r="M23" s="13">
        <f t="array" ref="M23">INDEX(L:L,MIN(IF(ISNUMBER(L23:L219),ROW(L23:L219),"")))</f>
        <v>13.719999999999999</v>
      </c>
      <c r="N23" s="14">
        <f>IF('Données projet'!$A$36&gt;35,N22+M23-V22,IF(A23&lt;'Données projet'!$A$36,$K$205^A23,IF(A23='Données projet'!$A$36,'Données projet'!$B$36,N22+M23-V22)))</f>
        <v>274.39999999999998</v>
      </c>
      <c r="O23" s="14">
        <f>N23*VLOOKUP('Données projet'!$B$9,Paramètres!$A$1:$I$89,3,0)*VLOOKUP('Données projet'!$B$9,Paramètres!$A$1:$I$89,5,0)</f>
        <v>139.54886399999998</v>
      </c>
      <c r="P23" s="14">
        <f t="shared" si="33"/>
        <v>36.193637166748253</v>
      </c>
      <c r="Q23" s="22">
        <f t="shared" si="2"/>
        <v>306.08485619875319</v>
      </c>
      <c r="R23" s="62">
        <f t="shared" si="0"/>
        <v>489.00942680905689</v>
      </c>
      <c r="S23" s="62">
        <f ca="1">AVERAGE(OFFSET($R$3,0,0,'Données projet'!$E$9+1,1))-AVERAGE(OFFSET($H$3,0,0,'Données projet'!$E$9+1,1))</f>
        <v>76.280749912424909</v>
      </c>
      <c r="T23" s="62">
        <f t="shared" si="34"/>
        <v>353.34276014239026</v>
      </c>
      <c r="U23" s="16">
        <f>IF(ISNA(VLOOKUP(A23,'Données projet'!$A$35:$I$55,3,0)),0,VLOOKUP(A23,'Données projet'!$A$35:$I$55,3,0))</f>
        <v>1</v>
      </c>
      <c r="V23" s="16">
        <f>IF(ISNA(VLOOKUP(A23,'Données projet'!$A$35:$I$55,4,0)),0,VLOOKUP(A23,'Données projet'!$A$35:$I$55,4,0))</f>
        <v>274.39999999999998</v>
      </c>
      <c r="W23" s="17">
        <f>IF(ISNA(VLOOKUP(A23,'Données projet'!$A$35:$I$55,5,0)),0%,VLOOKUP(A23,'Données projet'!$A$35:$I$55,5,0)*VLOOKUP('Données projet'!$B$9,Paramètres!$A$1:$I$89,7,0))</f>
        <v>0.48</v>
      </c>
      <c r="X23" s="78">
        <f>IF(ISNA(VLOOKUP(A23,'Données projet'!$A$35:$I$55,6,0)),0%,VLOOKUP(A23,'Données projet'!$A$35:$I$55,6,0)*VLOOKUP('Données projet'!$B$9,Paramètres!$A$1:$I$89,7,0))</f>
        <v>0.12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74.048225111746561</v>
      </c>
      <c r="AA23" s="23">
        <f>EXP(-LN(2)/25)*AA22+(1-EXP(-LN(2)/25))/(LN(2)/25)*Calculateur!V23*Calculateur!X23*VLOOKUP('Données projet'!$B$9,Paramètres!$A$1:$I$89,3,0)*0.475*44/12</f>
        <v>18.43916725872397</v>
      </c>
      <c r="AB23" s="23">
        <f>EXP(-LN(2)/2)*AB22+(1-EXP(-LN(2)/2))/(LN(2)/2)*V23*Y23*VLOOKUP('Données projet'!$B$9,Paramètres!$A$1:$I$89,3,0)*0.475*44/12</f>
        <v>0</v>
      </c>
      <c r="AC23" s="24">
        <f t="shared" si="3"/>
        <v>92.487392370470531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274.39999999999998</v>
      </c>
      <c r="AG23" s="13">
        <f>VLOOKUP(A23,'Données projet'!$A$61:$I$81,9,0)</f>
        <v>13.719999999999999</v>
      </c>
      <c r="AH23" s="13">
        <f t="array" ref="AH23">INDEX(AG:AG,MIN(IF(ISNUMBER(AG23:AG219),ROW(AG23:AG219),"")))</f>
        <v>13.719999999999999</v>
      </c>
      <c r="AI23" s="14">
        <f>IF('Données projet'!$A$62&gt;35,AI22+AH23-AQ22,IF(A23&lt;'Données projet'!$A$62,$AF$205^A23,IF(A23='Données projet'!$A$62,'Données projet'!$B$62,AI22+AH23-AQ22)))</f>
        <v>274.39999999999998</v>
      </c>
      <c r="AJ23" s="14">
        <f>AI23*VLOOKUP('Données projet'!$B$10,Paramètres!$A$1:$I$89,3,0)*VLOOKUP('Données projet'!$B$10,Paramètres!$A$1:$I$89,5,0)</f>
        <v>154.10303999999999</v>
      </c>
      <c r="AK23" s="14">
        <f t="shared" si="35"/>
        <v>39.509546668758176</v>
      </c>
      <c r="AL23" s="22">
        <f t="shared" si="4"/>
        <v>337.20858844808714</v>
      </c>
      <c r="AM23" s="62">
        <f t="shared" si="5"/>
        <v>520.1331590583909</v>
      </c>
      <c r="AN23" s="62">
        <f ca="1">AVERAGE(OFFSET($AM$3,0,0,'Données projet'!$E$10+1,1))-AVERAGE(OFFSET($H$3,0,0,'Données projet'!$E$10+1,1))</f>
        <v>82.437379371146534</v>
      </c>
      <c r="AO23" s="62">
        <f t="shared" si="36"/>
        <v>384.46649239172427</v>
      </c>
      <c r="AP23" s="16">
        <f>IF(ISNA(VLOOKUP(A23,'Données projet'!$A$61:$I$81,3,0)),0,VLOOKUP(A23,'Données projet'!$A$61:$I$81,3,0))</f>
        <v>1</v>
      </c>
      <c r="AQ23" s="16">
        <f>IF(ISNA(VLOOKUP(A23,'Données projet'!$A$61:$I$81,4,0)),0,VLOOKUP(A23,'Données projet'!$A$61:$I$81,4,0))</f>
        <v>274.39999999999998</v>
      </c>
      <c r="AR23" s="17">
        <f>IF(ISNA(VLOOKUP(A23,'Données projet'!$A$61:$I$81,5,0)),0%,VLOOKUP(A23,'Données projet'!$A$61:$I$81,5,0)*VLOOKUP('Données projet'!$B$10,Paramètres!$A$1:$I$89,7,0))</f>
        <v>0.48</v>
      </c>
      <c r="AS23" s="17">
        <f>IF(ISNA(VLOOKUP(A23,'Données projet'!$A$61:$I$81,6,0)),0%,VLOOKUP(A23,'Données projet'!$A$61:$I$81,6,0)*VLOOKUP('Données projet'!$B$10,Paramètres!$A$1:$I$89,7,0))</f>
        <v>0.12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81.771046135671057</v>
      </c>
      <c r="AV23" s="23">
        <f>EXP(-LN(2)/25)*AV22+(1-EXP(-LN(2)/25))/(LN(2)/25)*Calculateur!AQ23*Calculateur!AS23*VLOOKUP('Données projet'!$B$10,Paramètres!$A$1:$I$89,3,0)*0.475*44/12</f>
        <v>20.362270592455914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102.13331672812697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274.39999999999998</v>
      </c>
      <c r="BB23" s="13">
        <f>VLOOKUP(A23,'Données projet'!$A$87:$I$107,9,0)</f>
        <v>13.719999999999999</v>
      </c>
      <c r="BC23" s="13">
        <f t="array" ref="BC23">INDEX(BB:BB,MIN(IF(ISNUMBER(BB23:BB219),ROW(BB23:BB219),"")))</f>
        <v>13.719999999999999</v>
      </c>
      <c r="BD23" s="13">
        <f>IF('Données projet'!$A$88&gt;35,BD22+BC23-BL22,IF(A23&lt;'Données projet'!$A$88,$BA$205^A23,IF(A23='Données projet'!$A$88,'Données projet'!$B$88,BD22+BC23-BL22)))</f>
        <v>274.39999999999998</v>
      </c>
      <c r="BE23" s="14">
        <f>BD23*VLOOKUP('Données projet'!$B$11,Paramètres!$A$1:$I$89,3,0)*VLOOKUP('Données projet'!$B$11,Paramètres!$A$1:$I$89,5,0)</f>
        <v>157.52755199999999</v>
      </c>
      <c r="BF23" s="14">
        <f t="shared" si="37"/>
        <v>40.284343410992371</v>
      </c>
      <c r="BG23" s="22">
        <f t="shared" si="7"/>
        <v>344.52238450747836</v>
      </c>
      <c r="BH23" s="62">
        <f t="shared" si="8"/>
        <v>527.44695511778207</v>
      </c>
      <c r="BI23" s="62">
        <f ca="1">AVERAGE(OFFSET($BH$3,0,0,'Données projet'!$E$11+1,1))-AVERAGE(OFFSET($H$3,0,0,'Données projet'!$E$11+1,1))</f>
        <v>83.883967208992033</v>
      </c>
      <c r="BJ23" s="62">
        <f t="shared" si="38"/>
        <v>391.78028845111544</v>
      </c>
      <c r="BK23" s="16">
        <f>IF(ISNA(VLOOKUP(A23,'Données projet'!$A$87:$I$107,3,0)),0,VLOOKUP(A23,'Données projet'!$A$87:$I$107,3,0))</f>
        <v>1</v>
      </c>
      <c r="BL23" s="16">
        <f>IF(ISNA(VLOOKUP(A23,'Données projet'!$A$87:$I$107,4,0)),0,VLOOKUP(A23,'Données projet'!$A$87:$I$107,4,0))</f>
        <v>274.39999999999998</v>
      </c>
      <c r="BM23" s="17">
        <f>IF(ISNA(VLOOKUP(A23,'Données projet'!$A$87:$I$107,5,0)),0%,VLOOKUP(A23,'Données projet'!$A$87:$I$107,5,0)*VLOOKUP('Données projet'!$B$11,Paramètres!$A$1:$I$89,7,0))</f>
        <v>0.48</v>
      </c>
      <c r="BN23" s="17">
        <f>IF(ISNA(VLOOKUP(A23,'Données projet'!$A$87:$I$107,6,0)),0%,VLOOKUP(A23,'Données projet'!$A$87:$I$107,6,0)*VLOOKUP('Données projet'!$B$11,Paramètres!$A$1:$I$89,7,0))</f>
        <v>0.12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83.588180494241513</v>
      </c>
      <c r="BQ23" s="23">
        <f>EXP(-LN(2)/25)*BQ22+(1-EXP(-LN(2)/25))/(LN(2)/25)*Calculateur!BL23*Calculateur!BN23*VLOOKUP('Données projet'!$B$11,Paramètres!$A$1:$I$89,3,0)*0.475*44/12</f>
        <v>20.814765494510493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104.40294598875201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135.66666666666666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0</v>
      </c>
      <c r="N24" s="14">
        <f>IF('Données projet'!$A$36&gt;35,N23+M24-V23,IF(A24&lt;'Données projet'!$A$36,$K$205^A24,IF(A24='Données projet'!$A$36,'Données projet'!$B$36,N23+M24-V23)))</f>
        <v>0</v>
      </c>
      <c r="O24" s="14">
        <f>N24*VLOOKUP('Données projet'!$B$9,Paramètres!$A$1:$I$89,3,0)*VLOOKUP('Données projet'!$B$9,Paramètres!$A$1:$I$89,5,0)</f>
        <v>0</v>
      </c>
      <c r="P24" s="14" t="e">
        <f t="shared" si="33"/>
        <v>#NUM!</v>
      </c>
      <c r="Q24" s="22" t="e">
        <f t="shared" si="2"/>
        <v>#NUM!</v>
      </c>
      <c r="R24" s="62" t="e">
        <f t="shared" si="0"/>
        <v>#NUM!</v>
      </c>
      <c r="S24" s="62">
        <f ca="1">AVERAGE(OFFSET($R$3,0,0,'Données projet'!$E$9+1,1))-AVERAGE(OFFSET($H$3,0,0,'Données projet'!$E$9+1,1))</f>
        <v>76.280749912424909</v>
      </c>
      <c r="T24" s="62">
        <f t="shared" si="34"/>
        <v>353.34276014239026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72.596184582262865</v>
      </c>
      <c r="AA24" s="23">
        <f>EXP(-LN(2)/25)*AA23+(1-EXP(-LN(2)/25))/(LN(2)/25)*Calculateur!V24*Calculateur!X24*VLOOKUP('Données projet'!$B$9,Paramètres!$A$1:$I$89,3,0)*0.475*44/12</f>
        <v>17.934947260360499</v>
      </c>
      <c r="AB24" s="23">
        <f>EXP(-LN(2)/2)*AB23+(1-EXP(-LN(2)/2))/(LN(2)/2)*V24*Y24*VLOOKUP('Données projet'!$B$9,Paramètres!$A$1:$I$89,3,0)*0.475*44/12</f>
        <v>0</v>
      </c>
      <c r="AC24" s="24">
        <f t="shared" si="3"/>
        <v>90.531131842623367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>
        <f>AI24*VLOOKUP('Données projet'!$B$10,Paramètres!$A$1:$I$89,3,0)*VLOOKUP('Données projet'!$B$10,Paramètres!$A$1:$I$89,5,0)</f>
        <v>0</v>
      </c>
      <c r="AK24" s="14" t="e">
        <f t="shared" si="35"/>
        <v>#NUM!</v>
      </c>
      <c r="AL24" s="22" t="e">
        <f t="shared" si="4"/>
        <v>#NUM!</v>
      </c>
      <c r="AM24" s="62" t="e">
        <f t="shared" si="5"/>
        <v>#NUM!</v>
      </c>
      <c r="AN24" s="62">
        <f ca="1">AVERAGE(OFFSET($AM$3,0,0,'Données projet'!$E$10+1,1))-AVERAGE(OFFSET($H$3,0,0,'Données projet'!$E$10+1,1))</f>
        <v>82.437379371146534</v>
      </c>
      <c r="AO24" s="62">
        <f t="shared" si="36"/>
        <v>384.46649239172427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80.167565796363903</v>
      </c>
      <c r="AV24" s="23">
        <f>EXP(-LN(2)/25)*AV23+(1-EXP(-LN(2)/25))/(LN(2)/25)*Calculateur!AQ24*Calculateur!AS24*VLOOKUP('Données projet'!$B$10,Paramètres!$A$1:$I$89,3,0)*0.475*44/12</f>
        <v>19.805463232299935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99.973029028663831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>
        <f>BD24*VLOOKUP('Données projet'!$B$11,Paramètres!$A$1:$I$89,3,0)*VLOOKUP('Données projet'!$B$11,Paramètres!$A$1:$I$89,5,0)</f>
        <v>0</v>
      </c>
      <c r="BF24" s="14" t="e">
        <f t="shared" si="37"/>
        <v>#NUM!</v>
      </c>
      <c r="BG24" s="22" t="e">
        <f t="shared" si="7"/>
        <v>#NUM!</v>
      </c>
      <c r="BH24" s="62" t="e">
        <f t="shared" si="8"/>
        <v>#NUM!</v>
      </c>
      <c r="BI24" s="62">
        <f ca="1">AVERAGE(OFFSET($BH$3,0,0,'Données projet'!$E$11+1,1))-AVERAGE(OFFSET($H$3,0,0,'Données projet'!$E$11+1,1))</f>
        <v>83.883967208992033</v>
      </c>
      <c r="BJ24" s="62">
        <f t="shared" si="38"/>
        <v>391.78028845111544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81.949067258505309</v>
      </c>
      <c r="BQ24" s="23">
        <f>EXP(-LN(2)/25)*BQ23+(1-EXP(-LN(2)/25))/(LN(2)/25)*Calculateur!BL24*Calculateur!BN24*VLOOKUP('Données projet'!$B$11,Paramètres!$A$1:$I$89,3,0)*0.475*44/12</f>
        <v>20.245584637462159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102.19465189596747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135.66666666666666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0</v>
      </c>
      <c r="N25" s="14">
        <f>IF('Données projet'!$A$36&gt;35,N24+M25-V24,IF(A25&lt;'Données projet'!$A$36,$K$205^A25,IF(A25='Données projet'!$A$36,'Données projet'!$B$36,N24+M25-V24)))</f>
        <v>0</v>
      </c>
      <c r="O25" s="14">
        <f>N25*VLOOKUP('Données projet'!$B$9,Paramètres!$A$1:$I$89,3,0)*VLOOKUP('Données projet'!$B$9,Paramètres!$A$1:$I$89,5,0)</f>
        <v>0</v>
      </c>
      <c r="P25" s="14" t="e">
        <f t="shared" si="33"/>
        <v>#NUM!</v>
      </c>
      <c r="Q25" s="22" t="e">
        <f t="shared" si="2"/>
        <v>#NUM!</v>
      </c>
      <c r="R25" s="62" t="e">
        <f t="shared" si="0"/>
        <v>#NUM!</v>
      </c>
      <c r="S25" s="62">
        <f ca="1">AVERAGE(OFFSET($R$3,0,0,'Données projet'!$E$9+1,1))-AVERAGE(OFFSET($H$3,0,0,'Données projet'!$E$9+1,1))</f>
        <v>76.280749912424909</v>
      </c>
      <c r="T25" s="62">
        <f t="shared" si="34"/>
        <v>353.34276014239026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71.172617681905066</v>
      </c>
      <c r="AA25" s="23">
        <f>EXP(-LN(2)/25)*AA24+(1-EXP(-LN(2)/25))/(LN(2)/25)*Calculateur!V25*Calculateur!X25*VLOOKUP('Données projet'!$B$9,Paramètres!$A$1:$I$89,3,0)*0.475*44/12</f>
        <v>17.444515184368054</v>
      </c>
      <c r="AB25" s="23">
        <f>EXP(-LN(2)/2)*AB24+(1-EXP(-LN(2)/2))/(LN(2)/2)*V25*Y25*VLOOKUP('Données projet'!$B$9,Paramètres!$A$1:$I$89,3,0)*0.475*44/12</f>
        <v>0</v>
      </c>
      <c r="AC25" s="24">
        <f t="shared" si="3"/>
        <v>88.617132866273124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>
        <f>AI25*VLOOKUP('Données projet'!$B$10,Paramètres!$A$1:$I$89,3,0)*VLOOKUP('Données projet'!$B$10,Paramètres!$A$1:$I$89,5,0)</f>
        <v>0</v>
      </c>
      <c r="AK25" s="14" t="e">
        <f t="shared" si="35"/>
        <v>#NUM!</v>
      </c>
      <c r="AL25" s="22" t="e">
        <f t="shared" si="4"/>
        <v>#NUM!</v>
      </c>
      <c r="AM25" s="62" t="e">
        <f t="shared" si="5"/>
        <v>#NUM!</v>
      </c>
      <c r="AN25" s="62">
        <f ca="1">AVERAGE(OFFSET($AM$3,0,0,'Données projet'!$E$10+1,1))-AVERAGE(OFFSET($H$3,0,0,'Données projet'!$E$10+1,1))</f>
        <v>82.437379371146534</v>
      </c>
      <c r="AO25" s="62">
        <f t="shared" si="36"/>
        <v>384.46649239172427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78.595528728484126</v>
      </c>
      <c r="AV25" s="23">
        <f>EXP(-LN(2)/25)*AV24+(1-EXP(-LN(2)/25))/(LN(2)/25)*Calculateur!AQ25*Calculateur!AS25*VLOOKUP('Données projet'!$B$10,Paramètres!$A$1:$I$89,3,0)*0.475*44/12</f>
        <v>19.263881798688647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97.85941052717277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>
        <f>BD25*VLOOKUP('Données projet'!$B$11,Paramètres!$A$1:$I$89,3,0)*VLOOKUP('Données projet'!$B$11,Paramètres!$A$1:$I$89,5,0)</f>
        <v>0</v>
      </c>
      <c r="BF25" s="14" t="e">
        <f t="shared" si="37"/>
        <v>#NUM!</v>
      </c>
      <c r="BG25" s="22" t="e">
        <f t="shared" si="7"/>
        <v>#NUM!</v>
      </c>
      <c r="BH25" s="62" t="e">
        <f t="shared" si="8"/>
        <v>#NUM!</v>
      </c>
      <c r="BI25" s="62">
        <f ca="1">AVERAGE(OFFSET($BH$3,0,0,'Données projet'!$E$11+1,1))-AVERAGE(OFFSET($H$3,0,0,'Données projet'!$E$11+1,1))</f>
        <v>83.883967208992033</v>
      </c>
      <c r="BJ25" s="62">
        <f t="shared" si="38"/>
        <v>391.78028845111544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80.342096033561532</v>
      </c>
      <c r="BQ25" s="23">
        <f>EXP(-LN(2)/25)*BQ24+(1-EXP(-LN(2)/25))/(LN(2)/25)*Calculateur!BL25*Calculateur!BN25*VLOOKUP('Données projet'!$B$11,Paramètres!$A$1:$I$89,3,0)*0.475*44/12</f>
        <v>19.691968060881731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100.03406409444327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135.66666666666666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0</v>
      </c>
      <c r="N26" s="14">
        <f>IF('Données projet'!$A$36&gt;35,N25+M26-V25,IF(A26&lt;'Données projet'!$A$36,$K$205^A26,IF(A26='Données projet'!$A$36,'Données projet'!$B$36,N25+M26-V25)))</f>
        <v>0</v>
      </c>
      <c r="O26" s="14">
        <f>N26*VLOOKUP('Données projet'!$B$9,Paramètres!$A$1:$I$89,3,0)*VLOOKUP('Données projet'!$B$9,Paramètres!$A$1:$I$89,5,0)</f>
        <v>0</v>
      </c>
      <c r="P26" s="14" t="e">
        <f t="shared" si="33"/>
        <v>#NUM!</v>
      </c>
      <c r="Q26" s="22" t="e">
        <f t="shared" si="2"/>
        <v>#NUM!</v>
      </c>
      <c r="R26" s="62" t="e">
        <f t="shared" si="0"/>
        <v>#NUM!</v>
      </c>
      <c r="S26" s="62">
        <f ca="1">AVERAGE(OFFSET($R$3,0,0,'Données projet'!$E$9+1,1))-AVERAGE(OFFSET($H$3,0,0,'Données projet'!$E$9+1,1))</f>
        <v>76.280749912424909</v>
      </c>
      <c r="T26" s="62">
        <f t="shared" si="34"/>
        <v>353.34276014239026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69.776966060173208</v>
      </c>
      <c r="AA26" s="23">
        <f>EXP(-LN(2)/25)*AA25+(1-EXP(-LN(2)/25))/(LN(2)/25)*Calculateur!V26*Calculateur!X26*VLOOKUP('Données projet'!$B$9,Paramètres!$A$1:$I$89,3,0)*0.475*44/12</f>
        <v>16.967493999284326</v>
      </c>
      <c r="AB26" s="23">
        <f>EXP(-LN(2)/2)*AB25+(1-EXP(-LN(2)/2))/(LN(2)/2)*V26*Y26*VLOOKUP('Données projet'!$B$9,Paramètres!$A$1:$I$89,3,0)*0.475*44/12</f>
        <v>0</v>
      </c>
      <c r="AC26" s="24">
        <f t="shared" si="3"/>
        <v>86.744460059457538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>
        <f>AI26*VLOOKUP('Données projet'!$B$10,Paramètres!$A$1:$I$89,3,0)*VLOOKUP('Données projet'!$B$10,Paramètres!$A$1:$I$89,5,0)</f>
        <v>0</v>
      </c>
      <c r="AK26" s="14" t="e">
        <f t="shared" si="35"/>
        <v>#NUM!</v>
      </c>
      <c r="AL26" s="22" t="e">
        <f t="shared" si="4"/>
        <v>#NUM!</v>
      </c>
      <c r="AM26" s="62" t="e">
        <f t="shared" si="5"/>
        <v>#NUM!</v>
      </c>
      <c r="AN26" s="62">
        <f ca="1">AVERAGE(OFFSET($AM$3,0,0,'Données projet'!$E$10+1,1))-AVERAGE(OFFSET($H$3,0,0,'Données projet'!$E$10+1,1))</f>
        <v>82.437379371146534</v>
      </c>
      <c r="AO26" s="62">
        <f t="shared" si="36"/>
        <v>384.46649239172427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77.054318348657546</v>
      </c>
      <c r="AV26" s="23">
        <f>EXP(-LN(2)/25)*AV25+(1-EXP(-LN(2)/25))/(LN(2)/25)*Calculateur!AQ26*Calculateur!AS26*VLOOKUP('Données projet'!$B$10,Paramètres!$A$1:$I$89,3,0)*0.475*44/12</f>
        <v>18.737109937859991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95.791428286517544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>
        <f>BD26*VLOOKUP('Données projet'!$B$11,Paramètres!$A$1:$I$89,3,0)*VLOOKUP('Données projet'!$B$11,Paramètres!$A$1:$I$89,5,0)</f>
        <v>0</v>
      </c>
      <c r="BF26" s="14" t="e">
        <f t="shared" si="37"/>
        <v>#NUM!</v>
      </c>
      <c r="BG26" s="22" t="e">
        <f t="shared" si="7"/>
        <v>#NUM!</v>
      </c>
      <c r="BH26" s="62" t="e">
        <f t="shared" si="8"/>
        <v>#NUM!</v>
      </c>
      <c r="BI26" s="62">
        <f ca="1">AVERAGE(OFFSET($BH$3,0,0,'Données projet'!$E$11+1,1))-AVERAGE(OFFSET($H$3,0,0,'Données projet'!$E$11+1,1))</f>
        <v>83.883967208992033</v>
      </c>
      <c r="BJ26" s="62">
        <f t="shared" si="38"/>
        <v>391.78028845111544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78.766636534183249</v>
      </c>
      <c r="BQ26" s="23">
        <f>EXP(-LN(2)/25)*BQ25+(1-EXP(-LN(2)/25))/(LN(2)/25)*Calculateur!BL26*Calculateur!BN26*VLOOKUP('Données projet'!$B$11,Paramètres!$A$1:$I$89,3,0)*0.475*44/12</f>
        <v>19.153490158701327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97.92012669288458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135.66666666666666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0</v>
      </c>
      <c r="N27" s="14">
        <f>IF('Données projet'!$A$36&gt;35,N26+M27-V26,IF(A27&lt;'Données projet'!$A$36,$K$205^A27,IF(A27='Données projet'!$A$36,'Données projet'!$B$36,N26+M27-V26)))</f>
        <v>0</v>
      </c>
      <c r="O27" s="14">
        <f>N27*VLOOKUP('Données projet'!$B$9,Paramètres!$A$1:$I$89,3,0)*VLOOKUP('Données projet'!$B$9,Paramètres!$A$1:$I$89,5,0)</f>
        <v>0</v>
      </c>
      <c r="P27" s="14" t="e">
        <f t="shared" si="33"/>
        <v>#NUM!</v>
      </c>
      <c r="Q27" s="22" t="e">
        <f t="shared" si="2"/>
        <v>#NUM!</v>
      </c>
      <c r="R27" s="62" t="e">
        <f t="shared" si="0"/>
        <v>#NUM!</v>
      </c>
      <c r="S27" s="62">
        <f ca="1">AVERAGE(OFFSET($R$3,0,0,'Données projet'!$E$9+1,1))-AVERAGE(OFFSET($H$3,0,0,'Données projet'!$E$9+1,1))</f>
        <v>76.280749912424909</v>
      </c>
      <c r="T27" s="62">
        <f t="shared" si="34"/>
        <v>353.34276014239026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68.408682315480078</v>
      </c>
      <c r="AA27" s="23">
        <f>EXP(-LN(2)/25)*AA26+(1-EXP(-LN(2)/25))/(LN(2)/25)*Calculateur!V27*Calculateur!X27*VLOOKUP('Données projet'!$B$9,Paramètres!$A$1:$I$89,3,0)*0.475*44/12</f>
        <v>16.503516983592167</v>
      </c>
      <c r="AB27" s="23">
        <f>EXP(-LN(2)/2)*AB26+(1-EXP(-LN(2)/2))/(LN(2)/2)*V27*Y27*VLOOKUP('Données projet'!$B$9,Paramètres!$A$1:$I$89,3,0)*0.475*44/12</f>
        <v>0</v>
      </c>
      <c r="AC27" s="24">
        <f t="shared" si="3"/>
        <v>84.912199299072242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>
        <f>AI27*VLOOKUP('Données projet'!$B$10,Paramètres!$A$1:$I$89,3,0)*VLOOKUP('Données projet'!$B$10,Paramètres!$A$1:$I$89,5,0)</f>
        <v>0</v>
      </c>
      <c r="AK27" s="14" t="e">
        <f t="shared" si="35"/>
        <v>#NUM!</v>
      </c>
      <c r="AL27" s="22" t="e">
        <f t="shared" si="4"/>
        <v>#NUM!</v>
      </c>
      <c r="AM27" s="62" t="e">
        <f t="shared" si="5"/>
        <v>#NUM!</v>
      </c>
      <c r="AN27" s="62">
        <f ca="1">AVERAGE(OFFSET($AM$3,0,0,'Données projet'!$E$10+1,1))-AVERAGE(OFFSET($H$3,0,0,'Données projet'!$E$10+1,1))</f>
        <v>82.437379371146534</v>
      </c>
      <c r="AO27" s="62">
        <f t="shared" si="36"/>
        <v>384.46649239172427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75.543330164333852</v>
      </c>
      <c r="AV27" s="23">
        <f>EXP(-LN(2)/25)*AV26+(1-EXP(-LN(2)/25))/(LN(2)/25)*Calculateur!AQ27*Calculateur!AS27*VLOOKUP('Données projet'!$B$10,Paramètres!$A$1:$I$89,3,0)*0.475*44/12</f>
        <v>18.224742681267422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93.768072845601267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>
        <f>BD27*VLOOKUP('Données projet'!$B$11,Paramètres!$A$1:$I$89,3,0)*VLOOKUP('Données projet'!$B$11,Paramètres!$A$1:$I$89,5,0)</f>
        <v>0</v>
      </c>
      <c r="BF27" s="14" t="e">
        <f t="shared" si="37"/>
        <v>#NUM!</v>
      </c>
      <c r="BG27" s="22" t="e">
        <f t="shared" si="7"/>
        <v>#NUM!</v>
      </c>
      <c r="BH27" s="62" t="e">
        <f t="shared" si="8"/>
        <v>#NUM!</v>
      </c>
      <c r="BI27" s="62">
        <f ca="1">AVERAGE(OFFSET($BH$3,0,0,'Données projet'!$E$11+1,1))-AVERAGE(OFFSET($H$3,0,0,'Données projet'!$E$11+1,1))</f>
        <v>83.883967208992033</v>
      </c>
      <c r="BJ27" s="62">
        <f t="shared" si="38"/>
        <v>391.78028845111544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77.222070834652357</v>
      </c>
      <c r="BQ27" s="23">
        <f>EXP(-LN(2)/25)*BQ26+(1-EXP(-LN(2)/25))/(LN(2)/25)*Calculateur!BL27*Calculateur!BN27*VLOOKUP('Données projet'!$B$11,Paramètres!$A$1:$I$89,3,0)*0.475*44/12</f>
        <v>18.629736963073366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95.851807797725726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135.66666666666666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0</v>
      </c>
      <c r="N28" s="14">
        <f>IF('Données projet'!$A$36&gt;35,N27+M28-V27,IF(A28&lt;'Données projet'!$A$36,$K$205^A28,IF(A28='Données projet'!$A$36,'Données projet'!$B$36,N27+M28-V27)))</f>
        <v>0</v>
      </c>
      <c r="O28" s="14">
        <f>N28*VLOOKUP('Données projet'!$B$9,Paramètres!$A$1:$I$89,3,0)*VLOOKUP('Données projet'!$B$9,Paramètres!$A$1:$I$89,5,0)</f>
        <v>0</v>
      </c>
      <c r="P28" s="14" t="e">
        <f t="shared" si="33"/>
        <v>#NUM!</v>
      </c>
      <c r="Q28" s="22" t="e">
        <f t="shared" si="2"/>
        <v>#NUM!</v>
      </c>
      <c r="R28" s="62" t="e">
        <f t="shared" si="0"/>
        <v>#NUM!</v>
      </c>
      <c r="S28" s="62">
        <f ca="1">AVERAGE(OFFSET($R$3,0,0,'Données projet'!$E$9+1,1))-AVERAGE(OFFSET($H$3,0,0,'Données projet'!$E$9+1,1))</f>
        <v>76.280749912424909</v>
      </c>
      <c r="T28" s="62">
        <f t="shared" si="34"/>
        <v>353.34276014239026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67.067229780449708</v>
      </c>
      <c r="AA28" s="23">
        <f>EXP(-LN(2)/25)*AA27+(1-EXP(-LN(2)/25))/(LN(2)/25)*Calculateur!V28*Calculateur!X28*VLOOKUP('Données projet'!$B$9,Paramètres!$A$1:$I$89,3,0)*0.475*44/12</f>
        <v>16.052227443793601</v>
      </c>
      <c r="AB28" s="23">
        <f>EXP(-LN(2)/2)*AB27+(1-EXP(-LN(2)/2))/(LN(2)/2)*V28*Y28*VLOOKUP('Données projet'!$B$9,Paramètres!$A$1:$I$89,3,0)*0.475*44/12</f>
        <v>0</v>
      </c>
      <c r="AC28" s="24">
        <f t="shared" si="3"/>
        <v>83.119457224243305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>
        <f>AI28*VLOOKUP('Données projet'!$B$10,Paramètres!$A$1:$I$89,3,0)*VLOOKUP('Données projet'!$B$10,Paramètres!$A$1:$I$89,5,0)</f>
        <v>0</v>
      </c>
      <c r="AK28" s="14" t="e">
        <f t="shared" si="35"/>
        <v>#NUM!</v>
      </c>
      <c r="AL28" s="22" t="e">
        <f t="shared" si="4"/>
        <v>#NUM!</v>
      </c>
      <c r="AM28" s="62" t="e">
        <f t="shared" si="5"/>
        <v>#NUM!</v>
      </c>
      <c r="AN28" s="62">
        <f ca="1">AVERAGE(OFFSET($AM$3,0,0,'Données projet'!$E$10+1,1))-AVERAGE(OFFSET($H$3,0,0,'Données projet'!$E$10+1,1))</f>
        <v>82.437379371146534</v>
      </c>
      <c r="AO28" s="62">
        <f t="shared" si="36"/>
        <v>384.46649239172427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74.061971536692951</v>
      </c>
      <c r="AV28" s="23">
        <f>EXP(-LN(2)/25)*AV27+(1-EXP(-LN(2)/25))/(LN(2)/25)*Calculateur!AQ28*Calculateur!AS28*VLOOKUP('Données projet'!$B$10,Paramètres!$A$1:$I$89,3,0)*0.475*44/12</f>
        <v>17.7263861342506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91.788357670943554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>
        <f>BD28*VLOOKUP('Données projet'!$B$11,Paramètres!$A$1:$I$89,3,0)*VLOOKUP('Données projet'!$B$11,Paramètres!$A$1:$I$89,5,0)</f>
        <v>0</v>
      </c>
      <c r="BF28" s="14" t="e">
        <f t="shared" si="37"/>
        <v>#NUM!</v>
      </c>
      <c r="BG28" s="22" t="e">
        <f t="shared" si="7"/>
        <v>#NUM!</v>
      </c>
      <c r="BH28" s="62" t="e">
        <f t="shared" si="8"/>
        <v>#NUM!</v>
      </c>
      <c r="BI28" s="62">
        <f ca="1">AVERAGE(OFFSET($BH$3,0,0,'Données projet'!$E$11+1,1))-AVERAGE(OFFSET($H$3,0,0,'Données projet'!$E$11+1,1))</f>
        <v>83.883967208992033</v>
      </c>
      <c r="BJ28" s="62">
        <f t="shared" si="38"/>
        <v>391.78028845111544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75.70779312639722</v>
      </c>
      <c r="BQ28" s="23">
        <f>EXP(-LN(2)/25)*BQ27+(1-EXP(-LN(2)/25))/(LN(2)/25)*Calculateur!BL28*Calculateur!BN28*VLOOKUP('Données projet'!$B$11,Paramètres!$A$1:$I$89,3,0)*0.475*44/12</f>
        <v>18.120305826122838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93.828098952520065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135.66666666666666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0</v>
      </c>
      <c r="N29" s="14">
        <f>IF('Données projet'!$A$36&gt;35,N28+M29-V28,IF(A29&lt;'Données projet'!$A$36,$K$205^A29,IF(A29='Données projet'!$A$36,'Données projet'!$B$36,N28+M29-V28)))</f>
        <v>0</v>
      </c>
      <c r="O29" s="14">
        <f>N29*VLOOKUP('Données projet'!$B$9,Paramètres!$A$1:$I$89,3,0)*VLOOKUP('Données projet'!$B$9,Paramètres!$A$1:$I$89,5,0)</f>
        <v>0</v>
      </c>
      <c r="P29" s="14" t="e">
        <f t="shared" si="33"/>
        <v>#NUM!</v>
      </c>
      <c r="Q29" s="22" t="e">
        <f t="shared" si="2"/>
        <v>#NUM!</v>
      </c>
      <c r="R29" s="62" t="e">
        <f t="shared" si="0"/>
        <v>#NUM!</v>
      </c>
      <c r="S29" s="62">
        <f ca="1">AVERAGE(OFFSET($R$3,0,0,'Données projet'!$E$9+1,1))-AVERAGE(OFFSET($H$3,0,0,'Données projet'!$E$9+1,1))</f>
        <v>76.280749912424909</v>
      </c>
      <c r="T29" s="62">
        <f t="shared" si="34"/>
        <v>353.34276014239026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65.752082311426022</v>
      </c>
      <c r="AA29" s="23">
        <f>EXP(-LN(2)/25)*AA28+(1-EXP(-LN(2)/25))/(LN(2)/25)*Calculateur!V29*Calculateur!X29*VLOOKUP('Données projet'!$B$9,Paramètres!$A$1:$I$89,3,0)*0.475*44/12</f>
        <v>15.613278440193112</v>
      </c>
      <c r="AB29" s="23">
        <f>EXP(-LN(2)/2)*AB28+(1-EXP(-LN(2)/2))/(LN(2)/2)*V29*Y29*VLOOKUP('Données projet'!$B$9,Paramètres!$A$1:$I$89,3,0)*0.475*44/12</f>
        <v>0</v>
      </c>
      <c r="AC29" s="24">
        <f t="shared" si="3"/>
        <v>81.365360751619136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>
        <f>AI29*VLOOKUP('Données projet'!$B$10,Paramètres!$A$1:$I$89,3,0)*VLOOKUP('Données projet'!$B$10,Paramètres!$A$1:$I$89,5,0)</f>
        <v>0</v>
      </c>
      <c r="AK29" s="14" t="e">
        <f t="shared" si="35"/>
        <v>#NUM!</v>
      </c>
      <c r="AL29" s="22" t="e">
        <f t="shared" si="4"/>
        <v>#NUM!</v>
      </c>
      <c r="AM29" s="62" t="e">
        <f t="shared" si="5"/>
        <v>#NUM!</v>
      </c>
      <c r="AN29" s="62">
        <f ca="1">AVERAGE(OFFSET($AM$3,0,0,'Données projet'!$E$10+1,1))-AVERAGE(OFFSET($H$3,0,0,'Données projet'!$E$10+1,1))</f>
        <v>82.437379371146534</v>
      </c>
      <c r="AO29" s="62">
        <f t="shared" si="36"/>
        <v>384.46649239172427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72.609661448200541</v>
      </c>
      <c r="AV29" s="23">
        <f>EXP(-LN(2)/25)*AV28+(1-EXP(-LN(2)/25))/(LN(2)/25)*Calculateur!AQ29*Calculateur!AS29*VLOOKUP('Données projet'!$B$10,Paramètres!$A$1:$I$89,3,0)*0.475*44/12</f>
        <v>17.241657173219384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89.851318621419921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>
        <f>BD29*VLOOKUP('Données projet'!$B$11,Paramètres!$A$1:$I$89,3,0)*VLOOKUP('Données projet'!$B$11,Paramètres!$A$1:$I$89,5,0)</f>
        <v>0</v>
      </c>
      <c r="BF29" s="14" t="e">
        <f t="shared" si="37"/>
        <v>#NUM!</v>
      </c>
      <c r="BG29" s="22" t="e">
        <f t="shared" si="7"/>
        <v>#NUM!</v>
      </c>
      <c r="BH29" s="62" t="e">
        <f t="shared" si="8"/>
        <v>#NUM!</v>
      </c>
      <c r="BI29" s="62">
        <f ca="1">AVERAGE(OFFSET($BH$3,0,0,'Données projet'!$E$11+1,1))-AVERAGE(OFFSET($H$3,0,0,'Données projet'!$E$11+1,1))</f>
        <v>83.883967208992033</v>
      </c>
      <c r="BJ29" s="62">
        <f t="shared" si="38"/>
        <v>391.78028845111544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74.223209480382764</v>
      </c>
      <c r="BQ29" s="23">
        <f>EXP(-LN(2)/25)*BQ28+(1-EXP(-LN(2)/25))/(LN(2)/25)*Calculateur!BL29*Calculateur!BN29*VLOOKUP('Données projet'!$B$11,Paramètres!$A$1:$I$89,3,0)*0.475*44/12</f>
        <v>17.62480511040204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91.8480145907848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135.66666666666666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0</v>
      </c>
      <c r="N30" s="14">
        <f>IF('Données projet'!$A$36&gt;35,N29+M30-V29,IF(A30&lt;'Données projet'!$A$36,$K$205^A30,IF(A30='Données projet'!$A$36,'Données projet'!$B$36,N29+M30-V29)))</f>
        <v>0</v>
      </c>
      <c r="O30" s="14">
        <f>N30*VLOOKUP('Données projet'!$B$9,Paramètres!$A$1:$I$89,3,0)*VLOOKUP('Données projet'!$B$9,Paramètres!$A$1:$I$89,5,0)</f>
        <v>0</v>
      </c>
      <c r="P30" s="14" t="e">
        <f t="shared" si="33"/>
        <v>#NUM!</v>
      </c>
      <c r="Q30" s="22" t="e">
        <f t="shared" si="2"/>
        <v>#NUM!</v>
      </c>
      <c r="R30" s="62" t="e">
        <f t="shared" si="0"/>
        <v>#NUM!</v>
      </c>
      <c r="S30" s="62">
        <f ca="1">AVERAGE(OFFSET($R$3,0,0,'Données projet'!$E$9+1,1))-AVERAGE(OFFSET($H$3,0,0,'Données projet'!$E$9+1,1))</f>
        <v>76.280749912424909</v>
      </c>
      <c r="T30" s="62">
        <f t="shared" si="34"/>
        <v>353.34276014239026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64.462724082109148</v>
      </c>
      <c r="AA30" s="23">
        <f>EXP(-LN(2)/25)*AA29+(1-EXP(-LN(2)/25))/(LN(2)/25)*Calculateur!V30*Calculateur!X30*VLOOKUP('Données projet'!$B$9,Paramètres!$A$1:$I$89,3,0)*0.475*44/12</f>
        <v>15.186332520179402</v>
      </c>
      <c r="AB30" s="23">
        <f>EXP(-LN(2)/2)*AB29+(1-EXP(-LN(2)/2))/(LN(2)/2)*V30*Y30*VLOOKUP('Données projet'!$B$9,Paramètres!$A$1:$I$89,3,0)*0.475*44/12</f>
        <v>0</v>
      </c>
      <c r="AC30" s="24">
        <f t="shared" si="3"/>
        <v>79.649056602288553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>
        <f>AI30*VLOOKUP('Données projet'!$B$10,Paramètres!$A$1:$I$89,3,0)*VLOOKUP('Données projet'!$B$10,Paramètres!$A$1:$I$89,5,0)</f>
        <v>0</v>
      </c>
      <c r="AK30" s="14" t="e">
        <f t="shared" si="35"/>
        <v>#NUM!</v>
      </c>
      <c r="AL30" s="22" t="e">
        <f t="shared" si="4"/>
        <v>#NUM!</v>
      </c>
      <c r="AM30" s="62" t="e">
        <f t="shared" si="5"/>
        <v>#NUM!</v>
      </c>
      <c r="AN30" s="62">
        <f ca="1">AVERAGE(OFFSET($AM$3,0,0,'Données projet'!$E$10+1,1))-AVERAGE(OFFSET($H$3,0,0,'Données projet'!$E$10+1,1))</f>
        <v>82.437379371146534</v>
      </c>
      <c r="AO30" s="62">
        <f t="shared" si="36"/>
        <v>384.46649239172427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71.185830274721781</v>
      </c>
      <c r="AV30" s="23">
        <f>EXP(-LN(2)/25)*AV29+(1-EXP(-LN(2)/25))/(LN(2)/25)*Calculateur!AQ30*Calculateur!AS30*VLOOKUP('Données projet'!$B$10,Paramètres!$A$1:$I$89,3,0)*0.475*44/12</f>
        <v>16.770183151118356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87.95601342584014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>
        <f>BD30*VLOOKUP('Données projet'!$B$11,Paramètres!$A$1:$I$89,3,0)*VLOOKUP('Données projet'!$B$11,Paramètres!$A$1:$I$89,5,0)</f>
        <v>0</v>
      </c>
      <c r="BF30" s="14" t="e">
        <f t="shared" si="37"/>
        <v>#NUM!</v>
      </c>
      <c r="BG30" s="22" t="e">
        <f t="shared" si="7"/>
        <v>#NUM!</v>
      </c>
      <c r="BH30" s="62" t="e">
        <f t="shared" si="8"/>
        <v>#NUM!</v>
      </c>
      <c r="BI30" s="62">
        <f ca="1">AVERAGE(OFFSET($BH$3,0,0,'Données projet'!$E$11+1,1))-AVERAGE(OFFSET($H$3,0,0,'Données projet'!$E$11+1,1))</f>
        <v>83.883967208992033</v>
      </c>
      <c r="BJ30" s="62">
        <f t="shared" si="38"/>
        <v>391.78028845111544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72.767737614160026</v>
      </c>
      <c r="BQ30" s="23">
        <f>EXP(-LN(2)/25)*BQ29+(1-EXP(-LN(2)/25))/(LN(2)/25)*Calculateur!BL30*Calculateur!BN30*VLOOKUP('Données projet'!$B$11,Paramètres!$A$1:$I$89,3,0)*0.475*44/12</f>
        <v>17.142853887809878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89.910591501969904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135.66666666666666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0</v>
      </c>
      <c r="N31" s="14">
        <f>IF('Données projet'!$A$36&gt;35,N30+M31-V30,IF(A31&lt;'Données projet'!$A$36,$K$205^A31,IF(A31='Données projet'!$A$36,'Données projet'!$B$36,N30+M31-V30)))</f>
        <v>0</v>
      </c>
      <c r="O31" s="14">
        <f>N31*VLOOKUP('Données projet'!$B$9,Paramètres!$A$1:$I$89,3,0)*VLOOKUP('Données projet'!$B$9,Paramètres!$A$1:$I$89,5,0)</f>
        <v>0</v>
      </c>
      <c r="P31" s="14" t="e">
        <f t="shared" si="33"/>
        <v>#NUM!</v>
      </c>
      <c r="Q31" s="22" t="e">
        <f t="shared" si="2"/>
        <v>#NUM!</v>
      </c>
      <c r="R31" s="62" t="e">
        <f t="shared" si="0"/>
        <v>#NUM!</v>
      </c>
      <c r="S31" s="62">
        <f ca="1">AVERAGE(OFFSET($R$3,0,0,'Données projet'!$E$9+1,1))-AVERAGE(OFFSET($H$3,0,0,'Données projet'!$E$9+1,1))</f>
        <v>76.280749912424909</v>
      </c>
      <c r="T31" s="62">
        <f t="shared" si="34"/>
        <v>353.34276014239026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63.198649381238312</v>
      </c>
      <c r="AA31" s="23">
        <f>EXP(-LN(2)/25)*AA30+(1-EXP(-LN(2)/25))/(LN(2)/25)*Calculateur!V31*Calculateur!X31*VLOOKUP('Données projet'!$B$9,Paramètres!$A$1:$I$89,3,0)*0.475*44/12</f>
        <v>14.771061458800578</v>
      </c>
      <c r="AB31" s="23">
        <f>EXP(-LN(2)/2)*AB30+(1-EXP(-LN(2)/2))/(LN(2)/2)*V31*Y31*VLOOKUP('Données projet'!$B$9,Paramètres!$A$1:$I$89,3,0)*0.475*44/12</f>
        <v>0</v>
      </c>
      <c r="AC31" s="24">
        <f t="shared" si="3"/>
        <v>77.969710840038886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>
        <f>AI31*VLOOKUP('Données projet'!$B$10,Paramètres!$A$1:$I$89,3,0)*VLOOKUP('Données projet'!$B$10,Paramètres!$A$1:$I$89,5,0)</f>
        <v>0</v>
      </c>
      <c r="AK31" s="14" t="e">
        <f t="shared" si="35"/>
        <v>#NUM!</v>
      </c>
      <c r="AL31" s="22" t="e">
        <f t="shared" si="4"/>
        <v>#NUM!</v>
      </c>
      <c r="AM31" s="62" t="e">
        <f t="shared" si="5"/>
        <v>#NUM!</v>
      </c>
      <c r="AN31" s="62">
        <f ca="1">AVERAGE(OFFSET($AM$3,0,0,'Données projet'!$E$10+1,1))-AVERAGE(OFFSET($H$3,0,0,'Données projet'!$E$10+1,1))</f>
        <v>82.437379371146534</v>
      </c>
      <c r="AO31" s="62">
        <f t="shared" si="36"/>
        <v>384.46649239172427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69.789919562103677</v>
      </c>
      <c r="AV31" s="23">
        <f>EXP(-LN(2)/25)*AV30+(1-EXP(-LN(2)/25))/(LN(2)/25)*Calculateur!AQ31*Calculateur!AS31*VLOOKUP('Données projet'!$B$10,Paramètres!$A$1:$I$89,3,0)*0.475*44/12</f>
        <v>16.31160161094542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86.101521173049093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>
        <f>BD31*VLOOKUP('Données projet'!$B$11,Paramètres!$A$1:$I$89,3,0)*VLOOKUP('Données projet'!$B$11,Paramètres!$A$1:$I$89,5,0)</f>
        <v>0</v>
      </c>
      <c r="BF31" s="14" t="e">
        <f t="shared" si="37"/>
        <v>#NUM!</v>
      </c>
      <c r="BG31" s="22" t="e">
        <f t="shared" si="7"/>
        <v>#NUM!</v>
      </c>
      <c r="BH31" s="62" t="e">
        <f t="shared" si="8"/>
        <v>#NUM!</v>
      </c>
      <c r="BI31" s="62">
        <f ca="1">AVERAGE(OFFSET($BH$3,0,0,'Données projet'!$E$11+1,1))-AVERAGE(OFFSET($H$3,0,0,'Données projet'!$E$11+1,1))</f>
        <v>83.883967208992033</v>
      </c>
      <c r="BJ31" s="62">
        <f t="shared" si="38"/>
        <v>391.78028845111544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71.340806663483747</v>
      </c>
      <c r="BQ31" s="23">
        <f>EXP(-LN(2)/25)*BQ30+(1-EXP(-LN(2)/25))/(LN(2)/25)*Calculateur!BL31*Calculateur!BN31*VLOOKUP('Données projet'!$B$11,Paramètres!$A$1:$I$89,3,0)*0.475*44/12</f>
        <v>16.674081646744209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88.01488831022796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135.66666666666666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0</v>
      </c>
      <c r="N32" s="14">
        <f>IF('Données projet'!$A$36&gt;35,N31+M32-V31,IF(A32&lt;'Données projet'!$A$36,$K$205^A32,IF(A32='Données projet'!$A$36,'Données projet'!$B$36,N31+M32-V31)))</f>
        <v>0</v>
      </c>
      <c r="O32" s="14">
        <f>N32*VLOOKUP('Données projet'!$B$9,Paramètres!$A$1:$I$89,3,0)*VLOOKUP('Données projet'!$B$9,Paramètres!$A$1:$I$89,5,0)</f>
        <v>0</v>
      </c>
      <c r="P32" s="14" t="e">
        <f t="shared" si="33"/>
        <v>#NUM!</v>
      </c>
      <c r="Q32" s="22" t="e">
        <f t="shared" si="2"/>
        <v>#NUM!</v>
      </c>
      <c r="R32" s="62" t="e">
        <f t="shared" si="0"/>
        <v>#NUM!</v>
      </c>
      <c r="S32" s="62">
        <f ca="1">AVERAGE(OFFSET($R$3,0,0,'Données projet'!$E$9+1,1))-AVERAGE(OFFSET($H$3,0,0,'Données projet'!$E$9+1,1))</f>
        <v>76.280749912424909</v>
      </c>
      <c r="T32" s="62">
        <f t="shared" si="34"/>
        <v>353.34276014239026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61.959362414242115</v>
      </c>
      <c r="AA32" s="23">
        <f>EXP(-LN(2)/25)*AA31+(1-EXP(-LN(2)/25))/(LN(2)/25)*Calculateur!V32*Calculateur!X32*VLOOKUP('Données projet'!$B$9,Paramètres!$A$1:$I$89,3,0)*0.475*44/12</f>
        <v>14.367146006433313</v>
      </c>
      <c r="AB32" s="23">
        <f>EXP(-LN(2)/2)*AB31+(1-EXP(-LN(2)/2))/(LN(2)/2)*V32*Y32*VLOOKUP('Données projet'!$B$9,Paramètres!$A$1:$I$89,3,0)*0.475*44/12</f>
        <v>0</v>
      </c>
      <c r="AC32" s="24">
        <f t="shared" si="3"/>
        <v>76.326508420675424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>
        <f>AI32*VLOOKUP('Données projet'!$B$10,Paramètres!$A$1:$I$89,3,0)*VLOOKUP('Données projet'!$B$10,Paramètres!$A$1:$I$89,5,0)</f>
        <v>0</v>
      </c>
      <c r="AK32" s="14" t="e">
        <f t="shared" si="35"/>
        <v>#NUM!</v>
      </c>
      <c r="AL32" s="22" t="e">
        <f t="shared" si="4"/>
        <v>#NUM!</v>
      </c>
      <c r="AM32" s="62" t="e">
        <f t="shared" si="5"/>
        <v>#NUM!</v>
      </c>
      <c r="AN32" s="62">
        <f ca="1">AVERAGE(OFFSET($AM$3,0,0,'Données projet'!$E$10+1,1))-AVERAGE(OFFSET($H$3,0,0,'Données projet'!$E$10+1,1))</f>
        <v>82.437379371146534</v>
      </c>
      <c r="AO32" s="62">
        <f t="shared" si="36"/>
        <v>384.46649239172427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68.421381807138545</v>
      </c>
      <c r="AV32" s="23">
        <f>EXP(-LN(2)/25)*AV31+(1-EXP(-LN(2)/25))/(LN(2)/25)*Calculateur!AQ32*Calculateur!AS32*VLOOKUP('Données projet'!$B$10,Paramètres!$A$1:$I$89,3,0)*0.475*44/12</f>
        <v>15.86556000710427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84.286941814242809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>
        <f>BD32*VLOOKUP('Données projet'!$B$11,Paramètres!$A$1:$I$89,3,0)*VLOOKUP('Données projet'!$B$11,Paramètres!$A$1:$I$89,5,0)</f>
        <v>0</v>
      </c>
      <c r="BF32" s="14" t="e">
        <f t="shared" si="37"/>
        <v>#NUM!</v>
      </c>
      <c r="BG32" s="22" t="e">
        <f t="shared" si="7"/>
        <v>#NUM!</v>
      </c>
      <c r="BH32" s="62" t="e">
        <f t="shared" si="8"/>
        <v>#NUM!</v>
      </c>
      <c r="BI32" s="62">
        <f ca="1">AVERAGE(OFFSET($BH$3,0,0,'Données projet'!$E$11+1,1))-AVERAGE(OFFSET($H$3,0,0,'Données projet'!$E$11+1,1))</f>
        <v>83.883967208992033</v>
      </c>
      <c r="BJ32" s="62">
        <f t="shared" si="38"/>
        <v>391.78028845111544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69.94185695840828</v>
      </c>
      <c r="BQ32" s="23">
        <f>EXP(-LN(2)/25)*BQ31+(1-EXP(-LN(2)/25))/(LN(2)/25)*Calculateur!BL32*Calculateur!BN32*VLOOKUP('Données projet'!$B$11,Paramètres!$A$1:$I$89,3,0)*0.475*44/12</f>
        <v>16.218128007262145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86.159984965670418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135.66666666666666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0</v>
      </c>
      <c r="N33" s="14">
        <f>IF('Données projet'!$A$36&gt;35,N32+M33-V32,IF(A33&lt;'Données projet'!$A$36,$K$205^A33,IF(A33='Données projet'!$A$36,'Données projet'!$B$36,N32+M33-V32)))</f>
        <v>0</v>
      </c>
      <c r="O33" s="14">
        <f>N33*VLOOKUP('Données projet'!$B$9,Paramètres!$A$1:$I$89,3,0)*VLOOKUP('Données projet'!$B$9,Paramètres!$A$1:$I$89,5,0)</f>
        <v>0</v>
      </c>
      <c r="P33" s="14" t="e">
        <f t="shared" si="33"/>
        <v>#NUM!</v>
      </c>
      <c r="Q33" s="22" t="e">
        <f t="shared" si="2"/>
        <v>#NUM!</v>
      </c>
      <c r="R33" s="62" t="e">
        <f t="shared" si="0"/>
        <v>#NUM!</v>
      </c>
      <c r="S33" s="62">
        <f ca="1">AVERAGE(OFFSET($R$3,0,0,'Données projet'!$E$9+1,1))-AVERAGE(OFFSET($H$3,0,0,'Données projet'!$E$9+1,1))</f>
        <v>76.280749912424909</v>
      </c>
      <c r="T33" s="62">
        <f t="shared" si="34"/>
        <v>353.34276014239026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60.744377108778302</v>
      </c>
      <c r="AA33" s="23">
        <f>EXP(-LN(2)/25)*AA32+(1-EXP(-LN(2)/25))/(LN(2)/25)*Calculateur!V33*Calculateur!X33*VLOOKUP('Données projet'!$B$9,Paramètres!$A$1:$I$89,3,0)*0.475*44/12</f>
        <v>13.974275643352021</v>
      </c>
      <c r="AB33" s="23">
        <f>EXP(-LN(2)/2)*AB32+(1-EXP(-LN(2)/2))/(LN(2)/2)*V33*Y33*VLOOKUP('Données projet'!$B$9,Paramètres!$A$1:$I$89,3,0)*0.475*44/12</f>
        <v>0</v>
      </c>
      <c r="AC33" s="24">
        <f t="shared" si="3"/>
        <v>74.718652752130325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>
        <f>AI33*VLOOKUP('Données projet'!$B$10,Paramètres!$A$1:$I$89,3,0)*VLOOKUP('Données projet'!$B$10,Paramètres!$A$1:$I$89,5,0)</f>
        <v>0</v>
      </c>
      <c r="AK33" s="14" t="e">
        <f t="shared" si="35"/>
        <v>#NUM!</v>
      </c>
      <c r="AL33" s="22" t="e">
        <f t="shared" si="4"/>
        <v>#NUM!</v>
      </c>
      <c r="AM33" s="62" t="e">
        <f t="shared" si="5"/>
        <v>#NUM!</v>
      </c>
      <c r="AN33" s="62">
        <f ca="1">AVERAGE(OFFSET($AM$3,0,0,'Données projet'!$E$10+1,1))-AVERAGE(OFFSET($H$3,0,0,'Données projet'!$E$10+1,1))</f>
        <v>82.437379371146534</v>
      </c>
      <c r="AO33" s="62">
        <f t="shared" si="36"/>
        <v>384.46649239172427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67.079680242822675</v>
      </c>
      <c r="AV33" s="23">
        <f>EXP(-LN(2)/25)*AV32+(1-EXP(-LN(2)/25))/(LN(2)/25)*Calculateur!AQ33*Calculateur!AS33*VLOOKUP('Données projet'!$B$10,Paramètres!$A$1:$I$89,3,0)*0.475*44/12</f>
        <v>15.431715434376464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82.511395677199147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>
        <f>BD33*VLOOKUP('Données projet'!$B$11,Paramètres!$A$1:$I$89,3,0)*VLOOKUP('Données projet'!$B$11,Paramètres!$A$1:$I$89,5,0)</f>
        <v>0</v>
      </c>
      <c r="BF33" s="14" t="e">
        <f t="shared" si="37"/>
        <v>#NUM!</v>
      </c>
      <c r="BG33" s="22" t="e">
        <f t="shared" si="7"/>
        <v>#NUM!</v>
      </c>
      <c r="BH33" s="62" t="e">
        <f t="shared" si="8"/>
        <v>#NUM!</v>
      </c>
      <c r="BI33" s="62">
        <f ca="1">AVERAGE(OFFSET($BH$3,0,0,'Données projet'!$E$11+1,1))-AVERAGE(OFFSET($H$3,0,0,'Données projet'!$E$11+1,1))</f>
        <v>83.883967208992033</v>
      </c>
      <c r="BJ33" s="62">
        <f t="shared" si="38"/>
        <v>391.78028845111544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68.570339803774289</v>
      </c>
      <c r="BQ33" s="23">
        <f>EXP(-LN(2)/25)*BQ32+(1-EXP(-LN(2)/25))/(LN(2)/25)*Calculateur!BL33*Calculateur!BN33*VLOOKUP('Données projet'!$B$11,Paramètres!$A$1:$I$89,3,0)*0.475*44/12</f>
        <v>15.774642444029277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84.344982247803571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135.66666666666666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0</v>
      </c>
      <c r="O34" s="14">
        <f>N34*VLOOKUP('Données projet'!$B$9,Paramètres!$A$1:$I$89,3,0)*VLOOKUP('Données projet'!$B$9,Paramètres!$A$1:$I$89,5,0)</f>
        <v>0</v>
      </c>
      <c r="P34" s="14" t="e">
        <f t="shared" si="33"/>
        <v>#NUM!</v>
      </c>
      <c r="Q34" s="22" t="e">
        <f t="shared" si="2"/>
        <v>#NUM!</v>
      </c>
      <c r="R34" s="62" t="e">
        <f t="shared" si="0"/>
        <v>#NUM!</v>
      </c>
      <c r="S34" s="62">
        <f ca="1">AVERAGE(OFFSET($R$3,0,0,'Données projet'!$E$9+1,1))-AVERAGE(OFFSET($H$3,0,0,'Données projet'!$E$9+1,1))</f>
        <v>76.280749912424909</v>
      </c>
      <c r="T34" s="62">
        <f t="shared" si="34"/>
        <v>353.34276014239026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59.553216924086769</v>
      </c>
      <c r="AA34" s="23">
        <f>EXP(-LN(2)/25)*AA33+(1-EXP(-LN(2)/25))/(LN(2)/25)*Calculateur!V34*Calculateur!X34*VLOOKUP('Données projet'!$B$9,Paramètres!$A$1:$I$89,3,0)*0.475*44/12</f>
        <v>13.592148341009343</v>
      </c>
      <c r="AB34" s="23">
        <f>EXP(-LN(2)/2)*AB33+(1-EXP(-LN(2)/2))/(LN(2)/2)*V34*Y34*VLOOKUP('Données projet'!$B$9,Paramètres!$A$1:$I$89,3,0)*0.475*44/12</f>
        <v>0</v>
      </c>
      <c r="AC34" s="24">
        <f t="shared" si="3"/>
        <v>73.145365265096117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>
        <f>AI34*VLOOKUP('Données projet'!$B$10,Paramètres!$A$1:$I$89,3,0)*VLOOKUP('Données projet'!$B$10,Paramètres!$A$1:$I$89,5,0)</f>
        <v>0</v>
      </c>
      <c r="AK34" s="14" t="e">
        <f t="shared" si="35"/>
        <v>#NUM!</v>
      </c>
      <c r="AL34" s="22" t="e">
        <f t="shared" si="4"/>
        <v>#NUM!</v>
      </c>
      <c r="AM34" s="62" t="e">
        <f t="shared" si="5"/>
        <v>#NUM!</v>
      </c>
      <c r="AN34" s="62">
        <f ca="1">AVERAGE(OFFSET($AM$3,0,0,'Données projet'!$E$10+1,1))-AVERAGE(OFFSET($H$3,0,0,'Données projet'!$E$10+1,1))</f>
        <v>82.437379371146534</v>
      </c>
      <c r="AO34" s="62">
        <f t="shared" si="36"/>
        <v>384.46649239172427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65.764288627825891</v>
      </c>
      <c r="AV34" s="23">
        <f>EXP(-LN(2)/25)*AV33+(1-EXP(-LN(2)/25))/(LN(2)/25)*Calculateur!AQ34*Calculateur!AS34*VLOOKUP('Données projet'!$B$10,Paramètres!$A$1:$I$89,3,0)*0.475*44/12</f>
        <v>15.009734364304794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80.774022992130682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>
        <f>BD34*VLOOKUP('Données projet'!$B$11,Paramètres!$A$1:$I$89,3,0)*VLOOKUP('Données projet'!$B$11,Paramètres!$A$1:$I$89,5,0)</f>
        <v>0</v>
      </c>
      <c r="BF34" s="14" t="e">
        <f t="shared" si="37"/>
        <v>#NUM!</v>
      </c>
      <c r="BG34" s="22" t="e">
        <f t="shared" si="7"/>
        <v>#NUM!</v>
      </c>
      <c r="BH34" s="62" t="e">
        <f t="shared" si="8"/>
        <v>#NUM!</v>
      </c>
      <c r="BI34" s="62">
        <f ca="1">AVERAGE(OFFSET($BH$3,0,0,'Données projet'!$E$11+1,1))-AVERAGE(OFFSET($H$3,0,0,'Données projet'!$E$11+1,1))</f>
        <v>83.883967208992033</v>
      </c>
      <c r="BJ34" s="62">
        <f t="shared" si="38"/>
        <v>391.78028845111544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67.225717263999798</v>
      </c>
      <c r="BQ34" s="23">
        <f>EXP(-LN(2)/25)*BQ33+(1-EXP(-LN(2)/25))/(LN(2)/25)*Calculateur!BL34*Calculateur!BN34*VLOOKUP('Données projet'!$B$11,Paramètres!$A$1:$I$89,3,0)*0.475*44/12</f>
        <v>15.343284016844905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82.569001280844702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135.66666666666666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0</v>
      </c>
      <c r="O35" s="14">
        <f>N35*VLOOKUP('Données projet'!$B$9,Paramètres!$A$1:$I$89,3,0)*VLOOKUP('Données projet'!$B$9,Paramètres!$A$1:$I$89,5,0)</f>
        <v>0</v>
      </c>
      <c r="P35" s="14" t="e">
        <f t="shared" si="33"/>
        <v>#NUM!</v>
      </c>
      <c r="Q35" s="22" t="e">
        <f t="shared" ref="Q35:Q66" si="53">(O35+P35)*0.475*44/12</f>
        <v>#NUM!</v>
      </c>
      <c r="R35" s="62" t="e">
        <f t="shared" si="0"/>
        <v>#NUM!</v>
      </c>
      <c r="S35" s="62">
        <f ca="1">AVERAGE(OFFSET($R$3,0,0,'Données projet'!$E$9+1,1))-AVERAGE(OFFSET($H$3,0,0,'Données projet'!$E$9+1,1))</f>
        <v>76.280749912424909</v>
      </c>
      <c r="T35" s="62">
        <f t="shared" si="34"/>
        <v>353.34276014239026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58.385414664081068</v>
      </c>
      <c r="AA35" s="23">
        <f>EXP(-LN(2)/25)*AA34+(1-EXP(-LN(2)/25))/(LN(2)/25)*Calculateur!V35*Calculateur!X35*VLOOKUP('Données projet'!$B$9,Paramètres!$A$1:$I$89,3,0)*0.475*44/12</f>
        <v>13.220470329844426</v>
      </c>
      <c r="AB35" s="23">
        <f>EXP(-LN(2)/2)*AB34+(1-EXP(-LN(2)/2))/(LN(2)/2)*V35*Y35*VLOOKUP('Données projet'!$B$9,Paramètres!$A$1:$I$89,3,0)*0.475*44/12</f>
        <v>0</v>
      </c>
      <c r="AC35" s="24">
        <f t="shared" si="3"/>
        <v>71.6058849939255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>
        <f>AI35*VLOOKUP('Données projet'!$B$10,Paramètres!$A$1:$I$89,3,0)*VLOOKUP('Données projet'!$B$10,Paramètres!$A$1:$I$89,5,0)</f>
        <v>0</v>
      </c>
      <c r="AK35" s="14" t="e">
        <f t="shared" si="35"/>
        <v>#NUM!</v>
      </c>
      <c r="AL35" s="22" t="e">
        <f t="shared" si="4"/>
        <v>#NUM!</v>
      </c>
      <c r="AM35" s="62" t="e">
        <f t="shared" si="5"/>
        <v>#NUM!</v>
      </c>
      <c r="AN35" s="62">
        <f ca="1">AVERAGE(OFFSET($AM$3,0,0,'Données projet'!$E$10+1,1))-AVERAGE(OFFSET($H$3,0,0,'Données projet'!$E$10+1,1))</f>
        <v>82.437379371146534</v>
      </c>
      <c r="AO35" s="62">
        <f t="shared" si="36"/>
        <v>384.46649239172427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64.474691040089539</v>
      </c>
      <c r="AV35" s="23">
        <f>EXP(-LN(2)/25)*AV34+(1-EXP(-LN(2)/25))/(LN(2)/25)*Calculateur!AQ35*Calculateur!AS35*VLOOKUP('Données projet'!$B$10,Paramètres!$A$1:$I$89,3,0)*0.475*44/12</f>
        <v>14.599292388785255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79.073983428874797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>
        <f>BD35*VLOOKUP('Données projet'!$B$11,Paramètres!$A$1:$I$89,3,0)*VLOOKUP('Données projet'!$B$11,Paramètres!$A$1:$I$89,5,0)</f>
        <v>0</v>
      </c>
      <c r="BF35" s="14" t="e">
        <f t="shared" si="37"/>
        <v>#NUM!</v>
      </c>
      <c r="BG35" s="22" t="e">
        <f t="shared" si="7"/>
        <v>#NUM!</v>
      </c>
      <c r="BH35" s="62" t="e">
        <f t="shared" si="8"/>
        <v>#NUM!</v>
      </c>
      <c r="BI35" s="62">
        <f ca="1">AVERAGE(OFFSET($BH$3,0,0,'Données projet'!$E$11+1,1))-AVERAGE(OFFSET($H$3,0,0,'Données projet'!$E$11+1,1))</f>
        <v>83.883967208992033</v>
      </c>
      <c r="BJ35" s="62">
        <f t="shared" si="38"/>
        <v>391.78028845111544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65.907461952091523</v>
      </c>
      <c r="BQ35" s="23">
        <f>EXP(-LN(2)/25)*BQ34+(1-EXP(-LN(2)/25))/(LN(2)/25)*Calculateur!BL35*Calculateur!BN35*VLOOKUP('Données projet'!$B$11,Paramètres!$A$1:$I$89,3,0)*0.475*44/12</f>
        <v>14.923721108536041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80.831183060627566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135.66666666666666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0</v>
      </c>
      <c r="O36" s="14">
        <f>N36*VLOOKUP('Données projet'!$B$9,Paramètres!$A$1:$I$89,3,0)*VLOOKUP('Données projet'!$B$9,Paramètres!$A$1:$I$89,5,0)</f>
        <v>0</v>
      </c>
      <c r="P36" s="14" t="e">
        <f t="shared" si="33"/>
        <v>#NUM!</v>
      </c>
      <c r="Q36" s="22" t="e">
        <f t="shared" si="53"/>
        <v>#NUM!</v>
      </c>
      <c r="R36" s="62" t="e">
        <f t="shared" si="0"/>
        <v>#NUM!</v>
      </c>
      <c r="S36" s="62">
        <f ca="1">AVERAGE(OFFSET($R$3,0,0,'Données projet'!$E$9+1,1))-AVERAGE(OFFSET($H$3,0,0,'Données projet'!$E$9+1,1))</f>
        <v>76.280749912424909</v>
      </c>
      <c r="T36" s="62">
        <f t="shared" si="34"/>
        <v>353.34276014239026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57.240512294105031</v>
      </c>
      <c r="AA36" s="23">
        <f>EXP(-LN(2)/25)*AA35+(1-EXP(-LN(2)/25))/(LN(2)/25)*Calculateur!V36*Calculateur!X36*VLOOKUP('Données projet'!$B$9,Paramètres!$A$1:$I$89,3,0)*0.475*44/12</f>
        <v>12.858955873440511</v>
      </c>
      <c r="AB36" s="23">
        <f>EXP(-LN(2)/2)*AB35+(1-EXP(-LN(2)/2))/(LN(2)/2)*V36*Y36*VLOOKUP('Données projet'!$B$9,Paramètres!$A$1:$I$89,3,0)*0.475*44/12</f>
        <v>0</v>
      </c>
      <c r="AC36" s="24">
        <f t="shared" si="3"/>
        <v>70.099468167545538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>
        <f>AI36*VLOOKUP('Données projet'!$B$10,Paramètres!$A$1:$I$89,3,0)*VLOOKUP('Données projet'!$B$10,Paramètres!$A$1:$I$89,5,0)</f>
        <v>0</v>
      </c>
      <c r="AK36" s="14" t="e">
        <f t="shared" si="35"/>
        <v>#NUM!</v>
      </c>
      <c r="AL36" s="22" t="e">
        <f t="shared" si="4"/>
        <v>#NUM!</v>
      </c>
      <c r="AM36" s="62" t="e">
        <f t="shared" si="5"/>
        <v>#NUM!</v>
      </c>
      <c r="AN36" s="62">
        <f ca="1">AVERAGE(OFFSET($AM$3,0,0,'Données projet'!$E$10+1,1))-AVERAGE(OFFSET($H$3,0,0,'Données projet'!$E$10+1,1))</f>
        <v>82.437379371146534</v>
      </c>
      <c r="AO36" s="62">
        <f t="shared" si="36"/>
        <v>384.46649239172427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63.210381674471826</v>
      </c>
      <c r="AV36" s="23">
        <f>EXP(-LN(2)/25)*AV35+(1-EXP(-LN(2)/25))/(LN(2)/25)*Calculateur!AQ36*Calculateur!AS36*VLOOKUP('Données projet'!$B$10,Paramètres!$A$1:$I$89,3,0)*0.475*44/12</f>
        <v>14.200073970670502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77.410455645142321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>
        <f>BD36*VLOOKUP('Données projet'!$B$11,Paramètres!$A$1:$I$89,3,0)*VLOOKUP('Données projet'!$B$11,Paramètres!$A$1:$I$89,5,0)</f>
        <v>0</v>
      </c>
      <c r="BF36" s="14" t="e">
        <f t="shared" si="37"/>
        <v>#NUM!</v>
      </c>
      <c r="BG36" s="22" t="e">
        <f t="shared" si="7"/>
        <v>#NUM!</v>
      </c>
      <c r="BH36" s="62" t="e">
        <f t="shared" si="8"/>
        <v>#NUM!</v>
      </c>
      <c r="BI36" s="62">
        <f ca="1">AVERAGE(OFFSET($BH$3,0,0,'Données projet'!$E$11+1,1))-AVERAGE(OFFSET($H$3,0,0,'Données projet'!$E$11+1,1))</f>
        <v>83.883967208992033</v>
      </c>
      <c r="BJ36" s="62">
        <f t="shared" si="38"/>
        <v>391.78028845111544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64.61505682279342</v>
      </c>
      <c r="BQ36" s="23">
        <f>EXP(-LN(2)/25)*BQ35+(1-EXP(-LN(2)/25))/(LN(2)/25)*Calculateur!BL36*Calculateur!BN36*VLOOKUP('Données projet'!$B$11,Paramètres!$A$1:$I$89,3,0)*0.475*44/12</f>
        <v>14.515631170018738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79.130687992812156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135.66666666666666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0</v>
      </c>
      <c r="O37" s="14">
        <f>N37*VLOOKUP('Données projet'!$B$9,Paramètres!$A$1:$I$89,3,0)*VLOOKUP('Données projet'!$B$9,Paramètres!$A$1:$I$89,5,0)</f>
        <v>0</v>
      </c>
      <c r="P37" s="14" t="e">
        <f t="shared" si="33"/>
        <v>#NUM!</v>
      </c>
      <c r="Q37" s="22" t="e">
        <f t="shared" si="53"/>
        <v>#NUM!</v>
      </c>
      <c r="R37" s="62" t="e">
        <f t="shared" si="0"/>
        <v>#NUM!</v>
      </c>
      <c r="S37" s="62">
        <f ca="1">AVERAGE(OFFSET($R$3,0,0,'Données projet'!$E$9+1,1))-AVERAGE(OFFSET($H$3,0,0,'Données projet'!$E$9+1,1))</f>
        <v>76.280749912424909</v>
      </c>
      <c r="T37" s="62">
        <f t="shared" si="34"/>
        <v>353.34276014239026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56.118060761282734</v>
      </c>
      <c r="AA37" s="23">
        <f>EXP(-LN(2)/25)*AA36+(1-EXP(-LN(2)/25))/(LN(2)/25)*Calculateur!V37*Calculateur!X37*VLOOKUP('Données projet'!$B$9,Paramètres!$A$1:$I$89,3,0)*0.475*44/12</f>
        <v>12.50732704885818</v>
      </c>
      <c r="AB37" s="23">
        <f>EXP(-LN(2)/2)*AB36+(1-EXP(-LN(2)/2))/(LN(2)/2)*V37*Y37*VLOOKUP('Données projet'!$B$9,Paramètres!$A$1:$I$89,3,0)*0.475*44/12</f>
        <v>0</v>
      </c>
      <c r="AC37" s="24">
        <f t="shared" si="3"/>
        <v>68.625387810140921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>
        <f>AI37*VLOOKUP('Données projet'!$B$10,Paramètres!$A$1:$I$89,3,0)*VLOOKUP('Données projet'!$B$10,Paramètres!$A$1:$I$89,5,0)</f>
        <v>0</v>
      </c>
      <c r="AK37" s="14" t="e">
        <f t="shared" si="35"/>
        <v>#NUM!</v>
      </c>
      <c r="AL37" s="22" t="e">
        <f t="shared" si="4"/>
        <v>#NUM!</v>
      </c>
      <c r="AM37" s="62" t="e">
        <f t="shared" si="5"/>
        <v>#NUM!</v>
      </c>
      <c r="AN37" s="62">
        <f ca="1">AVERAGE(OFFSET($AM$3,0,0,'Données projet'!$E$10+1,1))-AVERAGE(OFFSET($H$3,0,0,'Données projet'!$E$10+1,1))</f>
        <v>82.437379371146534</v>
      </c>
      <c r="AO37" s="62">
        <f t="shared" si="36"/>
        <v>384.46649239172427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61.970864644361313</v>
      </c>
      <c r="AV37" s="23">
        <f>EXP(-LN(2)/25)*AV36+(1-EXP(-LN(2)/25))/(LN(2)/25)*Calculateur!AQ37*Calculateur!AS37*VLOOKUP('Données projet'!$B$10,Paramètres!$A$1:$I$89,3,0)*0.475*44/12</f>
        <v>13.811772201193081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75.782636845554393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>
        <f>BD37*VLOOKUP('Données projet'!$B$11,Paramètres!$A$1:$I$89,3,0)*VLOOKUP('Données projet'!$B$11,Paramètres!$A$1:$I$89,5,0)</f>
        <v>0</v>
      </c>
      <c r="BF37" s="14" t="e">
        <f t="shared" si="37"/>
        <v>#NUM!</v>
      </c>
      <c r="BG37" s="22" t="e">
        <f t="shared" si="7"/>
        <v>#NUM!</v>
      </c>
      <c r="BH37" s="62" t="e">
        <f t="shared" si="8"/>
        <v>#NUM!</v>
      </c>
      <c r="BI37" s="62">
        <f ca="1">AVERAGE(OFFSET($BH$3,0,0,'Données projet'!$E$11+1,1))-AVERAGE(OFFSET($H$3,0,0,'Données projet'!$E$11+1,1))</f>
        <v>83.883967208992033</v>
      </c>
      <c r="BJ37" s="62">
        <f t="shared" si="38"/>
        <v>391.78028845111544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63.347994969791564</v>
      </c>
      <c r="BQ37" s="23">
        <f>EXP(-LN(2)/25)*BQ36+(1-EXP(-LN(2)/25))/(LN(2)/25)*Calculateur!BL37*Calculateur!BN37*VLOOKUP('Données projet'!$B$11,Paramètres!$A$1:$I$89,3,0)*0.475*44/12</f>
        <v>14.118700472330708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77.466695442122273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135.66666666666666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76.280749912424909</v>
      </c>
      <c r="T38" s="62">
        <f t="shared" si="34"/>
        <v>353.34276014239026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55.017619818391246</v>
      </c>
      <c r="AA38" s="23">
        <f>EXP(-LN(2)/25)*AA37+(1-EXP(-LN(2)/25))/(LN(2)/25)*Calculateur!V38*Calculateur!X38*VLOOKUP('Données projet'!$B$9,Paramètres!$A$1:$I$89,3,0)*0.475*44/12</f>
        <v>12.165313532975409</v>
      </c>
      <c r="AB38" s="23">
        <f>EXP(-LN(2)/2)*AB37+(1-EXP(-LN(2)/2))/(LN(2)/2)*V38*Y38*VLOOKUP('Données projet'!$B$9,Paramètres!$A$1:$I$89,3,0)*0.475*44/12</f>
        <v>0</v>
      </c>
      <c r="AC38" s="24">
        <f t="shared" si="3"/>
        <v>67.182933351366657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>
        <f>AI38*VLOOKUP('Données projet'!$B$10,Paramètres!$A$1:$I$89,3,0)*VLOOKUP('Données projet'!$B$10,Paramètres!$A$1:$I$89,5,0)</f>
        <v>0</v>
      </c>
      <c r="AK38" s="14" t="e">
        <f t="shared" si="35"/>
        <v>#NUM!</v>
      </c>
      <c r="AL38" s="22" t="e">
        <f t="shared" si="4"/>
        <v>#NUM!</v>
      </c>
      <c r="AM38" s="62" t="e">
        <f t="shared" si="5"/>
        <v>#NUM!</v>
      </c>
      <c r="AN38" s="62">
        <f ca="1">AVERAGE(OFFSET($AM$3,0,0,'Données projet'!$E$10+1,1))-AVERAGE(OFFSET($H$3,0,0,'Données projet'!$E$10+1,1))</f>
        <v>82.437379371146534</v>
      </c>
      <c r="AO38" s="62">
        <f t="shared" si="36"/>
        <v>384.46649239172427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60.755653787180528</v>
      </c>
      <c r="AV38" s="23">
        <f>EXP(-LN(2)/25)*AV37+(1-EXP(-LN(2)/25))/(LN(2)/25)*Calculateur!AQ38*Calculateur!AS38*VLOOKUP('Données projet'!$B$10,Paramètres!$A$1:$I$89,3,0)*0.475*44/12</f>
        <v>13.434088564021923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74.189742351202455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>
        <f>BD38*VLOOKUP('Données projet'!$B$11,Paramètres!$A$1:$I$89,3,0)*VLOOKUP('Données projet'!$B$11,Paramètres!$A$1:$I$89,5,0)</f>
        <v>0</v>
      </c>
      <c r="BF38" s="14" t="e">
        <f t="shared" si="37"/>
        <v>#NUM!</v>
      </c>
      <c r="BG38" s="22" t="e">
        <f t="shared" si="7"/>
        <v>#NUM!</v>
      </c>
      <c r="BH38" s="62" t="e">
        <f t="shared" si="8"/>
        <v>#NUM!</v>
      </c>
      <c r="BI38" s="62">
        <f ca="1">AVERAGE(OFFSET($BH$3,0,0,'Données projet'!$E$11+1,1))-AVERAGE(OFFSET($H$3,0,0,'Données projet'!$E$11+1,1))</f>
        <v>83.883967208992033</v>
      </c>
      <c r="BJ38" s="62">
        <f t="shared" si="38"/>
        <v>391.78028845111544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62.105779426895651</v>
      </c>
      <c r="BQ38" s="23">
        <f>EXP(-LN(2)/25)*BQ37+(1-EXP(-LN(2)/25))/(LN(2)/25)*Calculateur!BL38*Calculateur!BN38*VLOOKUP('Données projet'!$B$11,Paramètres!$A$1:$I$89,3,0)*0.475*44/12</f>
        <v>13.732623865444635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75.838403292340288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135.66666666666666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76.280749912424909</v>
      </c>
      <c r="T39" s="62">
        <f t="shared" si="34"/>
        <v>353.34276014239026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53.938757851187162</v>
      </c>
      <c r="AA39" s="23">
        <f>EXP(-LN(2)/25)*AA38+(1-EXP(-LN(2)/25))/(LN(2)/25)*Calculateur!V39*Calculateur!X39*VLOOKUP('Données projet'!$B$9,Paramètres!$A$1:$I$89,3,0)*0.475*44/12</f>
        <v>11.832652394670163</v>
      </c>
      <c r="AB39" s="23">
        <f>EXP(-LN(2)/2)*AB38+(1-EXP(-LN(2)/2))/(LN(2)/2)*V39*Y39*VLOOKUP('Données projet'!$B$9,Paramètres!$A$1:$I$89,3,0)*0.475*44/12</f>
        <v>0</v>
      </c>
      <c r="AC39" s="24">
        <f t="shared" si="3"/>
        <v>65.771410245857325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>
        <f>AI39*VLOOKUP('Données projet'!$B$10,Paramètres!$A$1:$I$89,3,0)*VLOOKUP('Données projet'!$B$10,Paramètres!$A$1:$I$89,5,0)</f>
        <v>0</v>
      </c>
      <c r="AK39" s="14" t="e">
        <f t="shared" si="35"/>
        <v>#NUM!</v>
      </c>
      <c r="AL39" s="22" t="e">
        <f t="shared" si="4"/>
        <v>#NUM!</v>
      </c>
      <c r="AM39" s="62" t="e">
        <f t="shared" si="5"/>
        <v>#NUM!</v>
      </c>
      <c r="AN39" s="62">
        <f ca="1">AVERAGE(OFFSET($AM$3,0,0,'Données projet'!$E$10+1,1))-AVERAGE(OFFSET($H$3,0,0,'Données projet'!$E$10+1,1))</f>
        <v>82.437379371146534</v>
      </c>
      <c r="AO39" s="62">
        <f t="shared" si="36"/>
        <v>384.46649239172427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59.564272473703625</v>
      </c>
      <c r="AV39" s="23">
        <f>EXP(-LN(2)/25)*AV38+(1-EXP(-LN(2)/25))/(LN(2)/25)*Calculateur!AQ39*Calculateur!AS39*VLOOKUP('Données projet'!$B$10,Paramètres!$A$1:$I$89,3,0)*0.475*44/12</f>
        <v>13.066732705770731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72.631005179474357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>
        <f>BD39*VLOOKUP('Données projet'!$B$11,Paramètres!$A$1:$I$89,3,0)*VLOOKUP('Données projet'!$B$11,Paramètres!$A$1:$I$89,5,0)</f>
        <v>0</v>
      </c>
      <c r="BF39" s="14" t="e">
        <f t="shared" si="37"/>
        <v>#NUM!</v>
      </c>
      <c r="BG39" s="22" t="e">
        <f t="shared" si="7"/>
        <v>#NUM!</v>
      </c>
      <c r="BH39" s="62" t="e">
        <f t="shared" si="8"/>
        <v>#NUM!</v>
      </c>
      <c r="BI39" s="62">
        <f ca="1">AVERAGE(OFFSET($BH$3,0,0,'Données projet'!$E$11+1,1))-AVERAGE(OFFSET($H$3,0,0,'Données projet'!$E$11+1,1))</f>
        <v>83.883967208992033</v>
      </c>
      <c r="BJ39" s="62">
        <f t="shared" si="38"/>
        <v>391.78028845111544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60.887922973119259</v>
      </c>
      <c r="BQ39" s="23">
        <f>EXP(-LN(2)/25)*BQ38+(1-EXP(-LN(2)/25))/(LN(2)/25)*Calculateur!BL39*Calculateur!BN39*VLOOKUP('Données projet'!$B$11,Paramètres!$A$1:$I$89,3,0)*0.475*44/12</f>
        <v>13.357104543676749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74.245027516796014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135.66666666666666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76.280749912424909</v>
      </c>
      <c r="T40" s="62">
        <f t="shared" si="34"/>
        <v>353.34276014239026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52.881051709119127</v>
      </c>
      <c r="AA40" s="23">
        <f>EXP(-LN(2)/25)*AA39+(1-EXP(-LN(2)/25))/(LN(2)/25)*Calculateur!V40*Calculateur!X40*VLOOKUP('Données projet'!$B$9,Paramètres!$A$1:$I$89,3,0)*0.475*44/12</f>
        <v>11.509087892685761</v>
      </c>
      <c r="AB40" s="23">
        <f>EXP(-LN(2)/2)*AB39+(1-EXP(-LN(2)/2))/(LN(2)/2)*V40*Y40*VLOOKUP('Données projet'!$B$9,Paramètres!$A$1:$I$89,3,0)*0.475*44/12</f>
        <v>0</v>
      </c>
      <c r="AC40" s="24">
        <f t="shared" si="3"/>
        <v>64.39013960180489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>
        <f>AI40*VLOOKUP('Données projet'!$B$10,Paramètres!$A$1:$I$89,3,0)*VLOOKUP('Données projet'!$B$10,Paramètres!$A$1:$I$89,5,0)</f>
        <v>0</v>
      </c>
      <c r="AK40" s="14" t="e">
        <f t="shared" si="35"/>
        <v>#NUM!</v>
      </c>
      <c r="AL40" s="22" t="e">
        <f t="shared" si="4"/>
        <v>#NUM!</v>
      </c>
      <c r="AM40" s="62" t="e">
        <f t="shared" si="5"/>
        <v>#NUM!</v>
      </c>
      <c r="AN40" s="62">
        <f ca="1">AVERAGE(OFFSET($AM$3,0,0,'Données projet'!$E$10+1,1))-AVERAGE(OFFSET($H$3,0,0,'Données projet'!$E$10+1,1))</f>
        <v>82.437379371146534</v>
      </c>
      <c r="AO40" s="62">
        <f t="shared" si="36"/>
        <v>384.46649239172427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58.396253421113158</v>
      </c>
      <c r="AV40" s="23">
        <f>EXP(-LN(2)/25)*AV39+(1-EXP(-LN(2)/25))/(LN(2)/25)*Calculateur!AQ40*Calculateur!AS40*VLOOKUP('Données projet'!$B$10,Paramètres!$A$1:$I$89,3,0)*0.475*44/12</f>
        <v>12.709422212781822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71.105675633894975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>
        <f>BD40*VLOOKUP('Données projet'!$B$11,Paramètres!$A$1:$I$89,3,0)*VLOOKUP('Données projet'!$B$11,Paramètres!$A$1:$I$89,5,0)</f>
        <v>0</v>
      </c>
      <c r="BF40" s="14" t="e">
        <f t="shared" si="37"/>
        <v>#NUM!</v>
      </c>
      <c r="BG40" s="22" t="e">
        <f t="shared" si="7"/>
        <v>#NUM!</v>
      </c>
      <c r="BH40" s="62" t="e">
        <f t="shared" si="8"/>
        <v>#NUM!</v>
      </c>
      <c r="BI40" s="62">
        <f ca="1">AVERAGE(OFFSET($BH$3,0,0,'Données projet'!$E$11+1,1))-AVERAGE(OFFSET($H$3,0,0,'Données projet'!$E$11+1,1))</f>
        <v>83.883967208992033</v>
      </c>
      <c r="BJ40" s="62">
        <f t="shared" si="38"/>
        <v>391.78028845111544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59.693947941582337</v>
      </c>
      <c r="BQ40" s="23">
        <f>EXP(-LN(2)/25)*BQ39+(1-EXP(-LN(2)/25))/(LN(2)/25)*Calculateur!BL40*Calculateur!BN40*VLOOKUP('Données projet'!$B$11,Paramètres!$A$1:$I$89,3,0)*0.475*44/12</f>
        <v>12.991853817510309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72.685801759092641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135.66666666666666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76.280749912424909</v>
      </c>
      <c r="T41" s="62">
        <f t="shared" si="34"/>
        <v>353.34276014239026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51.844086539359999</v>
      </c>
      <c r="AA41" s="23">
        <f>EXP(-LN(2)/25)*AA40+(1-EXP(-LN(2)/25))/(LN(2)/25)*Calculateur!V41*Calculateur!X41*VLOOKUP('Données projet'!$B$9,Paramètres!$A$1:$I$89,3,0)*0.475*44/12</f>
        <v>11.19437127902364</v>
      </c>
      <c r="AB41" s="23">
        <f>EXP(-LN(2)/2)*AB40+(1-EXP(-LN(2)/2))/(LN(2)/2)*V41*Y41*VLOOKUP('Données projet'!$B$9,Paramètres!$A$1:$I$89,3,0)*0.475*44/12</f>
        <v>0</v>
      </c>
      <c r="AC41" s="24">
        <f t="shared" si="3"/>
        <v>63.038457818383641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>
        <f>AI41*VLOOKUP('Données projet'!$B$10,Paramètres!$A$1:$I$89,3,0)*VLOOKUP('Données projet'!$B$10,Paramètres!$A$1:$I$89,5,0)</f>
        <v>0</v>
      </c>
      <c r="AK41" s="14" t="e">
        <f t="shared" si="35"/>
        <v>#NUM!</v>
      </c>
      <c r="AL41" s="22" t="e">
        <f t="shared" si="4"/>
        <v>#NUM!</v>
      </c>
      <c r="AM41" s="62" t="e">
        <f t="shared" si="5"/>
        <v>#NUM!</v>
      </c>
      <c r="AN41" s="62">
        <f ca="1">AVERAGE(OFFSET($AM$3,0,0,'Données projet'!$E$10+1,1))-AVERAGE(OFFSET($H$3,0,0,'Données projet'!$E$10+1,1))</f>
        <v>82.437379371146534</v>
      </c>
      <c r="AO41" s="62">
        <f t="shared" si="36"/>
        <v>384.46649239172427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57.251138509722715</v>
      </c>
      <c r="AV41" s="23">
        <f>EXP(-LN(2)/25)*AV40+(1-EXP(-LN(2)/25))/(LN(2)/25)*Calculateur!AQ41*Calculateur!AS41*VLOOKUP('Données projet'!$B$10,Paramètres!$A$1:$I$89,3,0)*0.475*44/12</f>
        <v>12.361882394013836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69.613020903736555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>
        <f>BD41*VLOOKUP('Données projet'!$B$11,Paramètres!$A$1:$I$89,3,0)*VLOOKUP('Données projet'!$B$11,Paramètres!$A$1:$I$89,5,0)</f>
        <v>0</v>
      </c>
      <c r="BF41" s="14" t="e">
        <f t="shared" si="37"/>
        <v>#NUM!</v>
      </c>
      <c r="BG41" s="22" t="e">
        <f t="shared" si="7"/>
        <v>#NUM!</v>
      </c>
      <c r="BH41" s="62" t="e">
        <f t="shared" si="8"/>
        <v>#NUM!</v>
      </c>
      <c r="BI41" s="62">
        <f ca="1">AVERAGE(OFFSET($BH$3,0,0,'Données projet'!$E$11+1,1))-AVERAGE(OFFSET($H$3,0,0,'Données projet'!$E$11+1,1))</f>
        <v>83.883967208992033</v>
      </c>
      <c r="BJ41" s="62">
        <f t="shared" si="38"/>
        <v>391.78028845111544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58.523386032160992</v>
      </c>
      <c r="BQ41" s="23">
        <f>EXP(-LN(2)/25)*BQ40+(1-EXP(-LN(2)/25))/(LN(2)/25)*Calculateur!BL41*Calculateur!BN41*VLOOKUP('Données projet'!$B$11,Paramètres!$A$1:$I$89,3,0)*0.475*44/12</f>
        <v>12.636590891658591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71.159976923819585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135.66666666666666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76.280749912424909</v>
      </c>
      <c r="T42" s="62">
        <f t="shared" si="34"/>
        <v>353.34276014239026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50.827455624093545</v>
      </c>
      <c r="AA42" s="23">
        <f>EXP(-LN(2)/25)*AA41+(1-EXP(-LN(2)/25))/(LN(2)/25)*Calculateur!V42*Calculateur!X42*VLOOKUP('Données projet'!$B$9,Paramètres!$A$1:$I$89,3,0)*0.475*44/12</f>
        <v>10.888260607712338</v>
      </c>
      <c r="AB42" s="23">
        <f>EXP(-LN(2)/2)*AB41+(1-EXP(-LN(2)/2))/(LN(2)/2)*V42*Y42*VLOOKUP('Données projet'!$B$9,Paramètres!$A$1:$I$89,3,0)*0.475*44/12</f>
        <v>0</v>
      </c>
      <c r="AC42" s="24">
        <f t="shared" si="3"/>
        <v>61.715716231805885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>
        <f>AI42*VLOOKUP('Données projet'!$B$10,Paramètres!$A$1:$I$89,3,0)*VLOOKUP('Données projet'!$B$10,Paramètres!$A$1:$I$89,5,0)</f>
        <v>0</v>
      </c>
      <c r="AK42" s="14" t="e">
        <f t="shared" si="35"/>
        <v>#NUM!</v>
      </c>
      <c r="AL42" s="22" t="e">
        <f t="shared" si="4"/>
        <v>#NUM!</v>
      </c>
      <c r="AM42" s="62" t="e">
        <f t="shared" si="5"/>
        <v>#NUM!</v>
      </c>
      <c r="AN42" s="62">
        <f ca="1">AVERAGE(OFFSET($AM$3,0,0,'Données projet'!$E$10+1,1))-AVERAGE(OFFSET($H$3,0,0,'Données projet'!$E$10+1,1))</f>
        <v>82.437379371146534</v>
      </c>
      <c r="AO42" s="62">
        <f t="shared" si="36"/>
        <v>384.46649239172427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56.128478603293502</v>
      </c>
      <c r="AV42" s="23">
        <f>EXP(-LN(2)/25)*AV41+(1-EXP(-LN(2)/25))/(LN(2)/25)*Calculateur!AQ42*Calculateur!AS42*VLOOKUP('Données projet'!$B$10,Paramètres!$A$1:$I$89,3,0)*0.475*44/12</f>
        <v>12.023846069866387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68.152324673159882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>
        <f>BD42*VLOOKUP('Données projet'!$B$11,Paramètres!$A$1:$I$89,3,0)*VLOOKUP('Données projet'!$B$11,Paramètres!$A$1:$I$89,5,0)</f>
        <v>0</v>
      </c>
      <c r="BF42" s="14" t="e">
        <f t="shared" si="37"/>
        <v>#NUM!</v>
      </c>
      <c r="BG42" s="22" t="e">
        <f t="shared" si="7"/>
        <v>#NUM!</v>
      </c>
      <c r="BH42" s="62" t="e">
        <f t="shared" si="8"/>
        <v>#NUM!</v>
      </c>
      <c r="BI42" s="62">
        <f ca="1">AVERAGE(OFFSET($BH$3,0,0,'Données projet'!$E$11+1,1))-AVERAGE(OFFSET($H$3,0,0,'Données projet'!$E$11+1,1))</f>
        <v>83.883967208992033</v>
      </c>
      <c r="BJ42" s="62">
        <f t="shared" si="38"/>
        <v>391.78028845111544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57.375778127811131</v>
      </c>
      <c r="BQ42" s="23">
        <f>EXP(-LN(2)/25)*BQ41+(1-EXP(-LN(2)/25))/(LN(2)/25)*Calculateur!BL42*Calculateur!BN42*VLOOKUP('Données projet'!$B$11,Paramètres!$A$1:$I$89,3,0)*0.475*44/12</f>
        <v>12.291042649196752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69.666820777007885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135.66666666666666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76.280749912424909</v>
      </c>
      <c r="T43" s="62">
        <f t="shared" si="34"/>
        <v>353.34276014239026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49.830760220991841</v>
      </c>
      <c r="AA43" s="23">
        <f>EXP(-LN(2)/25)*AA42+(1-EXP(-LN(2)/25))/(LN(2)/25)*Calculateur!V43*Calculateur!X43*VLOOKUP('Données projet'!$B$9,Paramètres!$A$1:$I$89,3,0)*0.475*44/12</f>
        <v>10.590520548805705</v>
      </c>
      <c r="AB43" s="23">
        <f>EXP(-LN(2)/2)*AB42+(1-EXP(-LN(2)/2))/(LN(2)/2)*V43*Y43*VLOOKUP('Données projet'!$B$9,Paramètres!$A$1:$I$89,3,0)*0.475*44/12</f>
        <v>0</v>
      </c>
      <c r="AC43" s="24">
        <f t="shared" si="3"/>
        <v>60.421280769797548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>
        <f>AI43*VLOOKUP('Données projet'!$B$10,Paramètres!$A$1:$I$89,3,0)*VLOOKUP('Données projet'!$B$10,Paramètres!$A$1:$I$89,5,0)</f>
        <v>0</v>
      </c>
      <c r="AK43" s="14" t="e">
        <f t="shared" si="35"/>
        <v>#NUM!</v>
      </c>
      <c r="AL43" s="22" t="e">
        <f t="shared" si="4"/>
        <v>#NUM!</v>
      </c>
      <c r="AM43" s="62" t="e">
        <f t="shared" si="5"/>
        <v>#NUM!</v>
      </c>
      <c r="AN43" s="62">
        <f ca="1">AVERAGE(OFFSET($AM$3,0,0,'Données projet'!$E$10+1,1))-AVERAGE(OFFSET($H$3,0,0,'Données projet'!$E$10+1,1))</f>
        <v>82.437379371146534</v>
      </c>
      <c r="AO43" s="62">
        <f t="shared" si="36"/>
        <v>384.46649239172427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55.02783337287444</v>
      </c>
      <c r="AV43" s="23">
        <f>EXP(-LN(2)/25)*AV42+(1-EXP(-LN(2)/25))/(LN(2)/25)*Calculateur!AQ43*Calculateur!AS43*VLOOKUP('Données projet'!$B$10,Paramètres!$A$1:$I$89,3,0)*0.475*44/12</f>
        <v>11.695053366779307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66.722886739653745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>
        <f>BD43*VLOOKUP('Données projet'!$B$11,Paramètres!$A$1:$I$89,3,0)*VLOOKUP('Données projet'!$B$11,Paramètres!$A$1:$I$89,5,0)</f>
        <v>0</v>
      </c>
      <c r="BF43" s="14" t="e">
        <f t="shared" si="37"/>
        <v>#NUM!</v>
      </c>
      <c r="BG43" s="22" t="e">
        <f t="shared" si="7"/>
        <v>#NUM!</v>
      </c>
      <c r="BH43" s="62" t="e">
        <f t="shared" si="8"/>
        <v>#NUM!</v>
      </c>
      <c r="BI43" s="62">
        <f ca="1">AVERAGE(OFFSET($BH$3,0,0,'Données projet'!$E$11+1,1))-AVERAGE(OFFSET($H$3,0,0,'Données projet'!$E$11+1,1))</f>
        <v>83.883967208992033</v>
      </c>
      <c r="BJ43" s="62">
        <f t="shared" si="38"/>
        <v>391.78028845111544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56.250674114493869</v>
      </c>
      <c r="BQ43" s="23">
        <f>EXP(-LN(2)/25)*BQ42+(1-EXP(-LN(2)/25))/(LN(2)/25)*Calculateur!BL43*Calculateur!BN43*VLOOKUP('Données projet'!$B$11,Paramètres!$A$1:$I$89,3,0)*0.475*44/12</f>
        <v>11.954943441596626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68.205617556090488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135.66666666666666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76.280749912424909</v>
      </c>
      <c r="T44" s="62">
        <f t="shared" si="34"/>
        <v>353.34276014239026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48.853609406820794</v>
      </c>
      <c r="AA44" s="23">
        <f>EXP(-LN(2)/25)*AA43+(1-EXP(-LN(2)/25))/(LN(2)/25)*Calculateur!V44*Calculateur!X44*VLOOKUP('Données projet'!$B$9,Paramètres!$A$1:$I$89,3,0)*0.475*44/12</f>
        <v>10.300922207467343</v>
      </c>
      <c r="AB44" s="23">
        <f>EXP(-LN(2)/2)*AB43+(1-EXP(-LN(2)/2))/(LN(2)/2)*V44*Y44*VLOOKUP('Données projet'!$B$9,Paramètres!$A$1:$I$89,3,0)*0.475*44/12</f>
        <v>0</v>
      </c>
      <c r="AC44" s="24">
        <f t="shared" si="3"/>
        <v>59.154531614288139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>
        <f>AI44*VLOOKUP('Données projet'!$B$10,Paramètres!$A$1:$I$89,3,0)*VLOOKUP('Données projet'!$B$10,Paramètres!$A$1:$I$89,5,0)</f>
        <v>0</v>
      </c>
      <c r="AK44" s="14" t="e">
        <f t="shared" si="35"/>
        <v>#NUM!</v>
      </c>
      <c r="AL44" s="22" t="e">
        <f t="shared" si="4"/>
        <v>#NUM!</v>
      </c>
      <c r="AM44" s="62" t="e">
        <f t="shared" si="5"/>
        <v>#NUM!</v>
      </c>
      <c r="AN44" s="62">
        <f ca="1">AVERAGE(OFFSET($AM$3,0,0,'Données projet'!$E$10+1,1))-AVERAGE(OFFSET($H$3,0,0,'Données projet'!$E$10+1,1))</f>
        <v>82.437379371146534</v>
      </c>
      <c r="AO44" s="62">
        <f t="shared" si="36"/>
        <v>384.46649239172427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53.948771124096595</v>
      </c>
      <c r="AV44" s="23">
        <f>EXP(-LN(2)/25)*AV43+(1-EXP(-LN(2)/25))/(LN(2)/25)*Calculateur!AQ44*Calculateur!AS44*VLOOKUP('Données projet'!$B$10,Paramètres!$A$1:$I$89,3,0)*0.475*44/12</f>
        <v>11.3752515174486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65.324022641545199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>
        <f>BD44*VLOOKUP('Données projet'!$B$11,Paramètres!$A$1:$I$89,3,0)*VLOOKUP('Données projet'!$B$11,Paramètres!$A$1:$I$89,5,0)</f>
        <v>0</v>
      </c>
      <c r="BF44" s="14" t="e">
        <f t="shared" si="37"/>
        <v>#NUM!</v>
      </c>
      <c r="BG44" s="22" t="e">
        <f t="shared" si="7"/>
        <v>#NUM!</v>
      </c>
      <c r="BH44" s="62" t="e">
        <f t="shared" si="8"/>
        <v>#NUM!</v>
      </c>
      <c r="BI44" s="62">
        <f ca="1">AVERAGE(OFFSET($BH$3,0,0,'Données projet'!$E$11+1,1))-AVERAGE(OFFSET($H$3,0,0,'Données projet'!$E$11+1,1))</f>
        <v>83.883967208992033</v>
      </c>
      <c r="BJ44" s="62">
        <f t="shared" si="38"/>
        <v>391.78028845111544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55.147632704632066</v>
      </c>
      <c r="BQ44" s="23">
        <f>EXP(-LN(2)/25)*BQ43+(1-EXP(-LN(2)/25))/(LN(2)/25)*Calculateur!BL44*Calculateur!BN44*VLOOKUP('Données projet'!$B$11,Paramètres!$A$1:$I$89,3,0)*0.475*44/12</f>
        <v>11.628034884503014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66.775667589135082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135.66666666666666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76.280749912424909</v>
      </c>
      <c r="T45" s="62">
        <f t="shared" si="34"/>
        <v>353.34276014239026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47.895619924112495</v>
      </c>
      <c r="AA45" s="23">
        <f>EXP(-LN(2)/25)*AA44+(1-EXP(-LN(2)/25))/(LN(2)/25)*Calculateur!V45*Calculateur!X45*VLOOKUP('Données projet'!$B$9,Paramètres!$A$1:$I$89,3,0)*0.475*44/12</f>
        <v>10.019242948002193</v>
      </c>
      <c r="AB45" s="23">
        <f>EXP(-LN(2)/2)*AB44+(1-EXP(-LN(2)/2))/(LN(2)/2)*V45*Y45*VLOOKUP('Données projet'!$B$9,Paramètres!$A$1:$I$89,3,0)*0.475*44/12</f>
        <v>0</v>
      </c>
      <c r="AC45" s="24">
        <f t="shared" si="3"/>
        <v>57.914862872114689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>
        <f>AI45*VLOOKUP('Données projet'!$B$10,Paramètres!$A$1:$I$89,3,0)*VLOOKUP('Données projet'!$B$10,Paramètres!$A$1:$I$89,5,0)</f>
        <v>0</v>
      </c>
      <c r="AK45" s="14" t="e">
        <f t="shared" si="35"/>
        <v>#NUM!</v>
      </c>
      <c r="AL45" s="22" t="e">
        <f t="shared" si="4"/>
        <v>#NUM!</v>
      </c>
      <c r="AM45" s="62" t="e">
        <f t="shared" si="5"/>
        <v>#NUM!</v>
      </c>
      <c r="AN45" s="62">
        <f ca="1">AVERAGE(OFFSET($AM$3,0,0,'Données projet'!$E$10+1,1))-AVERAGE(OFFSET($H$3,0,0,'Données projet'!$E$10+1,1))</f>
        <v>82.437379371146534</v>
      </c>
      <c r="AO45" s="62">
        <f t="shared" si="36"/>
        <v>384.46649239172427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52.890868627854296</v>
      </c>
      <c r="AV45" s="23">
        <f>EXP(-LN(2)/25)*AV44+(1-EXP(-LN(2)/25))/(LN(2)/25)*Calculateur!AQ45*Calculateur!AS45*VLOOKUP('Données projet'!$B$10,Paramètres!$A$1:$I$89,3,0)*0.475*44/12</f>
        <v>11.06419466650549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63.955063294359789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>
        <f>BD45*VLOOKUP('Données projet'!$B$11,Paramètres!$A$1:$I$89,3,0)*VLOOKUP('Données projet'!$B$11,Paramètres!$A$1:$I$89,5,0)</f>
        <v>0</v>
      </c>
      <c r="BF45" s="14" t="e">
        <f t="shared" si="37"/>
        <v>#NUM!</v>
      </c>
      <c r="BG45" s="22" t="e">
        <f t="shared" si="7"/>
        <v>#NUM!</v>
      </c>
      <c r="BH45" s="62" t="e">
        <f t="shared" si="8"/>
        <v>#NUM!</v>
      </c>
      <c r="BI45" s="62">
        <f ca="1">AVERAGE(OFFSET($BH$3,0,0,'Données projet'!$E$11+1,1))-AVERAGE(OFFSET($H$3,0,0,'Données projet'!$E$11+1,1))</f>
        <v>83.883967208992033</v>
      </c>
      <c r="BJ45" s="62">
        <f t="shared" si="38"/>
        <v>391.78028845111544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54.066221264028833</v>
      </c>
      <c r="BQ45" s="23">
        <f>EXP(-LN(2)/25)*BQ44+(1-EXP(-LN(2)/25))/(LN(2)/25)*Calculateur!BL45*Calculateur!BN45*VLOOKUP('Données projet'!$B$11,Paramètres!$A$1:$I$89,3,0)*0.475*44/12</f>
        <v>11.310065659094501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65.376286923123331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135.66666666666666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76.280749912424909</v>
      </c>
      <c r="T46" s="62">
        <f t="shared" si="34"/>
        <v>353.34276014239026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46.956416030844217</v>
      </c>
      <c r="AA46" s="23">
        <f>EXP(-LN(2)/25)*AA45+(1-EXP(-LN(2)/25))/(LN(2)/25)*Calculateur!V46*Calculateur!X46*VLOOKUP('Données projet'!$B$9,Paramètres!$A$1:$I$89,3,0)*0.475*44/12</f>
        <v>9.7452662226999855</v>
      </c>
      <c r="AB46" s="23">
        <f>EXP(-LN(2)/2)*AB45+(1-EXP(-LN(2)/2))/(LN(2)/2)*V46*Y46*VLOOKUP('Données projet'!$B$9,Paramètres!$A$1:$I$89,3,0)*0.475*44/12</f>
        <v>0</v>
      </c>
      <c r="AC46" s="24">
        <f t="shared" si="3"/>
        <v>56.701682253544206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>
        <f>AI46*VLOOKUP('Données projet'!$B$10,Paramètres!$A$1:$I$89,3,0)*VLOOKUP('Données projet'!$B$10,Paramètres!$A$1:$I$89,5,0)</f>
        <v>0</v>
      </c>
      <c r="AK46" s="14" t="e">
        <f t="shared" si="35"/>
        <v>#NUM!</v>
      </c>
      <c r="AL46" s="22" t="e">
        <f t="shared" si="4"/>
        <v>#NUM!</v>
      </c>
      <c r="AM46" s="62" t="e">
        <f t="shared" si="5"/>
        <v>#NUM!</v>
      </c>
      <c r="AN46" s="62">
        <f ca="1">AVERAGE(OFFSET($AM$3,0,0,'Données projet'!$E$10+1,1))-AVERAGE(OFFSET($H$3,0,0,'Données projet'!$E$10+1,1))</f>
        <v>82.437379371146534</v>
      </c>
      <c r="AO46" s="62">
        <f t="shared" si="36"/>
        <v>384.46649239172427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51.8537109543065</v>
      </c>
      <c r="AV46" s="23">
        <f>EXP(-LN(2)/25)*AV45+(1-EXP(-LN(2)/25))/(LN(2)/25)*Calculateur!AQ46*Calculateur!AS46*VLOOKUP('Données projet'!$B$10,Paramètres!$A$1:$I$89,3,0)*0.475*44/12</f>
        <v>10.761643681509186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62.615354635815685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>
        <f>BD46*VLOOKUP('Données projet'!$B$11,Paramètres!$A$1:$I$89,3,0)*VLOOKUP('Données projet'!$B$11,Paramètres!$A$1:$I$89,5,0)</f>
        <v>0</v>
      </c>
      <c r="BF46" s="14" t="e">
        <f t="shared" si="37"/>
        <v>#NUM!</v>
      </c>
      <c r="BG46" s="22" t="e">
        <f t="shared" si="7"/>
        <v>#NUM!</v>
      </c>
      <c r="BH46" s="62" t="e">
        <f t="shared" si="8"/>
        <v>#NUM!</v>
      </c>
      <c r="BI46" s="62">
        <f ca="1">AVERAGE(OFFSET($BH$3,0,0,'Données projet'!$E$11+1,1))-AVERAGE(OFFSET($H$3,0,0,'Données projet'!$E$11+1,1))</f>
        <v>83.883967208992033</v>
      </c>
      <c r="BJ46" s="62">
        <f t="shared" si="38"/>
        <v>391.78028845111544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53.006015642179975</v>
      </c>
      <c r="BQ46" s="23">
        <f>EXP(-LN(2)/25)*BQ45+(1-EXP(-LN(2)/25))/(LN(2)/25)*Calculateur!BL46*Calculateur!BN46*VLOOKUP('Données projet'!$B$11,Paramètres!$A$1:$I$89,3,0)*0.475*44/12</f>
        <v>11.000791318876059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64.006806961056029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135.66666666666666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76.280749912424909</v>
      </c>
      <c r="T47" s="62">
        <f t="shared" si="34"/>
        <v>353.34276014239026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46.035629353065119</v>
      </c>
      <c r="AA47" s="23">
        <f>EXP(-LN(2)/25)*AA46+(1-EXP(-LN(2)/25))/(LN(2)/25)*Calculateur!V47*Calculateur!X47*VLOOKUP('Données projet'!$B$9,Paramètres!$A$1:$I$89,3,0)*0.475*44/12</f>
        <v>9.4787814053589763</v>
      </c>
      <c r="AB47" s="23">
        <f>EXP(-LN(2)/2)*AB46+(1-EXP(-LN(2)/2))/(LN(2)/2)*V47*Y47*VLOOKUP('Données projet'!$B$9,Paramètres!$A$1:$I$89,3,0)*0.475*44/12</f>
        <v>0</v>
      </c>
      <c r="AC47" s="24">
        <f t="shared" si="3"/>
        <v>55.514410758424091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>
        <f>AI47*VLOOKUP('Données projet'!$B$10,Paramètres!$A$1:$I$89,3,0)*VLOOKUP('Données projet'!$B$10,Paramètres!$A$1:$I$89,5,0)</f>
        <v>0</v>
      </c>
      <c r="AK47" s="14" t="e">
        <f t="shared" si="35"/>
        <v>#NUM!</v>
      </c>
      <c r="AL47" s="22" t="e">
        <f t="shared" si="4"/>
        <v>#NUM!</v>
      </c>
      <c r="AM47" s="62" t="e">
        <f t="shared" si="5"/>
        <v>#NUM!</v>
      </c>
      <c r="AN47" s="62">
        <f ca="1">AVERAGE(OFFSET($AM$3,0,0,'Données projet'!$E$10+1,1))-AVERAGE(OFFSET($H$3,0,0,'Données projet'!$E$10+1,1))</f>
        <v>82.437379371146534</v>
      </c>
      <c r="AO47" s="62">
        <f t="shared" si="36"/>
        <v>384.46649239172427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50.836891310133261</v>
      </c>
      <c r="AV47" s="23">
        <f>EXP(-LN(2)/25)*AV46+(1-EXP(-LN(2)/25))/(LN(2)/25)*Calculateur!AQ47*Calculateur!AS47*VLOOKUP('Données projet'!$B$10,Paramètres!$A$1:$I$89,3,0)*0.475*44/12</f>
        <v>10.467365969108073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61.304257279241334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>
        <f>BD47*VLOOKUP('Données projet'!$B$11,Paramètres!$A$1:$I$89,3,0)*VLOOKUP('Données projet'!$B$11,Paramètres!$A$1:$I$89,5,0)</f>
        <v>0</v>
      </c>
      <c r="BF47" s="14" t="e">
        <f t="shared" si="37"/>
        <v>#NUM!</v>
      </c>
      <c r="BG47" s="22" t="e">
        <f t="shared" si="7"/>
        <v>#NUM!</v>
      </c>
      <c r="BH47" s="62" t="e">
        <f t="shared" si="8"/>
        <v>#NUM!</v>
      </c>
      <c r="BI47" s="62">
        <f ca="1">AVERAGE(OFFSET($BH$3,0,0,'Données projet'!$E$11+1,1))-AVERAGE(OFFSET($H$3,0,0,'Données projet'!$E$11+1,1))</f>
        <v>83.883967208992033</v>
      </c>
      <c r="BJ47" s="62">
        <f t="shared" si="38"/>
        <v>391.78028845111544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51.966600005913996</v>
      </c>
      <c r="BQ47" s="23">
        <f>EXP(-LN(2)/25)*BQ46+(1-EXP(-LN(2)/25))/(LN(2)/25)*Calculateur!BL47*Calculateur!BN47*VLOOKUP('Données projet'!$B$11,Paramètres!$A$1:$I$89,3,0)*0.475*44/12</f>
        <v>10.69997410175492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62.666574107668914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135.66666666666666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76.280749912424909</v>
      </c>
      <c r="T48" s="62">
        <f t="shared" si="34"/>
        <v>353.34276014239026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45.132898740412848</v>
      </c>
      <c r="AA48" s="23">
        <f>EXP(-LN(2)/25)*AA47+(1-EXP(-LN(2)/25))/(LN(2)/25)*Calculateur!V48*Calculateur!X48*VLOOKUP('Données projet'!$B$9,Paramètres!$A$1:$I$89,3,0)*0.475*44/12</f>
        <v>9.2195836293619848</v>
      </c>
      <c r="AB48" s="23">
        <f>EXP(-LN(2)/2)*AB47+(1-EXP(-LN(2)/2))/(LN(2)/2)*V48*Y48*VLOOKUP('Données projet'!$B$9,Paramètres!$A$1:$I$89,3,0)*0.475*44/12</f>
        <v>0</v>
      </c>
      <c r="AC48" s="24">
        <f t="shared" si="3"/>
        <v>54.352482369774833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>
        <f>AI48*VLOOKUP('Données projet'!$B$10,Paramètres!$A$1:$I$89,3,0)*VLOOKUP('Données projet'!$B$10,Paramètres!$A$1:$I$89,5,0)</f>
        <v>0</v>
      </c>
      <c r="AK48" s="14" t="e">
        <f t="shared" si="35"/>
        <v>#NUM!</v>
      </c>
      <c r="AL48" s="22" t="e">
        <f t="shared" si="4"/>
        <v>#NUM!</v>
      </c>
      <c r="AM48" s="62" t="e">
        <f t="shared" si="5"/>
        <v>#NUM!</v>
      </c>
      <c r="AN48" s="62">
        <f ca="1">AVERAGE(OFFSET($AM$3,0,0,'Données projet'!$E$10+1,1))-AVERAGE(OFFSET($H$3,0,0,'Données projet'!$E$10+1,1))</f>
        <v>82.437379371146534</v>
      </c>
      <c r="AO48" s="62">
        <f t="shared" si="36"/>
        <v>384.46649239172427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49.840010878983513</v>
      </c>
      <c r="AV48" s="23">
        <f>EXP(-LN(2)/25)*AV47+(1-EXP(-LN(2)/25))/(LN(2)/25)*Calculateur!AQ48*Calculateur!AS48*VLOOKUP('Données projet'!$B$10,Paramètres!$A$1:$I$89,3,0)*0.475*44/12</f>
        <v>10.181135296227961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60.02114617521147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>
        <f>BD48*VLOOKUP('Données projet'!$B$11,Paramètres!$A$1:$I$89,3,0)*VLOOKUP('Données projet'!$B$11,Paramètres!$A$1:$I$89,5,0)</f>
        <v>0</v>
      </c>
      <c r="BF48" s="14" t="e">
        <f t="shared" si="37"/>
        <v>#NUM!</v>
      </c>
      <c r="BG48" s="22" t="e">
        <f t="shared" si="7"/>
        <v>#NUM!</v>
      </c>
      <c r="BH48" s="62" t="e">
        <f t="shared" si="8"/>
        <v>#NUM!</v>
      </c>
      <c r="BI48" s="62">
        <f ca="1">AVERAGE(OFFSET($BH$3,0,0,'Données projet'!$E$11+1,1))-AVERAGE(OFFSET($H$3,0,0,'Données projet'!$E$11+1,1))</f>
        <v>83.883967208992033</v>
      </c>
      <c r="BJ48" s="62">
        <f t="shared" si="38"/>
        <v>391.78028845111544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50.947566676294258</v>
      </c>
      <c r="BQ48" s="23">
        <f>EXP(-LN(2)/25)*BQ47+(1-EXP(-LN(2)/25))/(LN(2)/25)*Calculateur!BL48*Calculateur!BN48*VLOOKUP('Données projet'!$B$11,Paramètres!$A$1:$I$89,3,0)*0.475*44/12</f>
        <v>10.40738274725525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61.354949423549506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135.66666666666666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76.280749912424909</v>
      </c>
      <c r="T49" s="62">
        <f t="shared" si="34"/>
        <v>353.34276014239026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44.247870124463383</v>
      </c>
      <c r="AA49" s="23">
        <f>EXP(-LN(2)/25)*AA48+(1-EXP(-LN(2)/25))/(LN(2)/25)*Calculateur!V49*Calculateur!X49*VLOOKUP('Données projet'!$B$9,Paramètres!$A$1:$I$89,3,0)*0.475*44/12</f>
        <v>8.9674736301802493</v>
      </c>
      <c r="AB49" s="23">
        <f>EXP(-LN(2)/2)*AB48+(1-EXP(-LN(2)/2))/(LN(2)/2)*V49*Y49*VLOOKUP('Données projet'!$B$9,Paramètres!$A$1:$I$89,3,0)*0.475*44/12</f>
        <v>0</v>
      </c>
      <c r="AC49" s="24">
        <f t="shared" si="3"/>
        <v>53.215343754643634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>
        <f>AI49*VLOOKUP('Données projet'!$B$10,Paramètres!$A$1:$I$89,3,0)*VLOOKUP('Données projet'!$B$10,Paramètres!$A$1:$I$89,5,0)</f>
        <v>0</v>
      </c>
      <c r="AK49" s="14" t="e">
        <f t="shared" si="35"/>
        <v>#NUM!</v>
      </c>
      <c r="AL49" s="22" t="e">
        <f t="shared" si="4"/>
        <v>#NUM!</v>
      </c>
      <c r="AM49" s="62" t="e">
        <f t="shared" si="5"/>
        <v>#NUM!</v>
      </c>
      <c r="AN49" s="62">
        <f ca="1">AVERAGE(OFFSET($AM$3,0,0,'Données projet'!$E$10+1,1))-AVERAGE(OFFSET($H$3,0,0,'Données projet'!$E$10+1,1))</f>
        <v>82.437379371146534</v>
      </c>
      <c r="AO49" s="62">
        <f t="shared" si="36"/>
        <v>384.46649239172427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48.86267866505159</v>
      </c>
      <c r="AV49" s="23">
        <f>EXP(-LN(2)/25)*AV48+(1-EXP(-LN(2)/25))/(LN(2)/25)*Calculateur!AQ49*Calculateur!AS49*VLOOKUP('Données projet'!$B$10,Paramètres!$A$1:$I$89,3,0)*0.475*44/12</f>
        <v>9.9027316161499712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58.765410281201561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>
        <f>BD49*VLOOKUP('Données projet'!$B$11,Paramètres!$A$1:$I$89,3,0)*VLOOKUP('Données projet'!$B$11,Paramètres!$A$1:$I$89,5,0)</f>
        <v>0</v>
      </c>
      <c r="BF49" s="14" t="e">
        <f t="shared" si="37"/>
        <v>#NUM!</v>
      </c>
      <c r="BG49" s="22" t="e">
        <f t="shared" si="7"/>
        <v>#NUM!</v>
      </c>
      <c r="BH49" s="62" t="e">
        <f t="shared" si="8"/>
        <v>#NUM!</v>
      </c>
      <c r="BI49" s="62">
        <f ca="1">AVERAGE(OFFSET($BH$3,0,0,'Données projet'!$E$11+1,1))-AVERAGE(OFFSET($H$3,0,0,'Données projet'!$E$11+1,1))</f>
        <v>83.883967208992033</v>
      </c>
      <c r="BJ49" s="62">
        <f t="shared" si="38"/>
        <v>391.78028845111544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49.948515968719406</v>
      </c>
      <c r="BQ49" s="23">
        <f>EXP(-LN(2)/25)*BQ48+(1-EXP(-LN(2)/25))/(LN(2)/25)*Calculateur!BL49*Calculateur!BN49*VLOOKUP('Données projet'!$B$11,Paramètres!$A$1:$I$89,3,0)*0.475*44/12</f>
        <v>10.122792318731083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60.071308287450492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135.66666666666666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76.280749912424909</v>
      </c>
      <c r="T50" s="62">
        <f t="shared" si="34"/>
        <v>353.34276014239026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43.380196379858532</v>
      </c>
      <c r="AA50" s="23">
        <f>EXP(-LN(2)/25)*AA49+(1-EXP(-LN(2)/25))/(LN(2)/25)*Calculateur!V50*Calculateur!X50*VLOOKUP('Données projet'!$B$9,Paramètres!$A$1:$I$89,3,0)*0.475*44/12</f>
        <v>8.7222575921840271</v>
      </c>
      <c r="AB50" s="23">
        <f>EXP(-LN(2)/2)*AB49+(1-EXP(-LN(2)/2))/(LN(2)/2)*V50*Y50*VLOOKUP('Données projet'!$B$9,Paramètres!$A$1:$I$89,3,0)*0.475*44/12</f>
        <v>0</v>
      </c>
      <c r="AC50" s="24">
        <f t="shared" si="3"/>
        <v>52.102453972042561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>
        <f>AI50*VLOOKUP('Données projet'!$B$10,Paramètres!$A$1:$I$89,3,0)*VLOOKUP('Données projet'!$B$10,Paramètres!$A$1:$I$89,5,0)</f>
        <v>0</v>
      </c>
      <c r="AK50" s="14" t="e">
        <f t="shared" si="35"/>
        <v>#NUM!</v>
      </c>
      <c r="AL50" s="22" t="e">
        <f t="shared" si="4"/>
        <v>#NUM!</v>
      </c>
      <c r="AM50" s="62" t="e">
        <f t="shared" si="5"/>
        <v>#NUM!</v>
      </c>
      <c r="AN50" s="62">
        <f ca="1">AVERAGE(OFFSET($AM$3,0,0,'Données projet'!$E$10+1,1))-AVERAGE(OFFSET($H$3,0,0,'Données projet'!$E$10+1,1))</f>
        <v>82.437379371146534</v>
      </c>
      <c r="AO50" s="62">
        <f t="shared" si="36"/>
        <v>384.46649239172427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47.904511339721083</v>
      </c>
      <c r="AV50" s="23">
        <f>EXP(-LN(2)/25)*AV49+(1-EXP(-LN(2)/25))/(LN(2)/25)*Calculateur!AQ50*Calculateur!AS50*VLOOKUP('Données projet'!$B$10,Paramètres!$A$1:$I$89,3,0)*0.475*44/12</f>
        <v>9.6319408993443272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57.536452239065412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>
        <f>BD50*VLOOKUP('Données projet'!$B$11,Paramètres!$A$1:$I$89,3,0)*VLOOKUP('Données projet'!$B$11,Paramètres!$A$1:$I$89,5,0)</f>
        <v>0</v>
      </c>
      <c r="BF50" s="14" t="e">
        <f t="shared" si="37"/>
        <v>#NUM!</v>
      </c>
      <c r="BG50" s="22" t="e">
        <f t="shared" si="7"/>
        <v>#NUM!</v>
      </c>
      <c r="BH50" s="62" t="e">
        <f t="shared" si="8"/>
        <v>#NUM!</v>
      </c>
      <c r="BI50" s="62">
        <f ca="1">AVERAGE(OFFSET($BH$3,0,0,'Données projet'!$E$11+1,1))-AVERAGE(OFFSET($H$3,0,0,'Données projet'!$E$11+1,1))</f>
        <v>83.883967208992033</v>
      </c>
      <c r="BJ50" s="62">
        <f t="shared" si="38"/>
        <v>391.78028845111544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48.96905603615933</v>
      </c>
      <c r="BQ50" s="23">
        <f>EXP(-LN(2)/25)*BQ49+(1-EXP(-LN(2)/25))/(LN(2)/25)*Calculateur!BL50*Calculateur!BN50*VLOOKUP('Données projet'!$B$11,Paramètres!$A$1:$I$89,3,0)*0.475*44/12</f>
        <v>9.845984030440869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58.815040066600197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135.66666666666666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76.280749912424909</v>
      </c>
      <c r="T51" s="62">
        <f t="shared" si="34"/>
        <v>353.34276014239026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42.52953718815666</v>
      </c>
      <c r="AA51" s="23">
        <f>EXP(-LN(2)/25)*AA50+(1-EXP(-LN(2)/25))/(LN(2)/25)*Calculateur!V51*Calculateur!X51*VLOOKUP('Données projet'!$B$9,Paramètres!$A$1:$I$89,3,0)*0.475*44/12</f>
        <v>8.4837469996421628</v>
      </c>
      <c r="AB51" s="23">
        <f>EXP(-LN(2)/2)*AB50+(1-EXP(-LN(2)/2))/(LN(2)/2)*V51*Y51*VLOOKUP('Données projet'!$B$9,Paramètres!$A$1:$I$89,3,0)*0.475*44/12</f>
        <v>0</v>
      </c>
      <c r="AC51" s="24">
        <f t="shared" si="3"/>
        <v>51.013284187798824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>
        <f>AI51*VLOOKUP('Données projet'!$B$10,Paramètres!$A$1:$I$89,3,0)*VLOOKUP('Données projet'!$B$10,Paramètres!$A$1:$I$89,5,0)</f>
        <v>0</v>
      </c>
      <c r="AK51" s="14" t="e">
        <f t="shared" si="35"/>
        <v>#NUM!</v>
      </c>
      <c r="AL51" s="22" t="e">
        <f t="shared" si="4"/>
        <v>#NUM!</v>
      </c>
      <c r="AM51" s="62" t="e">
        <f t="shared" si="5"/>
        <v>#NUM!</v>
      </c>
      <c r="AN51" s="62">
        <f ca="1">AVERAGE(OFFSET($AM$3,0,0,'Données projet'!$E$10+1,1))-AVERAGE(OFFSET($H$3,0,0,'Données projet'!$E$10+1,1))</f>
        <v>82.437379371146534</v>
      </c>
      <c r="AO51" s="62">
        <f t="shared" si="36"/>
        <v>384.46649239172427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46.965133091215947</v>
      </c>
      <c r="AV51" s="23">
        <f>EXP(-LN(2)/25)*AV50+(1-EXP(-LN(2)/25))/(LN(2)/25)*Calculateur!AQ51*Calculateur!AS51*VLOOKUP('Données projet'!$B$10,Paramètres!$A$1:$I$89,3,0)*0.475*44/12</f>
        <v>9.3685549689299989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56.333688060145946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>
        <f>BD51*VLOOKUP('Données projet'!$B$11,Paramètres!$A$1:$I$89,3,0)*VLOOKUP('Données projet'!$B$11,Paramètres!$A$1:$I$89,5,0)</f>
        <v>0</v>
      </c>
      <c r="BF51" s="14" t="e">
        <f t="shared" si="37"/>
        <v>#NUM!</v>
      </c>
      <c r="BG51" s="22" t="e">
        <f t="shared" si="7"/>
        <v>#NUM!</v>
      </c>
      <c r="BH51" s="62" t="e">
        <f t="shared" si="8"/>
        <v>#NUM!</v>
      </c>
      <c r="BI51" s="62">
        <f ca="1">AVERAGE(OFFSET($BH$3,0,0,'Données projet'!$E$11+1,1))-AVERAGE(OFFSET($H$3,0,0,'Données projet'!$E$11+1,1))</f>
        <v>83.883967208992033</v>
      </c>
      <c r="BJ51" s="62">
        <f t="shared" si="38"/>
        <v>391.78028845111544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48.008802715465187</v>
      </c>
      <c r="BQ51" s="23">
        <f>EXP(-LN(2)/25)*BQ50+(1-EXP(-LN(2)/25))/(LN(2)/25)*Calculateur!BL51*Calculateur!BN51*VLOOKUP('Données projet'!$B$11,Paramètres!$A$1:$I$89,3,0)*0.475*44/12</f>
        <v>9.5767450793506672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57.585547794815852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135.66666666666666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76.280749912424909</v>
      </c>
      <c r="T52" s="62">
        <f t="shared" si="34"/>
        <v>353.34276014239026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41.695558904353184</v>
      </c>
      <c r="AA52" s="23">
        <f>EXP(-LN(2)/25)*AA51+(1-EXP(-LN(2)/25))/(LN(2)/25)*Calculateur!V52*Calculateur!X52*VLOOKUP('Données projet'!$B$9,Paramètres!$A$1:$I$89,3,0)*0.475*44/12</f>
        <v>8.2517584917960836</v>
      </c>
      <c r="AB52" s="23">
        <f>EXP(-LN(2)/2)*AB51+(1-EXP(-LN(2)/2))/(LN(2)/2)*V52*Y52*VLOOKUP('Données projet'!$B$9,Paramètres!$A$1:$I$89,3,0)*0.475*44/12</f>
        <v>0</v>
      </c>
      <c r="AC52" s="24">
        <f t="shared" si="3"/>
        <v>49.947317396149266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>
        <f>AI52*VLOOKUP('Données projet'!$B$10,Paramètres!$A$1:$I$89,3,0)*VLOOKUP('Données projet'!$B$10,Paramètres!$A$1:$I$89,5,0)</f>
        <v>0</v>
      </c>
      <c r="AK52" s="14" t="e">
        <f t="shared" si="35"/>
        <v>#NUM!</v>
      </c>
      <c r="AL52" s="22" t="e">
        <f t="shared" si="4"/>
        <v>#NUM!</v>
      </c>
      <c r="AM52" s="62" t="e">
        <f t="shared" si="5"/>
        <v>#NUM!</v>
      </c>
      <c r="AN52" s="62">
        <f ca="1">AVERAGE(OFFSET($AM$3,0,0,'Données projet'!$E$10+1,1))-AVERAGE(OFFSET($H$3,0,0,'Données projet'!$E$10+1,1))</f>
        <v>82.437379371146534</v>
      </c>
      <c r="AO52" s="62">
        <f t="shared" si="36"/>
        <v>384.46649239172427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46.044175477199836</v>
      </c>
      <c r="AV52" s="23">
        <f>EXP(-LN(2)/25)*AV51+(1-EXP(-LN(2)/25))/(LN(2)/25)*Calculateur!AQ52*Calculateur!AS52*VLOOKUP('Données projet'!$B$10,Paramètres!$A$1:$I$89,3,0)*0.475*44/12</f>
        <v>9.1123713406337146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55.156546817833551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>
        <f>BD52*VLOOKUP('Données projet'!$B$11,Paramètres!$A$1:$I$89,3,0)*VLOOKUP('Données projet'!$B$11,Paramètres!$A$1:$I$89,5,0)</f>
        <v>0</v>
      </c>
      <c r="BF52" s="14" t="e">
        <f t="shared" si="37"/>
        <v>#NUM!</v>
      </c>
      <c r="BG52" s="22" t="e">
        <f t="shared" si="7"/>
        <v>#NUM!</v>
      </c>
      <c r="BH52" s="62" t="e">
        <f t="shared" si="8"/>
        <v>#NUM!</v>
      </c>
      <c r="BI52" s="62">
        <f ca="1">AVERAGE(OFFSET($BH$3,0,0,'Données projet'!$E$11+1,1))-AVERAGE(OFFSET($H$3,0,0,'Données projet'!$E$11+1,1))</f>
        <v>83.883967208992033</v>
      </c>
      <c r="BJ52" s="62">
        <f t="shared" si="38"/>
        <v>391.78028845111544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47.067379376693168</v>
      </c>
      <c r="BQ52" s="23">
        <f>EXP(-LN(2)/25)*BQ51+(1-EXP(-LN(2)/25))/(LN(2)/25)*Calculateur!BL52*Calculateur!BN52*VLOOKUP('Données projet'!$B$11,Paramètres!$A$1:$I$89,3,0)*0.475*44/12</f>
        <v>9.3148684815366867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56.382247858229853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135.66666666666666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76.280749912424909</v>
      </c>
      <c r="T53" s="62">
        <f t="shared" si="34"/>
        <v>353.34276014239026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40.87793442601857</v>
      </c>
      <c r="AA53" s="23">
        <f>EXP(-LN(2)/25)*AA52+(1-EXP(-LN(2)/25))/(LN(2)/25)*Calculateur!V53*Calculateur!X53*VLOOKUP('Données projet'!$B$9,Paramètres!$A$1:$I$89,3,0)*0.475*44/12</f>
        <v>8.0261137218968006</v>
      </c>
      <c r="AB53" s="23">
        <f>EXP(-LN(2)/2)*AB52+(1-EXP(-LN(2)/2))/(LN(2)/2)*V53*Y53*VLOOKUP('Données projet'!$B$9,Paramètres!$A$1:$I$89,3,0)*0.475*44/12</f>
        <v>0</v>
      </c>
      <c r="AC53" s="24">
        <f t="shared" si="3"/>
        <v>48.904048147915368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>
        <f>AI53*VLOOKUP('Données projet'!$B$10,Paramètres!$A$1:$I$89,3,0)*VLOOKUP('Données projet'!$B$10,Paramètres!$A$1:$I$89,5,0)</f>
        <v>0</v>
      </c>
      <c r="AK53" s="14" t="e">
        <f t="shared" si="35"/>
        <v>#NUM!</v>
      </c>
      <c r="AL53" s="22" t="e">
        <f t="shared" si="4"/>
        <v>#NUM!</v>
      </c>
      <c r="AM53" s="62" t="e">
        <f t="shared" si="5"/>
        <v>#NUM!</v>
      </c>
      <c r="AN53" s="62">
        <f ca="1">AVERAGE(OFFSET($AM$3,0,0,'Données projet'!$E$10+1,1))-AVERAGE(OFFSET($H$3,0,0,'Données projet'!$E$10+1,1))</f>
        <v>82.437379371146534</v>
      </c>
      <c r="AO53" s="62">
        <f t="shared" si="36"/>
        <v>384.46649239172427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45.141277280265903</v>
      </c>
      <c r="AV53" s="23">
        <f>EXP(-LN(2)/25)*AV52+(1-EXP(-LN(2)/25))/(LN(2)/25)*Calculateur!AQ53*Calculateur!AS53*VLOOKUP('Données projet'!$B$10,Paramètres!$A$1:$I$89,3,0)*0.475*44/12</f>
        <v>8.8631930671253034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54.004470347391205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>
        <f>BD53*VLOOKUP('Données projet'!$B$11,Paramètres!$A$1:$I$89,3,0)*VLOOKUP('Données projet'!$B$11,Paramètres!$A$1:$I$89,5,0)</f>
        <v>0</v>
      </c>
      <c r="BF53" s="14" t="e">
        <f t="shared" si="37"/>
        <v>#NUM!</v>
      </c>
      <c r="BG53" s="22" t="e">
        <f t="shared" si="7"/>
        <v>#NUM!</v>
      </c>
      <c r="BH53" s="62" t="e">
        <f t="shared" si="8"/>
        <v>#NUM!</v>
      </c>
      <c r="BI53" s="62">
        <f ca="1">AVERAGE(OFFSET($BH$3,0,0,'Données projet'!$E$11+1,1))-AVERAGE(OFFSET($H$3,0,0,'Données projet'!$E$11+1,1))</f>
        <v>83.883967208992033</v>
      </c>
      <c r="BJ53" s="62">
        <f t="shared" si="38"/>
        <v>391.78028845111544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46.144416775382929</v>
      </c>
      <c r="BQ53" s="23">
        <f>EXP(-LN(2)/25)*BQ52+(1-EXP(-LN(2)/25))/(LN(2)/25)*Calculateur!BL53*Calculateur!BN53*VLOOKUP('Données projet'!$B$11,Paramètres!$A$1:$I$89,3,0)*0.475*44/12</f>
        <v>9.0601529130614225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55.204569688444352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135.66666666666666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76.280749912424909</v>
      </c>
      <c r="T54" s="62">
        <f t="shared" si="34"/>
        <v>353.34276014239026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40.076343065002405</v>
      </c>
      <c r="AA54" s="23">
        <f>EXP(-LN(2)/25)*AA53+(1-EXP(-LN(2)/25))/(LN(2)/25)*Calculateur!V54*Calculateur!X54*VLOOKUP('Données projet'!$B$9,Paramètres!$A$1:$I$89,3,0)*0.475*44/12</f>
        <v>7.8066392200965558</v>
      </c>
      <c r="AB54" s="23">
        <f>EXP(-LN(2)/2)*AB53+(1-EXP(-LN(2)/2))/(LN(2)/2)*V54*Y54*VLOOKUP('Données projet'!$B$9,Paramètres!$A$1:$I$89,3,0)*0.475*44/12</f>
        <v>0</v>
      </c>
      <c r="AC54" s="24">
        <f t="shared" si="3"/>
        <v>47.882982285098961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>
        <f>AI54*VLOOKUP('Données projet'!$B$10,Paramètres!$A$1:$I$89,3,0)*VLOOKUP('Données projet'!$B$10,Paramètres!$A$1:$I$89,5,0)</f>
        <v>0</v>
      </c>
      <c r="AK54" s="14" t="e">
        <f t="shared" si="35"/>
        <v>#NUM!</v>
      </c>
      <c r="AL54" s="22" t="e">
        <f t="shared" si="4"/>
        <v>#NUM!</v>
      </c>
      <c r="AM54" s="62" t="e">
        <f t="shared" si="5"/>
        <v>#NUM!</v>
      </c>
      <c r="AN54" s="62">
        <f ca="1">AVERAGE(OFFSET($AM$3,0,0,'Données projet'!$E$10+1,1))-AVERAGE(OFFSET($H$3,0,0,'Données projet'!$E$10+1,1))</f>
        <v>82.437379371146534</v>
      </c>
      <c r="AO54" s="62">
        <f t="shared" si="36"/>
        <v>384.46649239172427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44.256084366260325</v>
      </c>
      <c r="AV54" s="23">
        <f>EXP(-LN(2)/25)*AV53+(1-EXP(-LN(2)/25))/(LN(2)/25)*Calculateur!AQ54*Calculateur!AS54*VLOOKUP('Données projet'!$B$10,Paramètres!$A$1:$I$89,3,0)*0.475*44/12</f>
        <v>8.6208285866096954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52.876912952870022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>
        <f>BD54*VLOOKUP('Données projet'!$B$11,Paramètres!$A$1:$I$89,3,0)*VLOOKUP('Données projet'!$B$11,Paramètres!$A$1:$I$89,5,0)</f>
        <v>0</v>
      </c>
      <c r="BF54" s="14" t="e">
        <f t="shared" si="37"/>
        <v>#NUM!</v>
      </c>
      <c r="BG54" s="22" t="e">
        <f t="shared" si="7"/>
        <v>#NUM!</v>
      </c>
      <c r="BH54" s="62" t="e">
        <f t="shared" si="8"/>
        <v>#NUM!</v>
      </c>
      <c r="BI54" s="62">
        <f ca="1">AVERAGE(OFFSET($BH$3,0,0,'Données projet'!$E$11+1,1))-AVERAGE(OFFSET($H$3,0,0,'Données projet'!$E$11+1,1))</f>
        <v>83.883967208992033</v>
      </c>
      <c r="BJ54" s="62">
        <f t="shared" si="38"/>
        <v>391.78028845111544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45.239552907732786</v>
      </c>
      <c r="BQ54" s="23">
        <f>EXP(-LN(2)/25)*BQ53+(1-EXP(-LN(2)/25))/(LN(2)/25)*Calculateur!BL54*Calculateur!BN54*VLOOKUP('Données projet'!$B$11,Paramètres!$A$1:$I$89,3,0)*0.475*44/12</f>
        <v>8.8124025552010234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54.051955462933812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135.66666666666666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76.280749912424909</v>
      </c>
      <c r="T55" s="62">
        <f t="shared" si="34"/>
        <v>353.34276014239026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39.290470421653318</v>
      </c>
      <c r="AA55" s="23">
        <f>EXP(-LN(2)/25)*AA54+(1-EXP(-LN(2)/25))/(LN(2)/25)*Calculateur!V55*Calculateur!X55*VLOOKUP('Données projet'!$B$9,Paramètres!$A$1:$I$89,3,0)*0.475*44/12</f>
        <v>7.593166260089701</v>
      </c>
      <c r="AB55" s="23">
        <f>EXP(-LN(2)/2)*AB54+(1-EXP(-LN(2)/2))/(LN(2)/2)*V55*Y55*VLOOKUP('Données projet'!$B$9,Paramètres!$A$1:$I$89,3,0)*0.475*44/12</f>
        <v>0</v>
      </c>
      <c r="AC55" s="24">
        <f t="shared" si="3"/>
        <v>46.88363668174302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>
        <f>AI55*VLOOKUP('Données projet'!$B$10,Paramètres!$A$1:$I$89,3,0)*VLOOKUP('Données projet'!$B$10,Paramètres!$A$1:$I$89,5,0)</f>
        <v>0</v>
      </c>
      <c r="AK55" s="14" t="e">
        <f t="shared" si="35"/>
        <v>#NUM!</v>
      </c>
      <c r="AL55" s="22" t="e">
        <f t="shared" si="4"/>
        <v>#NUM!</v>
      </c>
      <c r="AM55" s="62" t="e">
        <f t="shared" si="5"/>
        <v>#NUM!</v>
      </c>
      <c r="AN55" s="62">
        <f ca="1">AVERAGE(OFFSET($AM$3,0,0,'Données projet'!$E$10+1,1))-AVERAGE(OFFSET($H$3,0,0,'Données projet'!$E$10+1,1))</f>
        <v>82.437379371146534</v>
      </c>
      <c r="AO55" s="62">
        <f t="shared" si="36"/>
        <v>384.46649239172427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43.388249545384035</v>
      </c>
      <c r="AV55" s="23">
        <f>EXP(-LN(2)/25)*AV54+(1-EXP(-LN(2)/25))/(LN(2)/25)*Calculateur!AQ55*Calculateur!AS55*VLOOKUP('Données projet'!$B$10,Paramètres!$A$1:$I$89,3,0)*0.475*44/12</f>
        <v>8.3850915755591817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51.773341120943215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>
        <f>BD55*VLOOKUP('Données projet'!$B$11,Paramètres!$A$1:$I$89,3,0)*VLOOKUP('Données projet'!$B$11,Paramètres!$A$1:$I$89,5,0)</f>
        <v>0</v>
      </c>
      <c r="BF55" s="14" t="e">
        <f t="shared" si="37"/>
        <v>#NUM!</v>
      </c>
      <c r="BG55" s="22" t="e">
        <f t="shared" si="7"/>
        <v>#NUM!</v>
      </c>
      <c r="BH55" s="62" t="e">
        <f t="shared" si="8"/>
        <v>#NUM!</v>
      </c>
      <c r="BI55" s="62">
        <f ca="1">AVERAGE(OFFSET($BH$3,0,0,'Données projet'!$E$11+1,1))-AVERAGE(OFFSET($H$3,0,0,'Données projet'!$E$11+1,1))</f>
        <v>83.883967208992033</v>
      </c>
      <c r="BJ55" s="62">
        <f t="shared" si="38"/>
        <v>391.78028845111544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44.352432868614798</v>
      </c>
      <c r="BQ55" s="23">
        <f>EXP(-LN(2)/25)*BQ54+(1-EXP(-LN(2)/25))/(LN(2)/25)*Calculateur!BL55*Calculateur!BN55*VLOOKUP('Données projet'!$B$11,Paramètres!$A$1:$I$89,3,0)*0.475*44/12</f>
        <v>8.5714269439049424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52.923859812519737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135.66666666666666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76.280749912424909</v>
      </c>
      <c r="T56" s="62">
        <f t="shared" si="34"/>
        <v>353.34276014239026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38.520008261505325</v>
      </c>
      <c r="AA56" s="23">
        <f>EXP(-LN(2)/25)*AA55+(1-EXP(-LN(2)/25))/(LN(2)/25)*Calculateur!V56*Calculateur!X56*VLOOKUP('Données projet'!$B$9,Paramètres!$A$1:$I$89,3,0)*0.475*44/12</f>
        <v>7.3855307294002888</v>
      </c>
      <c r="AB56" s="23">
        <f>EXP(-LN(2)/2)*AB55+(1-EXP(-LN(2)/2))/(LN(2)/2)*V56*Y56*VLOOKUP('Données projet'!$B$9,Paramètres!$A$1:$I$89,3,0)*0.475*44/12</f>
        <v>0</v>
      </c>
      <c r="AC56" s="24">
        <f t="shared" si="3"/>
        <v>45.905538990905612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>
        <f>AI56*VLOOKUP('Données projet'!$B$10,Paramètres!$A$1:$I$89,3,0)*VLOOKUP('Données projet'!$B$10,Paramètres!$A$1:$I$89,5,0)</f>
        <v>0</v>
      </c>
      <c r="AK56" s="14" t="e">
        <f t="shared" si="35"/>
        <v>#NUM!</v>
      </c>
      <c r="AL56" s="22" t="e">
        <f t="shared" si="4"/>
        <v>#NUM!</v>
      </c>
      <c r="AM56" s="62" t="e">
        <f t="shared" si="5"/>
        <v>#NUM!</v>
      </c>
      <c r="AN56" s="62">
        <f ca="1">AVERAGE(OFFSET($AM$3,0,0,'Données projet'!$E$10+1,1))-AVERAGE(OFFSET($H$3,0,0,'Données projet'!$E$10+1,1))</f>
        <v>82.437379371146534</v>
      </c>
      <c r="AO56" s="62">
        <f t="shared" si="36"/>
        <v>384.46649239172427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42.53743243601815</v>
      </c>
      <c r="AV56" s="23">
        <f>EXP(-LN(2)/25)*AV55+(1-EXP(-LN(2)/25))/(LN(2)/25)*Calculateur!AQ56*Calculateur!AS56*VLOOKUP('Données projet'!$B$10,Paramètres!$A$1:$I$89,3,0)*0.475*44/12</f>
        <v>8.1558008054727136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50.693233241490866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>
        <f>BD56*VLOOKUP('Données projet'!$B$11,Paramètres!$A$1:$I$89,3,0)*VLOOKUP('Données projet'!$B$11,Paramètres!$A$1:$I$89,5,0)</f>
        <v>0</v>
      </c>
      <c r="BF56" s="14" t="e">
        <f t="shared" si="37"/>
        <v>#NUM!</v>
      </c>
      <c r="BG56" s="22" t="e">
        <f t="shared" si="7"/>
        <v>#NUM!</v>
      </c>
      <c r="BH56" s="62" t="e">
        <f t="shared" si="8"/>
        <v>#NUM!</v>
      </c>
      <c r="BI56" s="62">
        <f ca="1">AVERAGE(OFFSET($BH$3,0,0,'Données projet'!$E$11+1,1))-AVERAGE(OFFSET($H$3,0,0,'Données projet'!$E$11+1,1))</f>
        <v>83.883967208992033</v>
      </c>
      <c r="BJ56" s="62">
        <f t="shared" si="38"/>
        <v>391.78028845111544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43.482708712374119</v>
      </c>
      <c r="BQ56" s="23">
        <f>EXP(-LN(2)/25)*BQ55+(1-EXP(-LN(2)/25))/(LN(2)/25)*Calculateur!BL56*Calculateur!BN56*VLOOKUP('Données projet'!$B$11,Paramètres!$A$1:$I$89,3,0)*0.475*44/12</f>
        <v>8.3370408233721083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51.819749535746226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135.66666666666666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76.280749912424909</v>
      </c>
      <c r="T57" s="62">
        <f t="shared" si="34"/>
        <v>353.34276014239026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37.764654394382319</v>
      </c>
      <c r="AA57" s="23">
        <f>EXP(-LN(2)/25)*AA56+(1-EXP(-LN(2)/25))/(LN(2)/25)*Calculateur!V57*Calculateur!X57*VLOOKUP('Données projet'!$B$9,Paramètres!$A$1:$I$89,3,0)*0.475*44/12</f>
        <v>7.1835730032166563</v>
      </c>
      <c r="AB57" s="23">
        <f>EXP(-LN(2)/2)*AB56+(1-EXP(-LN(2)/2))/(LN(2)/2)*V57*Y57*VLOOKUP('Données projet'!$B$9,Paramètres!$A$1:$I$89,3,0)*0.475*44/12</f>
        <v>0</v>
      </c>
      <c r="AC57" s="24">
        <f t="shared" si="3"/>
        <v>44.948227397598977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>
        <f>AI57*VLOOKUP('Données projet'!$B$10,Paramètres!$A$1:$I$89,3,0)*VLOOKUP('Données projet'!$B$10,Paramètres!$A$1:$I$89,5,0)</f>
        <v>0</v>
      </c>
      <c r="AK57" s="14" t="e">
        <f t="shared" si="35"/>
        <v>#NUM!</v>
      </c>
      <c r="AL57" s="22" t="e">
        <f t="shared" si="4"/>
        <v>#NUM!</v>
      </c>
      <c r="AM57" s="62" t="e">
        <f t="shared" si="5"/>
        <v>#NUM!</v>
      </c>
      <c r="AN57" s="62">
        <f ca="1">AVERAGE(OFFSET($AM$3,0,0,'Données projet'!$E$10+1,1))-AVERAGE(OFFSET($H$3,0,0,'Données projet'!$E$10+1,1))</f>
        <v>82.437379371146534</v>
      </c>
      <c r="AO57" s="62">
        <f t="shared" si="36"/>
        <v>384.46649239172427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41.703299331219739</v>
      </c>
      <c r="AV57" s="23">
        <f>EXP(-LN(2)/25)*AV56+(1-EXP(-LN(2)/25))/(LN(2)/25)*Calculateur!AQ57*Calculateur!AS57*VLOOKUP('Données projet'!$B$10,Paramètres!$A$1:$I$89,3,0)*0.475*44/12</f>
        <v>7.9327800035521383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49.636079334771878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>
        <f>BD57*VLOOKUP('Données projet'!$B$11,Paramètres!$A$1:$I$89,3,0)*VLOOKUP('Données projet'!$B$11,Paramètres!$A$1:$I$89,5,0)</f>
        <v>0</v>
      </c>
      <c r="BF57" s="14" t="e">
        <f t="shared" si="37"/>
        <v>#NUM!</v>
      </c>
      <c r="BG57" s="22" t="e">
        <f t="shared" si="7"/>
        <v>#NUM!</v>
      </c>
      <c r="BH57" s="62" t="e">
        <f t="shared" si="8"/>
        <v>#NUM!</v>
      </c>
      <c r="BI57" s="62">
        <f ca="1">AVERAGE(OFFSET($BH$3,0,0,'Données projet'!$E$11+1,1))-AVERAGE(OFFSET($H$3,0,0,'Données projet'!$E$11+1,1))</f>
        <v>83.883967208992033</v>
      </c>
      <c r="BJ57" s="62">
        <f t="shared" si="38"/>
        <v>391.78028845111544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42.630039316357966</v>
      </c>
      <c r="BQ57" s="23">
        <f>EXP(-LN(2)/25)*BQ56+(1-EXP(-LN(2)/25))/(LN(2)/25)*Calculateur!BL57*Calculateur!BN57*VLOOKUP('Données projet'!$B$11,Paramètres!$A$1:$I$89,3,0)*0.475*44/12</f>
        <v>8.1090640036310759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50.739103319989042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135.66666666666666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76.280749912424909</v>
      </c>
      <c r="T58" s="62">
        <f t="shared" si="34"/>
        <v>353.34276014239026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37.024112555873231</v>
      </c>
      <c r="AA58" s="23">
        <f>EXP(-LN(2)/25)*AA57+(1-EXP(-LN(2)/25))/(LN(2)/25)*Calculateur!V58*Calculateur!X58*VLOOKUP('Données projet'!$B$9,Paramètres!$A$1:$I$89,3,0)*0.475*44/12</f>
        <v>6.9871378216760105</v>
      </c>
      <c r="AB58" s="23">
        <f>EXP(-LN(2)/2)*AB57+(1-EXP(-LN(2)/2))/(LN(2)/2)*V58*Y58*VLOOKUP('Données projet'!$B$9,Paramètres!$A$1:$I$89,3,0)*0.475*44/12</f>
        <v>0</v>
      </c>
      <c r="AC58" s="24">
        <f t="shared" si="3"/>
        <v>44.011250377549239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>
        <f>AI58*VLOOKUP('Données projet'!$B$10,Paramètres!$A$1:$I$89,3,0)*VLOOKUP('Données projet'!$B$10,Paramètres!$A$1:$I$89,5,0)</f>
        <v>0</v>
      </c>
      <c r="AK58" s="14" t="e">
        <f t="shared" si="35"/>
        <v>#NUM!</v>
      </c>
      <c r="AL58" s="22" t="e">
        <f t="shared" si="4"/>
        <v>#NUM!</v>
      </c>
      <c r="AM58" s="62" t="e">
        <f t="shared" si="5"/>
        <v>#NUM!</v>
      </c>
      <c r="AN58" s="62">
        <f ca="1">AVERAGE(OFFSET($AM$3,0,0,'Données projet'!$E$10+1,1))-AVERAGE(OFFSET($H$3,0,0,'Données projet'!$E$10+1,1))</f>
        <v>82.437379371146534</v>
      </c>
      <c r="AO58" s="62">
        <f t="shared" si="36"/>
        <v>384.46649239172427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40.885523067835464</v>
      </c>
      <c r="AV58" s="23">
        <f>EXP(-LN(2)/25)*AV57+(1-EXP(-LN(2)/25))/(LN(2)/25)*Calculateur!AQ58*Calculateur!AS58*VLOOKUP('Données projet'!$B$10,Paramètres!$A$1:$I$89,3,0)*0.475*44/12</f>
        <v>7.7158577171882357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48.6013807850237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>
        <f>BD58*VLOOKUP('Données projet'!$B$11,Paramètres!$A$1:$I$89,3,0)*VLOOKUP('Données projet'!$B$11,Paramètres!$A$1:$I$89,5,0)</f>
        <v>0</v>
      </c>
      <c r="BF58" s="14" t="e">
        <f t="shared" si="37"/>
        <v>#NUM!</v>
      </c>
      <c r="BG58" s="22" t="e">
        <f t="shared" si="7"/>
        <v>#NUM!</v>
      </c>
      <c r="BH58" s="62" t="e">
        <f t="shared" si="8"/>
        <v>#NUM!</v>
      </c>
      <c r="BI58" s="62">
        <f ca="1">AVERAGE(OFFSET($BH$3,0,0,'Données projet'!$E$11+1,1))-AVERAGE(OFFSET($H$3,0,0,'Données projet'!$E$11+1,1))</f>
        <v>83.883967208992033</v>
      </c>
      <c r="BJ58" s="62">
        <f t="shared" si="38"/>
        <v>391.78028845111544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41.794090247120707</v>
      </c>
      <c r="BQ58" s="23">
        <f>EXP(-LN(2)/25)*BQ57+(1-EXP(-LN(2)/25))/(LN(2)/25)*Calculateur!BL58*Calculateur!BN58*VLOOKUP('Données projet'!$B$11,Paramètres!$A$1:$I$89,3,0)*0.475*44/12</f>
        <v>7.8873212220146414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49.681411469135348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135.66666666666666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76.280749912424909</v>
      </c>
      <c r="T59" s="62">
        <f t="shared" si="34"/>
        <v>353.34276014239026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36.298092291131383</v>
      </c>
      <c r="AA59" s="23">
        <f>EXP(-LN(2)/25)*AA58+(1-EXP(-LN(2)/25))/(LN(2)/25)*Calculateur!V59*Calculateur!X59*VLOOKUP('Données projet'!$B$9,Paramètres!$A$1:$I$89,3,0)*0.475*44/12</f>
        <v>6.7960741705046717</v>
      </c>
      <c r="AB59" s="23">
        <f>EXP(-LN(2)/2)*AB58+(1-EXP(-LN(2)/2))/(LN(2)/2)*V59*Y59*VLOOKUP('Données projet'!$B$9,Paramètres!$A$1:$I$89,3,0)*0.475*44/12</f>
        <v>0</v>
      </c>
      <c r="AC59" s="24">
        <f t="shared" si="3"/>
        <v>43.094166461636057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>
        <f>AI59*VLOOKUP('Données projet'!$B$10,Paramètres!$A$1:$I$89,3,0)*VLOOKUP('Données projet'!$B$10,Paramètres!$A$1:$I$89,5,0)</f>
        <v>0</v>
      </c>
      <c r="AK59" s="14" t="e">
        <f t="shared" si="35"/>
        <v>#NUM!</v>
      </c>
      <c r="AL59" s="22" t="e">
        <f t="shared" si="4"/>
        <v>#NUM!</v>
      </c>
      <c r="AM59" s="62" t="e">
        <f t="shared" si="5"/>
        <v>#NUM!</v>
      </c>
      <c r="AN59" s="62">
        <f ca="1">AVERAGE(OFFSET($AM$3,0,0,'Données projet'!$E$10+1,1))-AVERAGE(OFFSET($H$3,0,0,'Données projet'!$E$10+1,1))</f>
        <v>82.437379371146534</v>
      </c>
      <c r="AO59" s="62">
        <f t="shared" si="36"/>
        <v>384.46649239172427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40.083782898181887</v>
      </c>
      <c r="AV59" s="23">
        <f>EXP(-LN(2)/25)*AV58+(1-EXP(-LN(2)/25))/(LN(2)/25)*Calculateur!AQ59*Calculateur!AS59*VLOOKUP('Données projet'!$B$10,Paramètres!$A$1:$I$89,3,0)*0.475*44/12</f>
        <v>7.5048671821524007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47.58865008033429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>
        <f>BD59*VLOOKUP('Données projet'!$B$11,Paramètres!$A$1:$I$89,3,0)*VLOOKUP('Données projet'!$B$11,Paramètres!$A$1:$I$89,5,0)</f>
        <v>0</v>
      </c>
      <c r="BF59" s="14" t="e">
        <f t="shared" si="37"/>
        <v>#NUM!</v>
      </c>
      <c r="BG59" s="22" t="e">
        <f t="shared" si="7"/>
        <v>#NUM!</v>
      </c>
      <c r="BH59" s="62" t="e">
        <f t="shared" si="8"/>
        <v>#NUM!</v>
      </c>
      <c r="BI59" s="62">
        <f ca="1">AVERAGE(OFFSET($BH$3,0,0,'Données projet'!$E$11+1,1))-AVERAGE(OFFSET($H$3,0,0,'Données projet'!$E$11+1,1))</f>
        <v>83.883967208992033</v>
      </c>
      <c r="BJ59" s="62">
        <f t="shared" si="38"/>
        <v>391.78028845111544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40.974533629252605</v>
      </c>
      <c r="BQ59" s="23">
        <f>EXP(-LN(2)/25)*BQ58+(1-EXP(-LN(2)/25))/(LN(2)/25)*Calculateur!BL59*Calculateur!BN59*VLOOKUP('Données projet'!$B$11,Paramètres!$A$1:$I$89,3,0)*0.475*44/12</f>
        <v>7.671642008422455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48.646175637675057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135.66666666666666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76.280749912424909</v>
      </c>
      <c r="T60" s="62">
        <f t="shared" si="34"/>
        <v>353.34276014239026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35.586308840952483</v>
      </c>
      <c r="AA60" s="23">
        <f>EXP(-LN(2)/25)*AA59+(1-EXP(-LN(2)/25))/(LN(2)/25)*Calculateur!V60*Calculateur!X60*VLOOKUP('Données projet'!$B$9,Paramètres!$A$1:$I$89,3,0)*0.475*44/12</f>
        <v>6.6102351649222131</v>
      </c>
      <c r="AB60" s="23">
        <f>EXP(-LN(2)/2)*AB59+(1-EXP(-LN(2)/2))/(LN(2)/2)*V60*Y60*VLOOKUP('Données projet'!$B$9,Paramètres!$A$1:$I$89,3,0)*0.475*44/12</f>
        <v>0</v>
      </c>
      <c r="AC60" s="24">
        <f t="shared" si="3"/>
        <v>42.196544005874699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>
        <f>AI60*VLOOKUP('Données projet'!$B$10,Paramètres!$A$1:$I$89,3,0)*VLOOKUP('Données projet'!$B$10,Paramètres!$A$1:$I$89,5,0)</f>
        <v>0</v>
      </c>
      <c r="AK60" s="14" t="e">
        <f t="shared" si="35"/>
        <v>#NUM!</v>
      </c>
      <c r="AL60" s="22" t="e">
        <f t="shared" si="4"/>
        <v>#NUM!</v>
      </c>
      <c r="AM60" s="62" t="e">
        <f t="shared" si="5"/>
        <v>#NUM!</v>
      </c>
      <c r="AN60" s="62">
        <f ca="1">AVERAGE(OFFSET($AM$3,0,0,'Données projet'!$E$10+1,1))-AVERAGE(OFFSET($H$3,0,0,'Données projet'!$E$10+1,1))</f>
        <v>82.437379371146534</v>
      </c>
      <c r="AO60" s="62">
        <f t="shared" si="36"/>
        <v>384.46649239172427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39.297764364241999</v>
      </c>
      <c r="AV60" s="23">
        <f>EXP(-LN(2)/25)*AV59+(1-EXP(-LN(2)/25))/(LN(2)/25)*Calculateur!AQ60*Calculateur!AS60*VLOOKUP('Données projet'!$B$10,Paramètres!$A$1:$I$89,3,0)*0.475*44/12</f>
        <v>7.299646194392631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46.597410558634628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>
        <f>BD60*VLOOKUP('Données projet'!$B$11,Paramètres!$A$1:$I$89,3,0)*VLOOKUP('Données projet'!$B$11,Paramètres!$A$1:$I$89,5,0)</f>
        <v>0</v>
      </c>
      <c r="BF60" s="14" t="e">
        <f t="shared" si="37"/>
        <v>#NUM!</v>
      </c>
      <c r="BG60" s="22" t="e">
        <f t="shared" si="7"/>
        <v>#NUM!</v>
      </c>
      <c r="BH60" s="62" t="e">
        <f t="shared" si="8"/>
        <v>#NUM!</v>
      </c>
      <c r="BI60" s="62">
        <f ca="1">AVERAGE(OFFSET($BH$3,0,0,'Données projet'!$E$11+1,1))-AVERAGE(OFFSET($H$3,0,0,'Données projet'!$E$11+1,1))</f>
        <v>83.883967208992033</v>
      </c>
      <c r="BJ60" s="62">
        <f t="shared" si="38"/>
        <v>391.78028845111544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40.171048016780723</v>
      </c>
      <c r="BQ60" s="23">
        <f>EXP(-LN(2)/25)*BQ59+(1-EXP(-LN(2)/25))/(LN(2)/25)*Calculateur!BL60*Calculateur!BN60*VLOOKUP('Données projet'!$B$11,Paramètres!$A$1:$I$89,3,0)*0.475*44/12</f>
        <v>7.4618605542680232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47.632908571048745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135.66666666666666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76.280749912424909</v>
      </c>
      <c r="T61" s="62">
        <f t="shared" si="34"/>
        <v>353.34276014239026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34.888483030086554</v>
      </c>
      <c r="AA61" s="23">
        <f>EXP(-LN(2)/25)*AA60+(1-EXP(-LN(2)/25))/(LN(2)/25)*Calculateur!V61*Calculateur!X61*VLOOKUP('Données projet'!$B$9,Paramètres!$A$1:$I$89,3,0)*0.475*44/12</f>
        <v>6.4294779367202555</v>
      </c>
      <c r="AB61" s="23">
        <f>EXP(-LN(2)/2)*AB60+(1-EXP(-LN(2)/2))/(LN(2)/2)*V61*Y61*VLOOKUP('Données projet'!$B$9,Paramètres!$A$1:$I$89,3,0)*0.475*44/12</f>
        <v>0</v>
      </c>
      <c r="AC61" s="24">
        <f t="shared" si="3"/>
        <v>41.317960966806808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>
        <f>AI61*VLOOKUP('Données projet'!$B$10,Paramètres!$A$1:$I$89,3,0)*VLOOKUP('Données projet'!$B$10,Paramètres!$A$1:$I$89,5,0)</f>
        <v>0</v>
      </c>
      <c r="AK61" s="14" t="e">
        <f t="shared" si="35"/>
        <v>#NUM!</v>
      </c>
      <c r="AL61" s="22" t="e">
        <f t="shared" si="4"/>
        <v>#NUM!</v>
      </c>
      <c r="AM61" s="62" t="e">
        <f t="shared" si="5"/>
        <v>#NUM!</v>
      </c>
      <c r="AN61" s="62">
        <f ca="1">AVERAGE(OFFSET($AM$3,0,0,'Données projet'!$E$10+1,1))-AVERAGE(OFFSET($H$3,0,0,'Données projet'!$E$10+1,1))</f>
        <v>82.437379371146534</v>
      </c>
      <c r="AO61" s="62">
        <f t="shared" si="36"/>
        <v>384.46649239172427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38.527159174328709</v>
      </c>
      <c r="AV61" s="23">
        <f>EXP(-LN(2)/25)*AV60+(1-EXP(-LN(2)/25))/(LN(2)/25)*Calculateur!AQ61*Calculateur!AS61*VLOOKUP('Données projet'!$B$10,Paramètres!$A$1:$I$89,3,0)*0.475*44/12</f>
        <v>7.1000369853352545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45.627196159663967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>
        <f>BD61*VLOOKUP('Données projet'!$B$11,Paramètres!$A$1:$I$89,3,0)*VLOOKUP('Données projet'!$B$11,Paramètres!$A$1:$I$89,5,0)</f>
        <v>0</v>
      </c>
      <c r="BF61" s="14" t="e">
        <f t="shared" si="37"/>
        <v>#NUM!</v>
      </c>
      <c r="BG61" s="22" t="e">
        <f t="shared" si="7"/>
        <v>#NUM!</v>
      </c>
      <c r="BH61" s="62" t="e">
        <f t="shared" si="8"/>
        <v>#NUM!</v>
      </c>
      <c r="BI61" s="62">
        <f ca="1">AVERAGE(OFFSET($BH$3,0,0,'Données projet'!$E$11+1,1))-AVERAGE(OFFSET($H$3,0,0,'Données projet'!$E$11+1,1))</f>
        <v>83.883967208992033</v>
      </c>
      <c r="BJ61" s="62">
        <f t="shared" si="38"/>
        <v>391.78028845111544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39.383318267091582</v>
      </c>
      <c r="BQ61" s="23">
        <f>EXP(-LN(2)/25)*BQ60+(1-EXP(-LN(2)/25))/(LN(2)/25)*Calculateur!BL61*Calculateur!BN61*VLOOKUP('Données projet'!$B$11,Paramètres!$A$1:$I$89,3,0)*0.475*44/12</f>
        <v>7.2578155850093715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46.64113385210095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135.66666666666666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76.280749912424909</v>
      </c>
      <c r="T62" s="62">
        <f t="shared" si="34"/>
        <v>353.34276014239026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34.204341157739989</v>
      </c>
      <c r="AA62" s="23">
        <f>EXP(-LN(2)/25)*AA61+(1-EXP(-LN(2)/25))/(LN(2)/25)*Calculateur!V62*Calculateur!X62*VLOOKUP('Données projet'!$B$9,Paramètres!$A$1:$I$89,3,0)*0.475*44/12</f>
        <v>6.2536635244290899</v>
      </c>
      <c r="AB62" s="23">
        <f>EXP(-LN(2)/2)*AB61+(1-EXP(-LN(2)/2))/(LN(2)/2)*V62*Y62*VLOOKUP('Données projet'!$B$9,Paramètres!$A$1:$I$89,3,0)*0.475*44/12</f>
        <v>0</v>
      </c>
      <c r="AC62" s="24">
        <f t="shared" si="3"/>
        <v>40.458004682169076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>
        <f>AI62*VLOOKUP('Données projet'!$B$10,Paramètres!$A$1:$I$89,3,0)*VLOOKUP('Données projet'!$B$10,Paramètres!$A$1:$I$89,5,0)</f>
        <v>0</v>
      </c>
      <c r="AK62" s="14" t="e">
        <f t="shared" si="35"/>
        <v>#NUM!</v>
      </c>
      <c r="AL62" s="22" t="e">
        <f t="shared" si="4"/>
        <v>#NUM!</v>
      </c>
      <c r="AM62" s="62" t="e">
        <f t="shared" si="5"/>
        <v>#NUM!</v>
      </c>
      <c r="AN62" s="62">
        <f ca="1">AVERAGE(OFFSET($AM$3,0,0,'Données projet'!$E$10+1,1))-AVERAGE(OFFSET($H$3,0,0,'Données projet'!$E$10+1,1))</f>
        <v>82.437379371146534</v>
      </c>
      <c r="AO62" s="62">
        <f t="shared" si="36"/>
        <v>384.46649239172427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37.771665082166862</v>
      </c>
      <c r="AV62" s="23">
        <f>EXP(-LN(2)/25)*AV61+(1-EXP(-LN(2)/25))/(LN(2)/25)*Calculateur!AQ62*Calculateur!AS62*VLOOKUP('Données projet'!$B$10,Paramètres!$A$1:$I$89,3,0)*0.475*44/12</f>
        <v>6.9058861005965442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44.677551182763409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>
        <f>BD62*VLOOKUP('Données projet'!$B$11,Paramètres!$A$1:$I$89,3,0)*VLOOKUP('Données projet'!$B$11,Paramètres!$A$1:$I$89,5,0)</f>
        <v>0</v>
      </c>
      <c r="BF62" s="14" t="e">
        <f t="shared" si="37"/>
        <v>#NUM!</v>
      </c>
      <c r="BG62" s="22" t="e">
        <f t="shared" si="7"/>
        <v>#NUM!</v>
      </c>
      <c r="BH62" s="62" t="e">
        <f t="shared" si="8"/>
        <v>#NUM!</v>
      </c>
      <c r="BI62" s="62">
        <f ca="1">AVERAGE(OFFSET($BH$3,0,0,'Données projet'!$E$11+1,1))-AVERAGE(OFFSET($H$3,0,0,'Données projet'!$E$11+1,1))</f>
        <v>83.883967208992033</v>
      </c>
      <c r="BJ62" s="62">
        <f t="shared" si="38"/>
        <v>391.78028845111544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38.611035417326136</v>
      </c>
      <c r="BQ62" s="23">
        <f>EXP(-LN(2)/25)*BQ61+(1-EXP(-LN(2)/25))/(LN(2)/25)*Calculateur!BL62*Calculateur!BN62*VLOOKUP('Données projet'!$B$11,Paramètres!$A$1:$I$89,3,0)*0.475*44/12</f>
        <v>7.0593502361653568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45.670385653491493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135.66666666666666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76.280749912424909</v>
      </c>
      <c r="T63" s="62">
        <f t="shared" si="34"/>
        <v>353.34276014239026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33.533614890224804</v>
      </c>
      <c r="AA63" s="23">
        <f>EXP(-LN(2)/25)*AA62+(1-EXP(-LN(2)/25))/(LN(2)/25)*Calculateur!V63*Calculateur!X63*VLOOKUP('Données projet'!$B$9,Paramètres!$A$1:$I$89,3,0)*0.475*44/12</f>
        <v>6.0826567664877045</v>
      </c>
      <c r="AB63" s="23">
        <f>EXP(-LN(2)/2)*AB62+(1-EXP(-LN(2)/2))/(LN(2)/2)*V63*Y63*VLOOKUP('Données projet'!$B$9,Paramètres!$A$1:$I$89,3,0)*0.475*44/12</f>
        <v>0</v>
      </c>
      <c r="AC63" s="24">
        <f t="shared" si="3"/>
        <v>39.616271656712506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>
        <f>AI63*VLOOKUP('Données projet'!$B$10,Paramètres!$A$1:$I$89,3,0)*VLOOKUP('Données projet'!$B$10,Paramètres!$A$1:$I$89,5,0)</f>
        <v>0</v>
      </c>
      <c r="AK63" s="14" t="e">
        <f t="shared" si="35"/>
        <v>#NUM!</v>
      </c>
      <c r="AL63" s="22" t="e">
        <f t="shared" si="4"/>
        <v>#NUM!</v>
      </c>
      <c r="AM63" s="62" t="e">
        <f t="shared" si="5"/>
        <v>#NUM!</v>
      </c>
      <c r="AN63" s="62">
        <f ca="1">AVERAGE(OFFSET($AM$3,0,0,'Données projet'!$E$10+1,1))-AVERAGE(OFFSET($H$3,0,0,'Données projet'!$E$10+1,1))</f>
        <v>82.437379371146534</v>
      </c>
      <c r="AO63" s="62">
        <f t="shared" si="36"/>
        <v>384.46649239172427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37.030985768346412</v>
      </c>
      <c r="AV63" s="23">
        <f>EXP(-LN(2)/25)*AV62+(1-EXP(-LN(2)/25))/(LN(2)/25)*Calculateur!AQ63*Calculateur!AS63*VLOOKUP('Données projet'!$B$10,Paramètres!$A$1:$I$89,3,0)*0.475*44/12</f>
        <v>6.7170442820109653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43.748030050357379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>
        <f>BD63*VLOOKUP('Données projet'!$B$11,Paramètres!$A$1:$I$89,3,0)*VLOOKUP('Données projet'!$B$11,Paramètres!$A$1:$I$89,5,0)</f>
        <v>0</v>
      </c>
      <c r="BF63" s="14" t="e">
        <f t="shared" si="37"/>
        <v>#NUM!</v>
      </c>
      <c r="BG63" s="22" t="e">
        <f t="shared" si="7"/>
        <v>#NUM!</v>
      </c>
      <c r="BH63" s="62" t="e">
        <f t="shared" si="8"/>
        <v>#NUM!</v>
      </c>
      <c r="BI63" s="62">
        <f ca="1">AVERAGE(OFFSET($BH$3,0,0,'Données projet'!$E$11+1,1))-AVERAGE(OFFSET($H$3,0,0,'Données projet'!$E$11+1,1))</f>
        <v>83.883967208992033</v>
      </c>
      <c r="BJ63" s="62">
        <f t="shared" si="38"/>
        <v>391.78028845111544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37.853896563198568</v>
      </c>
      <c r="BQ63" s="23">
        <f>EXP(-LN(2)/25)*BQ62+(1-EXP(-LN(2)/25))/(LN(2)/25)*Calculateur!BL63*Calculateur!BN63*VLOOKUP('Données projet'!$B$11,Paramètres!$A$1:$I$89,3,0)*0.475*44/12</f>
        <v>6.8663119327223203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44.720208495920886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135.66666666666666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76.280749912424909</v>
      </c>
      <c r="T64" s="62">
        <f t="shared" si="34"/>
        <v>353.34276014239026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32.876041155712961</v>
      </c>
      <c r="AA64" s="23">
        <f>EXP(-LN(2)/25)*AA63+(1-EXP(-LN(2)/25))/(LN(2)/25)*Calculateur!V64*Calculateur!X64*VLOOKUP('Données projet'!$B$9,Paramètres!$A$1:$I$89,3,0)*0.475*44/12</f>
        <v>5.9163261973350814</v>
      </c>
      <c r="AB64" s="23">
        <f>EXP(-LN(2)/2)*AB63+(1-EXP(-LN(2)/2))/(LN(2)/2)*V64*Y64*VLOOKUP('Données projet'!$B$9,Paramètres!$A$1:$I$89,3,0)*0.475*44/12</f>
        <v>0</v>
      </c>
      <c r="AC64" s="24">
        <f t="shared" si="3"/>
        <v>38.792367353048043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>
        <f>AI64*VLOOKUP('Données projet'!$B$10,Paramètres!$A$1:$I$89,3,0)*VLOOKUP('Données projet'!$B$10,Paramètres!$A$1:$I$89,5,0)</f>
        <v>0</v>
      </c>
      <c r="AK64" s="14" t="e">
        <f t="shared" si="35"/>
        <v>#NUM!</v>
      </c>
      <c r="AL64" s="22" t="e">
        <f t="shared" si="4"/>
        <v>#NUM!</v>
      </c>
      <c r="AM64" s="62" t="e">
        <f t="shared" si="5"/>
        <v>#NUM!</v>
      </c>
      <c r="AN64" s="62">
        <f ca="1">AVERAGE(OFFSET($AM$3,0,0,'Données projet'!$E$10+1,1))-AVERAGE(OFFSET($H$3,0,0,'Données projet'!$E$10+1,1))</f>
        <v>82.437379371146534</v>
      </c>
      <c r="AO64" s="62">
        <f t="shared" si="36"/>
        <v>384.46649239172427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36.304830724100206</v>
      </c>
      <c r="AV64" s="23">
        <f>EXP(-LN(2)/25)*AV63+(1-EXP(-LN(2)/25))/(LN(2)/25)*Calculateur!AQ64*Calculateur!AS64*VLOOKUP('Données projet'!$B$10,Paramètres!$A$1:$I$89,3,0)*0.475*44/12</f>
        <v>6.5333663528853689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42.838197076985573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>
        <f>BD64*VLOOKUP('Données projet'!$B$11,Paramètres!$A$1:$I$89,3,0)*VLOOKUP('Données projet'!$B$11,Paramètres!$A$1:$I$89,5,0)</f>
        <v>0</v>
      </c>
      <c r="BF64" s="14" t="e">
        <f t="shared" si="37"/>
        <v>#NUM!</v>
      </c>
      <c r="BG64" s="22" t="e">
        <f t="shared" si="7"/>
        <v>#NUM!</v>
      </c>
      <c r="BH64" s="62" t="e">
        <f t="shared" si="8"/>
        <v>#NUM!</v>
      </c>
      <c r="BI64" s="62">
        <f ca="1">AVERAGE(OFFSET($BH$3,0,0,'Données projet'!$E$11+1,1))-AVERAGE(OFFSET($H$3,0,0,'Données projet'!$E$11+1,1))</f>
        <v>83.883967208992033</v>
      </c>
      <c r="BJ64" s="62">
        <f t="shared" si="38"/>
        <v>391.78028845111544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37.111604740191339</v>
      </c>
      <c r="BQ64" s="23">
        <f>EXP(-LN(2)/25)*BQ63+(1-EXP(-LN(2)/25))/(LN(2)/25)*Calculateur!BL64*Calculateur!BN64*VLOOKUP('Données projet'!$B$11,Paramètres!$A$1:$I$89,3,0)*0.475*44/12</f>
        <v>6.6785522718383774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43.790157012029717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135.66666666666666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76.280749912424909</v>
      </c>
      <c r="T65" s="62">
        <f t="shared" si="34"/>
        <v>353.34276014239026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32.231362041054524</v>
      </c>
      <c r="AA65" s="23">
        <f>EXP(-LN(2)/25)*AA64+(1-EXP(-LN(2)/25))/(LN(2)/25)*Calculateur!V65*Calculateur!X65*VLOOKUP('Données projet'!$B$9,Paramètres!$A$1:$I$89,3,0)*0.475*44/12</f>
        <v>5.7545439463428805</v>
      </c>
      <c r="AB65" s="23">
        <f>EXP(-LN(2)/2)*AB64+(1-EXP(-LN(2)/2))/(LN(2)/2)*V65*Y65*VLOOKUP('Données projet'!$B$9,Paramètres!$A$1:$I$89,3,0)*0.475*44/12</f>
        <v>0</v>
      </c>
      <c r="AC65" s="24">
        <f t="shared" si="3"/>
        <v>37.985905987397402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>
        <f>AI65*VLOOKUP('Données projet'!$B$10,Paramètres!$A$1:$I$89,3,0)*VLOOKUP('Données projet'!$B$10,Paramètres!$A$1:$I$89,5,0)</f>
        <v>0</v>
      </c>
      <c r="AK65" s="14" t="e">
        <f t="shared" si="35"/>
        <v>#NUM!</v>
      </c>
      <c r="AL65" s="22" t="e">
        <f t="shared" si="4"/>
        <v>#NUM!</v>
      </c>
      <c r="AM65" s="62" t="e">
        <f t="shared" si="5"/>
        <v>#NUM!</v>
      </c>
      <c r="AN65" s="62">
        <f ca="1">AVERAGE(OFFSET($AM$3,0,0,'Données projet'!$E$10+1,1))-AVERAGE(OFFSET($H$3,0,0,'Données projet'!$E$10+1,1))</f>
        <v>82.437379371146534</v>
      </c>
      <c r="AO65" s="62">
        <f t="shared" si="36"/>
        <v>384.46649239172427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35.592915137360826</v>
      </c>
      <c r="AV65" s="23">
        <f>EXP(-LN(2)/25)*AV64+(1-EXP(-LN(2)/25))/(LN(2)/25)*Calculateur!AQ65*Calculateur!AS65*VLOOKUP('Données projet'!$B$10,Paramètres!$A$1:$I$89,3,0)*0.475*44/12</f>
        <v>6.3547111063909139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41.947626243751742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>
        <f>BD65*VLOOKUP('Données projet'!$B$11,Paramètres!$A$1:$I$89,3,0)*VLOOKUP('Données projet'!$B$11,Paramètres!$A$1:$I$89,5,0)</f>
        <v>0</v>
      </c>
      <c r="BF65" s="14" t="e">
        <f t="shared" si="37"/>
        <v>#NUM!</v>
      </c>
      <c r="BG65" s="22" t="e">
        <f t="shared" si="7"/>
        <v>#NUM!</v>
      </c>
      <c r="BH65" s="62" t="e">
        <f t="shared" si="8"/>
        <v>#NUM!</v>
      </c>
      <c r="BI65" s="62">
        <f ca="1">AVERAGE(OFFSET($BH$3,0,0,'Données projet'!$E$11+1,1))-AVERAGE(OFFSET($H$3,0,0,'Données projet'!$E$11+1,1))</f>
        <v>83.883967208992033</v>
      </c>
      <c r="BJ65" s="62">
        <f t="shared" si="38"/>
        <v>391.78028845111544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36.383868807079978</v>
      </c>
      <c r="BQ65" s="23">
        <f>EXP(-LN(2)/25)*BQ64+(1-EXP(-LN(2)/25))/(LN(2)/25)*Calculateur!BL65*Calculateur!BN65*VLOOKUP('Données projet'!$B$11,Paramètres!$A$1:$I$89,3,0)*0.475*44/12</f>
        <v>6.4959269087551572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42.879795715835137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135.66666666666666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76.280749912424909</v>
      </c>
      <c r="T66" s="62">
        <f t="shared" si="34"/>
        <v>353.34276014239026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31.599324690619106</v>
      </c>
      <c r="AA66" s="23">
        <f>EXP(-LN(2)/25)*AA65+(1-EXP(-LN(2)/25))/(LN(2)/25)*Calculateur!V66*Calculateur!X66*VLOOKUP('Données projet'!$B$9,Paramètres!$A$1:$I$89,3,0)*0.475*44/12</f>
        <v>5.59718563951182</v>
      </c>
      <c r="AB66" s="23">
        <f>EXP(-LN(2)/2)*AB65+(1-EXP(-LN(2)/2))/(LN(2)/2)*V66*Y66*VLOOKUP('Données projet'!$B$9,Paramètres!$A$1:$I$89,3,0)*0.475*44/12</f>
        <v>0</v>
      </c>
      <c r="AC66" s="24">
        <f t="shared" si="3"/>
        <v>37.196510330130927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>
        <f>AI66*VLOOKUP('Données projet'!$B$10,Paramètres!$A$1:$I$89,3,0)*VLOOKUP('Données projet'!$B$10,Paramètres!$A$1:$I$89,5,0)</f>
        <v>0</v>
      </c>
      <c r="AK66" s="14" t="e">
        <f t="shared" si="35"/>
        <v>#NUM!</v>
      </c>
      <c r="AL66" s="22" t="e">
        <f t="shared" si="4"/>
        <v>#NUM!</v>
      </c>
      <c r="AM66" s="62" t="e">
        <f t="shared" si="5"/>
        <v>#NUM!</v>
      </c>
      <c r="AN66" s="62">
        <f ca="1">AVERAGE(OFFSET($AM$3,0,0,'Données projet'!$E$10+1,1))-AVERAGE(OFFSET($H$3,0,0,'Données projet'!$E$10+1,1))</f>
        <v>82.437379371146534</v>
      </c>
      <c r="AO66" s="62">
        <f t="shared" si="36"/>
        <v>384.46649239172427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34.894959781051774</v>
      </c>
      <c r="AV66" s="23">
        <f>EXP(-LN(2)/25)*AV65+(1-EXP(-LN(2)/25))/(LN(2)/25)*Calculateur!AQ66*Calculateur!AS66*VLOOKUP('Données projet'!$B$10,Paramètres!$A$1:$I$89,3,0)*0.475*44/12</f>
        <v>6.1809411970069208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41.075900978058698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>
        <f>BD66*VLOOKUP('Données projet'!$B$11,Paramètres!$A$1:$I$89,3,0)*VLOOKUP('Données projet'!$B$11,Paramètres!$A$1:$I$89,5,0)</f>
        <v>0</v>
      </c>
      <c r="BF66" s="14" t="e">
        <f t="shared" si="37"/>
        <v>#NUM!</v>
      </c>
      <c r="BG66" s="22" t="e">
        <f t="shared" si="7"/>
        <v>#NUM!</v>
      </c>
      <c r="BH66" s="62" t="e">
        <f t="shared" si="8"/>
        <v>#NUM!</v>
      </c>
      <c r="BI66" s="62">
        <f ca="1">AVERAGE(OFFSET($BH$3,0,0,'Données projet'!$E$11+1,1))-AVERAGE(OFFSET($H$3,0,0,'Données projet'!$E$11+1,1))</f>
        <v>83.883967208992033</v>
      </c>
      <c r="BJ66" s="62">
        <f t="shared" si="38"/>
        <v>391.78028845111544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35.670403331741838</v>
      </c>
      <c r="BQ66" s="23">
        <f>EXP(-LN(2)/25)*BQ65+(1-EXP(-LN(2)/25))/(LN(2)/25)*Calculateur!BL66*Calculateur!BN66*VLOOKUP('Données projet'!$B$11,Paramètres!$A$1:$I$89,3,0)*0.475*44/12</f>
        <v>6.3182954458292979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41.988698777571138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135.66666666666666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76.280749912424909</v>
      </c>
      <c r="T67" s="62">
        <f t="shared" si="34"/>
        <v>353.34276014239026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30.979681207121008</v>
      </c>
      <c r="AA67" s="23">
        <f>EXP(-LN(2)/25)*AA66+(1-EXP(-LN(2)/25))/(LN(2)/25)*Calculateur!V67*Calculateur!X67*VLOOKUP('Données projet'!$B$9,Paramètres!$A$1:$I$89,3,0)*0.475*44/12</f>
        <v>5.444130303856169</v>
      </c>
      <c r="AB67" s="23">
        <f>EXP(-LN(2)/2)*AB66+(1-EXP(-LN(2)/2))/(LN(2)/2)*V67*Y67*VLOOKUP('Données projet'!$B$9,Paramètres!$A$1:$I$89,3,0)*0.475*44/12</f>
        <v>0</v>
      </c>
      <c r="AC67" s="24">
        <f t="shared" si="3"/>
        <v>36.423811510977174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>
        <f>AI67*VLOOKUP('Données projet'!$B$10,Paramètres!$A$1:$I$89,3,0)*VLOOKUP('Données projet'!$B$10,Paramètres!$A$1:$I$89,5,0)</f>
        <v>0</v>
      </c>
      <c r="AK67" s="14" t="e">
        <f t="shared" si="35"/>
        <v>#NUM!</v>
      </c>
      <c r="AL67" s="22" t="e">
        <f t="shared" si="4"/>
        <v>#NUM!</v>
      </c>
      <c r="AM67" s="62" t="e">
        <f t="shared" si="5"/>
        <v>#NUM!</v>
      </c>
      <c r="AN67" s="62">
        <f ca="1">AVERAGE(OFFSET($AM$3,0,0,'Données projet'!$E$10+1,1))-AVERAGE(OFFSET($H$3,0,0,'Données projet'!$E$10+1,1))</f>
        <v>82.437379371146534</v>
      </c>
      <c r="AO67" s="62">
        <f t="shared" si="36"/>
        <v>384.46649239172427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34.210690903569215</v>
      </c>
      <c r="AV67" s="23">
        <f>EXP(-LN(2)/25)*AV66+(1-EXP(-LN(2)/25))/(LN(2)/25)*Calculateur!AQ67*Calculateur!AS67*VLOOKUP('Données projet'!$B$10,Paramètres!$A$1:$I$89,3,0)*0.475*44/12</f>
        <v>6.0119230349331954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40.222613938502413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>
        <f>BD67*VLOOKUP('Données projet'!$B$11,Paramètres!$A$1:$I$89,3,0)*VLOOKUP('Données projet'!$B$11,Paramètres!$A$1:$I$89,5,0)</f>
        <v>0</v>
      </c>
      <c r="BF67" s="14" t="e">
        <f t="shared" si="37"/>
        <v>#NUM!</v>
      </c>
      <c r="BG67" s="22" t="e">
        <f t="shared" si="7"/>
        <v>#NUM!</v>
      </c>
      <c r="BH67" s="62" t="e">
        <f t="shared" si="8"/>
        <v>#NUM!</v>
      </c>
      <c r="BI67" s="62">
        <f ca="1">AVERAGE(OFFSET($BH$3,0,0,'Données projet'!$E$11+1,1))-AVERAGE(OFFSET($H$3,0,0,'Données projet'!$E$11+1,1))</f>
        <v>83.883967208992033</v>
      </c>
      <c r="BJ67" s="62">
        <f t="shared" si="38"/>
        <v>391.78028845111544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34.970928479204105</v>
      </c>
      <c r="BQ67" s="23">
        <f>EXP(-LN(2)/25)*BQ66+(1-EXP(-LN(2)/25))/(LN(2)/25)*Calculateur!BL67*Calculateur!BN67*VLOOKUP('Données projet'!$B$11,Paramètres!$A$1:$I$89,3,0)*0.475*44/12</f>
        <v>6.1455213245983789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41.116449803802482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135.66666666666666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76.280749912424909</v>
      </c>
      <c r="T68" s="62">
        <f t="shared" si="34"/>
        <v>353.34276014239026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30.372188554389101</v>
      </c>
      <c r="AA68" s="23">
        <f>EXP(-LN(2)/25)*AA67+(1-EXP(-LN(2)/25))/(LN(2)/25)*Calculateur!V68*Calculateur!X68*VLOOKUP('Données projet'!$B$9,Paramètres!$A$1:$I$89,3,0)*0.475*44/12</f>
        <v>5.2952602744028523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35.667448828791954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>
        <f>AI68*VLOOKUP('Données projet'!$B$10,Paramètres!$A$1:$I$89,3,0)*VLOOKUP('Données projet'!$B$10,Paramètres!$A$1:$I$89,5,0)</f>
        <v>0</v>
      </c>
      <c r="AK68" s="14" t="e">
        <f t="shared" si="35"/>
        <v>#NUM!</v>
      </c>
      <c r="AL68" s="22" t="e">
        <f t="shared" ref="AL68:AL131" si="58">(AJ68+AK68)*0.475*44/12</f>
        <v>#NUM!</v>
      </c>
      <c r="AM68" s="62" t="e">
        <f t="shared" ref="AM68:AM131" si="59">AL68+(AD68+AE68)*44/12</f>
        <v>#NUM!</v>
      </c>
      <c r="AN68" s="62">
        <f ca="1">AVERAGE(OFFSET($AM$3,0,0,'Données projet'!$E$10+1,1))-AVERAGE(OFFSET($H$3,0,0,'Données projet'!$E$10+1,1))</f>
        <v>82.437379371146534</v>
      </c>
      <c r="AO68" s="62">
        <f t="shared" si="36"/>
        <v>384.46649239172427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33.539840121411281</v>
      </c>
      <c r="AV68" s="23">
        <f>EXP(-LN(2)/25)*AV67+(1-EXP(-LN(2)/25))/(LN(2)/25)*Calculateur!AQ68*Calculateur!AS68*VLOOKUP('Données projet'!$B$10,Paramètres!$A$1:$I$89,3,0)*0.475*44/12</f>
        <v>5.8475266833896553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39.387366804800934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>
        <f>BD68*VLOOKUP('Données projet'!$B$11,Paramètres!$A$1:$I$89,3,0)*VLOOKUP('Données projet'!$B$11,Paramètres!$A$1:$I$89,5,0)</f>
        <v>0</v>
      </c>
      <c r="BF68" s="14" t="e">
        <f t="shared" si="37"/>
        <v>#NUM!</v>
      </c>
      <c r="BG68" s="22" t="e">
        <f t="shared" ref="BG68:BG131" si="61">(BE68+BF68)*0.475*44/12</f>
        <v>#NUM!</v>
      </c>
      <c r="BH68" s="62" t="e">
        <f t="shared" ref="BH68:BH131" si="62">BG68+(AY68+AZ68)*44/12</f>
        <v>#NUM!</v>
      </c>
      <c r="BI68" s="62">
        <f ca="1">AVERAGE(OFFSET($BH$3,0,0,'Données projet'!$E$11+1,1))-AVERAGE(OFFSET($H$3,0,0,'Données projet'!$E$11+1,1))</f>
        <v>83.883967208992033</v>
      </c>
      <c r="BJ68" s="62">
        <f t="shared" si="38"/>
        <v>391.78028845111544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34.285169901887109</v>
      </c>
      <c r="BQ68" s="23">
        <f>EXP(-LN(2)/25)*BQ67+(1-EXP(-LN(2)/25))/(LN(2)/25)*Calculateur!BL68*Calculateur!BN68*VLOOKUP('Données projet'!$B$11,Paramètres!$A$1:$I$89,3,0)*0.475*44/12</f>
        <v>5.9774717207983157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40.262641622685422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135.66666666666666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76.280749912424909</v>
      </c>
      <c r="T69" s="62">
        <f t="shared" ref="T69:T132" si="88">$T$3</f>
        <v>353.34276014239026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29.776608462043338</v>
      </c>
      <c r="AA69" s="23">
        <f>EXP(-LN(2)/25)*AA68+(1-EXP(-LN(2)/25))/(LN(2)/25)*Calculateur!V69*Calculateur!X69*VLOOKUP('Données projet'!$B$9,Paramètres!$A$1:$I$89,3,0)*0.475*44/12</f>
        <v>5.1504611037336714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34.92706956577701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>
        <f>AI69*VLOOKUP('Données projet'!$B$10,Paramètres!$A$1:$I$89,3,0)*VLOOKUP('Données projet'!$B$10,Paramètres!$A$1:$I$89,5,0)</f>
        <v>0</v>
      </c>
      <c r="AK69" s="14" t="e">
        <f t="shared" ref="AK69:AK132" si="89">EXP(-1.0587+0.8836*LN(AJ69)+0.284)</f>
        <v>#NUM!</v>
      </c>
      <c r="AL69" s="22" t="e">
        <f t="shared" si="58"/>
        <v>#NUM!</v>
      </c>
      <c r="AM69" s="62" t="e">
        <f t="shared" si="59"/>
        <v>#NUM!</v>
      </c>
      <c r="AN69" s="62">
        <f ca="1">AVERAGE(OFFSET($AM$3,0,0,'Données projet'!$E$10+1,1))-AVERAGE(OFFSET($H$3,0,0,'Données projet'!$E$10+1,1))</f>
        <v>82.437379371146534</v>
      </c>
      <c r="AO69" s="62">
        <f t="shared" ref="AO69:AO132" si="90">$AO$3</f>
        <v>384.46649239172427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32.882144313912889</v>
      </c>
      <c r="AV69" s="23">
        <f>EXP(-LN(2)/25)*AV68+(1-EXP(-LN(2)/25))/(LN(2)/25)*Calculateur!AQ69*Calculateur!AS69*VLOOKUP('Données projet'!$B$10,Paramètres!$A$1:$I$89,3,0)*0.475*44/12</f>
        <v>5.6876257587243018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38.569770072637191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>
        <f>BD69*VLOOKUP('Données projet'!$B$11,Paramètres!$A$1:$I$89,3,0)*VLOOKUP('Données projet'!$B$11,Paramètres!$A$1:$I$89,5,0)</f>
        <v>0</v>
      </c>
      <c r="BF69" s="14" t="e">
        <f t="shared" ref="BF69:BF132" si="91">EXP(-1.0587+0.8836*LN(BE69)+0.284)</f>
        <v>#NUM!</v>
      </c>
      <c r="BG69" s="22" t="e">
        <f t="shared" si="61"/>
        <v>#NUM!</v>
      </c>
      <c r="BH69" s="62" t="e">
        <f t="shared" si="62"/>
        <v>#NUM!</v>
      </c>
      <c r="BI69" s="62">
        <f ca="1">AVERAGE(OFFSET($BH$3,0,0,'Données projet'!$E$11+1,1))-AVERAGE(OFFSET($H$3,0,0,'Données projet'!$E$11+1,1))</f>
        <v>83.883967208992033</v>
      </c>
      <c r="BJ69" s="62">
        <f t="shared" ref="BJ69:BJ132" si="92">$BJ$3</f>
        <v>391.78028845111544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33.612858631999863</v>
      </c>
      <c r="BQ69" s="23">
        <f>EXP(-LN(2)/25)*BQ68+(1-EXP(-LN(2)/25))/(LN(2)/25)*Calculateur!BL69*Calculateur!BN69*VLOOKUP('Données projet'!$B$11,Paramètres!$A$1:$I$89,3,0)*0.475*44/12</f>
        <v>5.8140174422515098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39.426876074251375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135.66666666666666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76.280749912424909</v>
      </c>
      <c r="T70" s="62">
        <f t="shared" si="88"/>
        <v>353.34276014239026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29.192707332040488</v>
      </c>
      <c r="AA70" s="23">
        <f>EXP(-LN(2)/25)*AA69+(1-EXP(-LN(2)/25))/(LN(2)/25)*Calculateur!V70*Calculateur!X70*VLOOKUP('Données projet'!$B$9,Paramètres!$A$1:$I$89,3,0)*0.475*44/12</f>
        <v>5.0096214740010963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34.202328806041585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>
        <f>AI70*VLOOKUP('Données projet'!$B$10,Paramètres!$A$1:$I$89,3,0)*VLOOKUP('Données projet'!$B$10,Paramètres!$A$1:$I$89,5,0)</f>
        <v>0</v>
      </c>
      <c r="AK70" s="14" t="e">
        <f t="shared" si="89"/>
        <v>#NUM!</v>
      </c>
      <c r="AL70" s="22" t="e">
        <f t="shared" si="58"/>
        <v>#NUM!</v>
      </c>
      <c r="AM70" s="62" t="e">
        <f t="shared" si="59"/>
        <v>#NUM!</v>
      </c>
      <c r="AN70" s="62">
        <f ca="1">AVERAGE(OFFSET($AM$3,0,0,'Données projet'!$E$10+1,1))-AVERAGE(OFFSET($H$3,0,0,'Données projet'!$E$10+1,1))</f>
        <v>82.437379371146534</v>
      </c>
      <c r="AO70" s="62">
        <f t="shared" si="90"/>
        <v>384.46649239172427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32.237345520044713</v>
      </c>
      <c r="AV70" s="23">
        <f>EXP(-LN(2)/25)*AV69+(1-EXP(-LN(2)/25))/(LN(2)/25)*Calculateur!AQ70*Calculateur!AS70*VLOOKUP('Données projet'!$B$10,Paramètres!$A$1:$I$89,3,0)*0.475*44/12</f>
        <v>5.5320973332527466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37.769442853297463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>
        <f>BD70*VLOOKUP('Données projet'!$B$11,Paramètres!$A$1:$I$89,3,0)*VLOOKUP('Données projet'!$B$11,Paramètres!$A$1:$I$89,5,0)</f>
        <v>0</v>
      </c>
      <c r="BF70" s="14" t="e">
        <f t="shared" si="91"/>
        <v>#NUM!</v>
      </c>
      <c r="BG70" s="22" t="e">
        <f t="shared" si="61"/>
        <v>#NUM!</v>
      </c>
      <c r="BH70" s="62" t="e">
        <f t="shared" si="62"/>
        <v>#NUM!</v>
      </c>
      <c r="BI70" s="62">
        <f ca="1">AVERAGE(OFFSET($BH$3,0,0,'Données projet'!$E$11+1,1))-AVERAGE(OFFSET($H$3,0,0,'Données projet'!$E$11+1,1))</f>
        <v>83.883967208992033</v>
      </c>
      <c r="BJ70" s="62">
        <f t="shared" si="92"/>
        <v>391.78028845111544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32.953730976045726</v>
      </c>
      <c r="BQ70" s="23">
        <f>EXP(-LN(2)/25)*BQ69+(1-EXP(-LN(2)/25))/(LN(2)/25)*Calculateur!BL70*Calculateur!BN70*VLOOKUP('Données projet'!$B$11,Paramètres!$A$1:$I$89,3,0)*0.475*44/12</f>
        <v>5.6550328295472534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38.608763805592979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135.66666666666666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76.280749912424909</v>
      </c>
      <c r="T71" s="62">
        <f t="shared" si="88"/>
        <v>353.34276014239026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28.620256147052469</v>
      </c>
      <c r="AA71" s="23">
        <f>EXP(-LN(2)/25)*AA70+(1-EXP(-LN(2)/25))/(LN(2)/25)*Calculateur!V71*Calculateur!X71*VLOOKUP('Données projet'!$B$9,Paramètres!$A$1:$I$89,3,0)*0.475*44/12</f>
        <v>4.8726331113499928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33.492889258402464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>
        <f>AI71*VLOOKUP('Données projet'!$B$10,Paramètres!$A$1:$I$89,3,0)*VLOOKUP('Données projet'!$B$10,Paramètres!$A$1:$I$89,5,0)</f>
        <v>0</v>
      </c>
      <c r="AK71" s="14" t="e">
        <f t="shared" si="89"/>
        <v>#NUM!</v>
      </c>
      <c r="AL71" s="22" t="e">
        <f t="shared" si="58"/>
        <v>#NUM!</v>
      </c>
      <c r="AM71" s="62" t="e">
        <f t="shared" si="59"/>
        <v>#NUM!</v>
      </c>
      <c r="AN71" s="62">
        <f ca="1">AVERAGE(OFFSET($AM$3,0,0,'Données projet'!$E$10+1,1))-AVERAGE(OFFSET($H$3,0,0,'Données projet'!$E$10+1,1))</f>
        <v>82.437379371146534</v>
      </c>
      <c r="AO71" s="62">
        <f t="shared" si="90"/>
        <v>384.46649239172427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31.60519083723586</v>
      </c>
      <c r="AV71" s="23">
        <f>EXP(-LN(2)/25)*AV70+(1-EXP(-LN(2)/25))/(LN(2)/25)*Calculateur!AQ71*Calculateur!AS71*VLOOKUP('Données projet'!$B$10,Paramètres!$A$1:$I$89,3,0)*0.475*44/12</f>
        <v>5.3808218407545949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36.986012677990452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>
        <f>BD71*VLOOKUP('Données projet'!$B$11,Paramètres!$A$1:$I$89,3,0)*VLOOKUP('Données projet'!$B$11,Paramètres!$A$1:$I$89,5,0)</f>
        <v>0</v>
      </c>
      <c r="BF71" s="14" t="e">
        <f t="shared" si="91"/>
        <v>#NUM!</v>
      </c>
      <c r="BG71" s="22" t="e">
        <f t="shared" si="61"/>
        <v>#NUM!</v>
      </c>
      <c r="BH71" s="62" t="e">
        <f t="shared" si="62"/>
        <v>#NUM!</v>
      </c>
      <c r="BI71" s="62">
        <f ca="1">AVERAGE(OFFSET($BH$3,0,0,'Données projet'!$E$11+1,1))-AVERAGE(OFFSET($H$3,0,0,'Données projet'!$E$11+1,1))</f>
        <v>83.883967208992033</v>
      </c>
      <c r="BJ71" s="62">
        <f t="shared" si="92"/>
        <v>391.78028845111544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32.307528411396675</v>
      </c>
      <c r="BQ71" s="23">
        <f>EXP(-LN(2)/25)*BQ70+(1-EXP(-LN(2)/25))/(LN(2)/25)*Calculateur!BL71*Calculateur!BN71*VLOOKUP('Données projet'!$B$11,Paramètres!$A$1:$I$89,3,0)*0.475*44/12</f>
        <v>5.5003956594380323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37.807924070834709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135.66666666666666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76.280749912424909</v>
      </c>
      <c r="T72" s="62">
        <f t="shared" si="88"/>
        <v>353.34276014239026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28.059030380641321</v>
      </c>
      <c r="AA72" s="23">
        <f>EXP(-LN(2)/25)*AA71+(1-EXP(-LN(2)/25))/(LN(2)/25)*Calculateur!V72*Calculateur!X72*VLOOKUP('Données projet'!$B$9,Paramètres!$A$1:$I$89,3,0)*0.475*44/12</f>
        <v>4.7393907026794881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32.798421083320811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>
        <f>AI72*VLOOKUP('Données projet'!$B$10,Paramètres!$A$1:$I$89,3,0)*VLOOKUP('Données projet'!$B$10,Paramètres!$A$1:$I$89,5,0)</f>
        <v>0</v>
      </c>
      <c r="AK72" s="14" t="e">
        <f t="shared" si="89"/>
        <v>#NUM!</v>
      </c>
      <c r="AL72" s="22" t="e">
        <f t="shared" si="58"/>
        <v>#NUM!</v>
      </c>
      <c r="AM72" s="62" t="e">
        <f t="shared" si="59"/>
        <v>#NUM!</v>
      </c>
      <c r="AN72" s="62">
        <f ca="1">AVERAGE(OFFSET($AM$3,0,0,'Données projet'!$E$10+1,1))-AVERAGE(OFFSET($H$3,0,0,'Données projet'!$E$10+1,1))</f>
        <v>82.437379371146534</v>
      </c>
      <c r="AO72" s="62">
        <f t="shared" si="90"/>
        <v>384.46649239172427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30.985432322180603</v>
      </c>
      <c r="AV72" s="23">
        <f>EXP(-LN(2)/25)*AV71+(1-EXP(-LN(2)/25))/(LN(2)/25)*Calculateur!AQ72*Calculateur!AS72*VLOOKUP('Données projet'!$B$10,Paramètres!$A$1:$I$89,3,0)*0.475*44/12</f>
        <v>5.2336829845540382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36.219115306734643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>
        <f>BD72*VLOOKUP('Données projet'!$B$11,Paramètres!$A$1:$I$89,3,0)*VLOOKUP('Données projet'!$B$11,Paramètres!$A$1:$I$89,5,0)</f>
        <v>0</v>
      </c>
      <c r="BF72" s="14" t="e">
        <f t="shared" si="91"/>
        <v>#NUM!</v>
      </c>
      <c r="BG72" s="22" t="e">
        <f t="shared" si="61"/>
        <v>#NUM!</v>
      </c>
      <c r="BH72" s="62" t="e">
        <f t="shared" si="62"/>
        <v>#NUM!</v>
      </c>
      <c r="BI72" s="62">
        <f ca="1">AVERAGE(OFFSET($BH$3,0,0,'Données projet'!$E$11+1,1))-AVERAGE(OFFSET($H$3,0,0,'Données projet'!$E$11+1,1))</f>
        <v>83.883967208992033</v>
      </c>
      <c r="BJ72" s="62">
        <f t="shared" si="92"/>
        <v>391.78028845111544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31.673997484895747</v>
      </c>
      <c r="BQ72" s="23">
        <f>EXP(-LN(2)/25)*BQ71+(1-EXP(-LN(2)/25))/(LN(2)/25)*Calculateur!BL72*Calculateur!BN72*VLOOKUP('Données projet'!$B$11,Paramètres!$A$1:$I$89,3,0)*0.475*44/12</f>
        <v>5.3499870508774627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37.023984535773209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135.66666666666666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76.280749912424909</v>
      </c>
      <c r="T73" s="62">
        <f t="shared" si="88"/>
        <v>353.34276014239026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27.508809909195577</v>
      </c>
      <c r="AA73" s="23">
        <f>EXP(-LN(2)/25)*AA72+(1-EXP(-LN(2)/25))/(LN(2)/25)*Calculateur!V73*Calculateur!X73*VLOOKUP('Données projet'!$B$9,Paramètres!$A$1:$I$89,3,0)*0.475*44/12</f>
        <v>4.6097918146809924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32.118601723876566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>
        <f>AI73*VLOOKUP('Données projet'!$B$10,Paramètres!$A$1:$I$89,3,0)*VLOOKUP('Données projet'!$B$10,Paramètres!$A$1:$I$89,5,0)</f>
        <v>0</v>
      </c>
      <c r="AK73" s="14" t="e">
        <f t="shared" si="89"/>
        <v>#NUM!</v>
      </c>
      <c r="AL73" s="22" t="e">
        <f t="shared" si="58"/>
        <v>#NUM!</v>
      </c>
      <c r="AM73" s="62" t="e">
        <f t="shared" si="59"/>
        <v>#NUM!</v>
      </c>
      <c r="AN73" s="62">
        <f ca="1">AVERAGE(OFFSET($AM$3,0,0,'Données projet'!$E$10+1,1))-AVERAGE(OFFSET($H$3,0,0,'Données projet'!$E$10+1,1))</f>
        <v>82.437379371146534</v>
      </c>
      <c r="AO73" s="62">
        <f t="shared" si="90"/>
        <v>384.46649239172427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30.377826893590214</v>
      </c>
      <c r="AV73" s="23">
        <f>EXP(-LN(2)/25)*AV72+(1-EXP(-LN(2)/25))/(LN(2)/25)*Calculateur!AQ73*Calculateur!AS73*VLOOKUP('Données projet'!$B$10,Paramètres!$A$1:$I$89,3,0)*0.475*44/12</f>
        <v>5.0905676481139812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35.468394541704193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>
        <f>BD73*VLOOKUP('Données projet'!$B$11,Paramètres!$A$1:$I$89,3,0)*VLOOKUP('Données projet'!$B$11,Paramètres!$A$1:$I$89,5,0)</f>
        <v>0</v>
      </c>
      <c r="BF73" s="14" t="e">
        <f t="shared" si="91"/>
        <v>#NUM!</v>
      </c>
      <c r="BG73" s="22" t="e">
        <f t="shared" si="61"/>
        <v>#NUM!</v>
      </c>
      <c r="BH73" s="62" t="e">
        <f t="shared" si="62"/>
        <v>#NUM!</v>
      </c>
      <c r="BI73" s="62">
        <f ca="1">AVERAGE(OFFSET($BH$3,0,0,'Données projet'!$E$11+1,1))-AVERAGE(OFFSET($H$3,0,0,'Données projet'!$E$11+1,1))</f>
        <v>83.883967208992033</v>
      </c>
      <c r="BJ73" s="62">
        <f t="shared" si="92"/>
        <v>391.78028845111544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31.05288971344779</v>
      </c>
      <c r="BQ73" s="23">
        <f>EXP(-LN(2)/25)*BQ72+(1-EXP(-LN(2)/25))/(LN(2)/25)*Calculateur!BL73*Calculateur!BN73*VLOOKUP('Données projet'!$B$11,Paramètres!$A$1:$I$89,3,0)*0.475*44/12</f>
        <v>5.2036913736276267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36.256581087075418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135.66666666666666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76.280749912424909</v>
      </c>
      <c r="T74" s="62">
        <f t="shared" si="88"/>
        <v>353.34276014239026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26.969378925593535</v>
      </c>
      <c r="AA74" s="23">
        <f>EXP(-LN(2)/25)*AA73+(1-EXP(-LN(2)/25))/(LN(2)/25)*Calculateur!V74*Calculateur!X74*VLOOKUP('Données projet'!$B$9,Paramètres!$A$1:$I$89,3,0)*0.475*44/12</f>
        <v>4.4837368150901247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31.453115740683661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>
        <f>AI74*VLOOKUP('Données projet'!$B$10,Paramètres!$A$1:$I$89,3,0)*VLOOKUP('Données projet'!$B$10,Paramètres!$A$1:$I$89,5,0)</f>
        <v>0</v>
      </c>
      <c r="AK74" s="14" t="e">
        <f t="shared" si="89"/>
        <v>#NUM!</v>
      </c>
      <c r="AL74" s="22" t="e">
        <f t="shared" si="58"/>
        <v>#NUM!</v>
      </c>
      <c r="AM74" s="62" t="e">
        <f t="shared" si="59"/>
        <v>#NUM!</v>
      </c>
      <c r="AN74" s="62">
        <f ca="1">AVERAGE(OFFSET($AM$3,0,0,'Données projet'!$E$10+1,1))-AVERAGE(OFFSET($H$3,0,0,'Données projet'!$E$10+1,1))</f>
        <v>82.437379371146534</v>
      </c>
      <c r="AO74" s="62">
        <f t="shared" si="90"/>
        <v>384.46649239172427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29.782136236851763</v>
      </c>
      <c r="AV74" s="23">
        <f>EXP(-LN(2)/25)*AV73+(1-EXP(-LN(2)/25))/(LN(2)/25)*Calculateur!AQ74*Calculateur!AS74*VLOOKUP('Données projet'!$B$10,Paramètres!$A$1:$I$89,3,0)*0.475*44/12</f>
        <v>4.9513658080749865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34.733502044926752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>
        <f>BD74*VLOOKUP('Données projet'!$B$11,Paramètres!$A$1:$I$89,3,0)*VLOOKUP('Données projet'!$B$11,Paramètres!$A$1:$I$89,5,0)</f>
        <v>0</v>
      </c>
      <c r="BF74" s="14" t="e">
        <f t="shared" si="91"/>
        <v>#NUM!</v>
      </c>
      <c r="BG74" s="22" t="e">
        <f t="shared" si="61"/>
        <v>#NUM!</v>
      </c>
      <c r="BH74" s="62" t="e">
        <f t="shared" si="62"/>
        <v>#NUM!</v>
      </c>
      <c r="BI74" s="62">
        <f ca="1">AVERAGE(OFFSET($BH$3,0,0,'Données projet'!$E$11+1,1))-AVERAGE(OFFSET($H$3,0,0,'Données projet'!$E$11+1,1))</f>
        <v>83.883967208992033</v>
      </c>
      <c r="BJ74" s="62">
        <f t="shared" si="92"/>
        <v>391.78028845111544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30.443961486559594</v>
      </c>
      <c r="BQ74" s="23">
        <f>EXP(-LN(2)/25)*BQ73+(1-EXP(-LN(2)/25))/(LN(2)/25)*Calculateur!BL74*Calculateur!BN74*VLOOKUP('Données projet'!$B$11,Paramètres!$A$1:$I$89,3,0)*0.475*44/12</f>
        <v>5.0613961593655432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35.505357645925137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135.66666666666666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76.280749912424909</v>
      </c>
      <c r="T75" s="62">
        <f t="shared" si="88"/>
        <v>353.34276014239026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26.440525854559517</v>
      </c>
      <c r="AA75" s="23">
        <f>EXP(-LN(2)/25)*AA74+(1-EXP(-LN(2)/25))/(LN(2)/25)*Calculateur!V75*Calculateur!X75*VLOOKUP('Données projet'!$B$9,Paramètres!$A$1:$I$89,3,0)*0.475*44/12</f>
        <v>4.3611287960920135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30.801654650651532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>
        <f>AI75*VLOOKUP('Données projet'!$B$10,Paramètres!$A$1:$I$89,3,0)*VLOOKUP('Données projet'!$B$10,Paramètres!$A$1:$I$89,5,0)</f>
        <v>0</v>
      </c>
      <c r="AK75" s="14" t="e">
        <f t="shared" si="89"/>
        <v>#NUM!</v>
      </c>
      <c r="AL75" s="22" t="e">
        <f t="shared" si="58"/>
        <v>#NUM!</v>
      </c>
      <c r="AM75" s="62" t="e">
        <f t="shared" si="59"/>
        <v>#NUM!</v>
      </c>
      <c r="AN75" s="62">
        <f ca="1">AVERAGE(OFFSET($AM$3,0,0,'Données projet'!$E$10+1,1))-AVERAGE(OFFSET($H$3,0,0,'Données projet'!$E$10+1,1))</f>
        <v>82.437379371146534</v>
      </c>
      <c r="AO75" s="62">
        <f t="shared" si="90"/>
        <v>384.46649239172427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29.198126710556529</v>
      </c>
      <c r="AV75" s="23">
        <f>EXP(-LN(2)/25)*AV74+(1-EXP(-LN(2)/25))/(LN(2)/25)*Calculateur!AQ75*Calculateur!AS75*VLOOKUP('Données projet'!$B$10,Paramètres!$A$1:$I$89,3,0)*0.475*44/12</f>
        <v>4.8159704496721645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34.014097160228694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>
        <f>BD75*VLOOKUP('Données projet'!$B$11,Paramètres!$A$1:$I$89,3,0)*VLOOKUP('Données projet'!$B$11,Paramètres!$A$1:$I$89,5,0)</f>
        <v>0</v>
      </c>
      <c r="BF75" s="14" t="e">
        <f t="shared" si="91"/>
        <v>#NUM!</v>
      </c>
      <c r="BG75" s="22" t="e">
        <f t="shared" si="61"/>
        <v>#NUM!</v>
      </c>
      <c r="BH75" s="62" t="e">
        <f t="shared" si="62"/>
        <v>#NUM!</v>
      </c>
      <c r="BI75" s="62">
        <f ca="1">AVERAGE(OFFSET($BH$3,0,0,'Données projet'!$E$11+1,1))-AVERAGE(OFFSET($H$3,0,0,'Données projet'!$E$11+1,1))</f>
        <v>83.883967208992033</v>
      </c>
      <c r="BJ75" s="62">
        <f t="shared" si="92"/>
        <v>391.78028845111544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29.846973970791133</v>
      </c>
      <c r="BQ75" s="23">
        <f>EXP(-LN(2)/25)*BQ74+(1-EXP(-LN(2)/25))/(LN(2)/25)*Calculateur!BL75*Calculateur!BN75*VLOOKUP('Données projet'!$B$11,Paramètres!$A$1:$I$89,3,0)*0.475*44/12</f>
        <v>4.9229920152204363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34.76996598601157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135.66666666666666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76.280749912424909</v>
      </c>
      <c r="T76" s="62">
        <f t="shared" si="88"/>
        <v>353.34276014239026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25.922043269679953</v>
      </c>
      <c r="AA76" s="23">
        <f>EXP(-LN(2)/25)*AA75+(1-EXP(-LN(2)/25))/(LN(2)/25)*Calculateur!V76*Calculateur!X76*VLOOKUP('Données projet'!$B$9,Paramètres!$A$1:$I$89,3,0)*0.475*44/12</f>
        <v>4.2418734998210814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30.163916769501036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>
        <f>AI76*VLOOKUP('Données projet'!$B$10,Paramètres!$A$1:$I$89,3,0)*VLOOKUP('Données projet'!$B$10,Paramètres!$A$1:$I$89,5,0)</f>
        <v>0</v>
      </c>
      <c r="AK76" s="14" t="e">
        <f t="shared" si="89"/>
        <v>#NUM!</v>
      </c>
      <c r="AL76" s="22" t="e">
        <f t="shared" si="58"/>
        <v>#NUM!</v>
      </c>
      <c r="AM76" s="62" t="e">
        <f t="shared" si="59"/>
        <v>#NUM!</v>
      </c>
      <c r="AN76" s="62">
        <f ca="1">AVERAGE(OFFSET($AM$3,0,0,'Données projet'!$E$10+1,1))-AVERAGE(OFFSET($H$3,0,0,'Données projet'!$E$10+1,1))</f>
        <v>82.437379371146534</v>
      </c>
      <c r="AO76" s="62">
        <f t="shared" si="90"/>
        <v>384.46649239172427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28.625569254861308</v>
      </c>
      <c r="AV76" s="23">
        <f>EXP(-LN(2)/25)*AV75+(1-EXP(-LN(2)/25))/(LN(2)/25)*Calculateur!AQ76*Calculateur!AS76*VLOOKUP('Données projet'!$B$10,Paramètres!$A$1:$I$89,3,0)*0.475*44/12</f>
        <v>4.6842774844650004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33.309846739326311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>
        <f>BD76*VLOOKUP('Données projet'!$B$11,Paramètres!$A$1:$I$89,3,0)*VLOOKUP('Données projet'!$B$11,Paramètres!$A$1:$I$89,5,0)</f>
        <v>0</v>
      </c>
      <c r="BF76" s="14" t="e">
        <f t="shared" si="91"/>
        <v>#NUM!</v>
      </c>
      <c r="BG76" s="22" t="e">
        <f t="shared" si="61"/>
        <v>#NUM!</v>
      </c>
      <c r="BH76" s="62" t="e">
        <f t="shared" si="62"/>
        <v>#NUM!</v>
      </c>
      <c r="BI76" s="62">
        <f ca="1">AVERAGE(OFFSET($BH$3,0,0,'Données projet'!$E$11+1,1))-AVERAGE(OFFSET($H$3,0,0,'Données projet'!$E$11+1,1))</f>
        <v>83.883967208992033</v>
      </c>
      <c r="BJ76" s="62">
        <f t="shared" si="92"/>
        <v>391.78028845111544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29.261693016080461</v>
      </c>
      <c r="BQ76" s="23">
        <f>EXP(-LN(2)/25)*BQ75+(1-EXP(-LN(2)/25))/(LN(2)/25)*Calculateur!BL76*Calculateur!BN76*VLOOKUP('Données projet'!$B$11,Paramètres!$A$1:$I$89,3,0)*0.475*44/12</f>
        <v>4.7883725396753354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34.050065555755793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135.66666666666666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76.280749912424909</v>
      </c>
      <c r="T77" s="62">
        <f t="shared" si="88"/>
        <v>353.34276014239026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25.41372781204673</v>
      </c>
      <c r="AA77" s="23">
        <f>EXP(-LN(2)/25)*AA76+(1-EXP(-LN(2)/25))/(LN(2)/25)*Calculateur!V77*Calculateur!X77*VLOOKUP('Données projet'!$B$9,Paramètres!$A$1:$I$89,3,0)*0.475*44/12</f>
        <v>4.1258792458980418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29.539607057944771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>
        <f>AI77*VLOOKUP('Données projet'!$B$10,Paramètres!$A$1:$I$89,3,0)*VLOOKUP('Données projet'!$B$10,Paramètres!$A$1:$I$89,5,0)</f>
        <v>0</v>
      </c>
      <c r="AK77" s="14" t="e">
        <f t="shared" si="89"/>
        <v>#NUM!</v>
      </c>
      <c r="AL77" s="22" t="e">
        <f t="shared" si="58"/>
        <v>#NUM!</v>
      </c>
      <c r="AM77" s="62" t="e">
        <f t="shared" si="59"/>
        <v>#NUM!</v>
      </c>
      <c r="AN77" s="62">
        <f ca="1">AVERAGE(OFFSET($AM$3,0,0,'Données projet'!$E$10+1,1))-AVERAGE(OFFSET($H$3,0,0,'Données projet'!$E$10+1,1))</f>
        <v>82.437379371146534</v>
      </c>
      <c r="AO77" s="62">
        <f t="shared" si="90"/>
        <v>384.46649239172427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28.064239301646705</v>
      </c>
      <c r="AV77" s="23">
        <f>EXP(-LN(2)/25)*AV76+(1-EXP(-LN(2)/25))/(LN(2)/25)*Calculateur!AQ77*Calculateur!AS77*VLOOKUP('Données projet'!$B$10,Paramètres!$A$1:$I$89,3,0)*0.475*44/12</f>
        <v>4.5561856703168582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32.620424971963565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>
        <f>BD77*VLOOKUP('Données projet'!$B$11,Paramètres!$A$1:$I$89,3,0)*VLOOKUP('Données projet'!$B$11,Paramètres!$A$1:$I$89,5,0)</f>
        <v>0</v>
      </c>
      <c r="BF77" s="14" t="e">
        <f t="shared" si="91"/>
        <v>#NUM!</v>
      </c>
      <c r="BG77" s="22" t="e">
        <f t="shared" si="61"/>
        <v>#NUM!</v>
      </c>
      <c r="BH77" s="62" t="e">
        <f t="shared" si="62"/>
        <v>#NUM!</v>
      </c>
      <c r="BI77" s="62">
        <f ca="1">AVERAGE(OFFSET($BH$3,0,0,'Données projet'!$E$11+1,1))-AVERAGE(OFFSET($H$3,0,0,'Données projet'!$E$11+1,1))</f>
        <v>83.883967208992033</v>
      </c>
      <c r="BJ77" s="62">
        <f t="shared" si="92"/>
        <v>391.78028845111544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28.687889063905534</v>
      </c>
      <c r="BQ77" s="23">
        <f>EXP(-LN(2)/25)*BQ76+(1-EXP(-LN(2)/25))/(LN(2)/25)*Calculateur!BL77*Calculateur!BN77*VLOOKUP('Données projet'!$B$11,Paramètres!$A$1:$I$89,3,0)*0.475*44/12</f>
        <v>4.6574342407683451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33.345323304673876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135.66666666666666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76.280749912424909</v>
      </c>
      <c r="T78" s="62">
        <f t="shared" si="88"/>
        <v>353.34276014239026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24.915380110495878</v>
      </c>
      <c r="AA78" s="23">
        <f>EXP(-LN(2)/25)*AA77+(1-EXP(-LN(2)/25))/(LN(2)/25)*Calculateur!V78*Calculateur!X78*VLOOKUP('Données projet'!$B$9,Paramètres!$A$1:$I$89,3,0)*0.475*44/12</f>
        <v>4.0130568609484003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28.928436971444278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>
        <f>AI78*VLOOKUP('Données projet'!$B$10,Paramètres!$A$1:$I$89,3,0)*VLOOKUP('Données projet'!$B$10,Paramètres!$A$1:$I$89,5,0)</f>
        <v>0</v>
      </c>
      <c r="AK78" s="14" t="e">
        <f t="shared" si="89"/>
        <v>#NUM!</v>
      </c>
      <c r="AL78" s="22" t="e">
        <f t="shared" si="58"/>
        <v>#NUM!</v>
      </c>
      <c r="AM78" s="62" t="e">
        <f t="shared" si="59"/>
        <v>#NUM!</v>
      </c>
      <c r="AN78" s="62">
        <f ca="1">AVERAGE(OFFSET($AM$3,0,0,'Données projet'!$E$10+1,1))-AVERAGE(OFFSET($H$3,0,0,'Données projet'!$E$10+1,1))</f>
        <v>82.437379371146534</v>
      </c>
      <c r="AO78" s="62">
        <f t="shared" si="90"/>
        <v>384.46649239172427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27.513916686437174</v>
      </c>
      <c r="AV78" s="23">
        <f>EXP(-LN(2)/25)*AV77+(1-EXP(-LN(2)/25))/(LN(2)/25)*Calculateur!AQ78*Calculateur!AS78*VLOOKUP('Données projet'!$B$10,Paramètres!$A$1:$I$89,3,0)*0.475*44/12</f>
        <v>4.4315965335626526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31.945513219999825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>
        <f>BD78*VLOOKUP('Données projet'!$B$11,Paramètres!$A$1:$I$89,3,0)*VLOOKUP('Données projet'!$B$11,Paramètres!$A$1:$I$89,5,0)</f>
        <v>0</v>
      </c>
      <c r="BF78" s="14" t="e">
        <f t="shared" si="91"/>
        <v>#NUM!</v>
      </c>
      <c r="BG78" s="22" t="e">
        <f t="shared" si="61"/>
        <v>#NUM!</v>
      </c>
      <c r="BH78" s="62" t="e">
        <f t="shared" si="62"/>
        <v>#NUM!</v>
      </c>
      <c r="BI78" s="62">
        <f ca="1">AVERAGE(OFFSET($BH$3,0,0,'Données projet'!$E$11+1,1))-AVERAGE(OFFSET($H$3,0,0,'Données projet'!$E$11+1,1))</f>
        <v>83.883967208992033</v>
      </c>
      <c r="BJ78" s="62">
        <f t="shared" si="92"/>
        <v>391.78028845111544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28.125337057246902</v>
      </c>
      <c r="BQ78" s="23">
        <f>EXP(-LN(2)/25)*BQ77+(1-EXP(-LN(2)/25))/(LN(2)/25)*Calculateur!BL78*Calculateur!BN78*VLOOKUP('Données projet'!$B$11,Paramètres!$A$1:$I$89,3,0)*0.475*44/12</f>
        <v>4.530076456530713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32.655413513777617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135.66666666666666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76.280749912424909</v>
      </c>
      <c r="T79" s="62">
        <f t="shared" si="88"/>
        <v>353.34276014239026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24.426804703410355</v>
      </c>
      <c r="AA79" s="23">
        <f>EXP(-LN(2)/25)*AA78+(1-EXP(-LN(2)/25))/(LN(2)/25)*Calculateur!V79*Calculateur!X79*VLOOKUP('Données projet'!$B$9,Paramètres!$A$1:$I$89,3,0)*0.475*44/12</f>
        <v>3.9033196100482779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28.330124313458633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>
        <f>AI79*VLOOKUP('Données projet'!$B$10,Paramètres!$A$1:$I$89,3,0)*VLOOKUP('Données projet'!$B$10,Paramètres!$A$1:$I$89,5,0)</f>
        <v>0</v>
      </c>
      <c r="AK79" s="14" t="e">
        <f t="shared" si="89"/>
        <v>#NUM!</v>
      </c>
      <c r="AL79" s="22" t="e">
        <f t="shared" si="58"/>
        <v>#NUM!</v>
      </c>
      <c r="AM79" s="62" t="e">
        <f t="shared" si="59"/>
        <v>#NUM!</v>
      </c>
      <c r="AN79" s="62">
        <f ca="1">AVERAGE(OFFSET($AM$3,0,0,'Données projet'!$E$10+1,1))-AVERAGE(OFFSET($H$3,0,0,'Données projet'!$E$10+1,1))</f>
        <v>82.437379371146534</v>
      </c>
      <c r="AO79" s="62">
        <f t="shared" si="90"/>
        <v>384.46649239172427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26.974385562048251</v>
      </c>
      <c r="AV79" s="23">
        <f>EXP(-LN(2)/25)*AV78+(1-EXP(-LN(2)/25))/(LN(2)/25)*Calculateur!AQ79*Calculateur!AS79*VLOOKUP('Données projet'!$B$10,Paramètres!$A$1:$I$89,3,0)*0.475*44/12</f>
        <v>4.3104142933048486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31.2847998553531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>
        <f>BD79*VLOOKUP('Données projet'!$B$11,Paramètres!$A$1:$I$89,3,0)*VLOOKUP('Données projet'!$B$11,Paramètres!$A$1:$I$89,5,0)</f>
        <v>0</v>
      </c>
      <c r="BF79" s="14" t="e">
        <f t="shared" si="91"/>
        <v>#NUM!</v>
      </c>
      <c r="BG79" s="22" t="e">
        <f t="shared" si="61"/>
        <v>#NUM!</v>
      </c>
      <c r="BH79" s="62" t="e">
        <f t="shared" si="62"/>
        <v>#NUM!</v>
      </c>
      <c r="BI79" s="62">
        <f ca="1">AVERAGE(OFFSET($BH$3,0,0,'Données projet'!$E$11+1,1))-AVERAGE(OFFSET($H$3,0,0,'Données projet'!$E$11+1,1))</f>
        <v>83.883967208992033</v>
      </c>
      <c r="BJ79" s="62">
        <f t="shared" si="92"/>
        <v>391.78028845111544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27.573816352316005</v>
      </c>
      <c r="BQ79" s="23">
        <f>EXP(-LN(2)/25)*BQ78+(1-EXP(-LN(2)/25))/(LN(2)/25)*Calculateur!BL79*Calculateur!BN79*VLOOKUP('Données projet'!$B$11,Paramètres!$A$1:$I$89,3,0)*0.475*44/12</f>
        <v>4.4062012776005135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31.980017629916517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135.66666666666666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76.280749912424909</v>
      </c>
      <c r="T80" s="62">
        <f t="shared" si="88"/>
        <v>353.34276014239026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23.947809962056205</v>
      </c>
      <c r="AA80" s="23">
        <f>EXP(-LN(2)/25)*AA79+(1-EXP(-LN(2)/25))/(LN(2)/25)*Calculateur!V80*Calculateur!X80*VLOOKUP('Données projet'!$B$9,Paramètres!$A$1:$I$89,3,0)*0.475*44/12</f>
        <v>3.7965831300448505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27.744393092101056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>
        <f>AI80*VLOOKUP('Données projet'!$B$10,Paramètres!$A$1:$I$89,3,0)*VLOOKUP('Données projet'!$B$10,Paramètres!$A$1:$I$89,5,0)</f>
        <v>0</v>
      </c>
      <c r="AK80" s="14" t="e">
        <f t="shared" si="89"/>
        <v>#NUM!</v>
      </c>
      <c r="AL80" s="22" t="e">
        <f t="shared" si="58"/>
        <v>#NUM!</v>
      </c>
      <c r="AM80" s="62" t="e">
        <f t="shared" si="59"/>
        <v>#NUM!</v>
      </c>
      <c r="AN80" s="62">
        <f ca="1">AVERAGE(OFFSET($AM$3,0,0,'Données projet'!$E$10+1,1))-AVERAGE(OFFSET($H$3,0,0,'Données projet'!$E$10+1,1))</f>
        <v>82.437379371146534</v>
      </c>
      <c r="AO80" s="62">
        <f t="shared" si="90"/>
        <v>384.46649239172427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26.445434313927105</v>
      </c>
      <c r="AV80" s="23">
        <f>EXP(-LN(2)/25)*AV79+(1-EXP(-LN(2)/25))/(LN(2)/25)*Calculateur!AQ80*Calculateur!AS80*VLOOKUP('Données projet'!$B$10,Paramètres!$A$1:$I$89,3,0)*0.475*44/12</f>
        <v>4.1925457877795917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30.637980101706695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>
        <f>BD80*VLOOKUP('Données projet'!$B$11,Paramètres!$A$1:$I$89,3,0)*VLOOKUP('Données projet'!$B$11,Paramètres!$A$1:$I$89,5,0)</f>
        <v>0</v>
      </c>
      <c r="BF80" s="14" t="e">
        <f t="shared" si="91"/>
        <v>#NUM!</v>
      </c>
      <c r="BG80" s="22" t="e">
        <f t="shared" si="61"/>
        <v>#NUM!</v>
      </c>
      <c r="BH80" s="62" t="e">
        <f t="shared" si="62"/>
        <v>#NUM!</v>
      </c>
      <c r="BI80" s="62">
        <f ca="1">AVERAGE(OFFSET($BH$3,0,0,'Données projet'!$E$11+1,1))-AVERAGE(OFFSET($H$3,0,0,'Données projet'!$E$11+1,1))</f>
        <v>83.883967208992033</v>
      </c>
      <c r="BJ80" s="62">
        <f t="shared" si="92"/>
        <v>391.78028845111544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27.033110632014388</v>
      </c>
      <c r="BQ80" s="23">
        <f>EXP(-LN(2)/25)*BQ79+(1-EXP(-LN(2)/25))/(LN(2)/25)*Calculateur!BL80*Calculateur!BN80*VLOOKUP('Données projet'!$B$11,Paramètres!$A$1:$I$89,3,0)*0.475*44/12</f>
        <v>4.285713471952473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31.318824103966861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135.66666666666666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76.280749912424909</v>
      </c>
      <c r="T81" s="62">
        <f t="shared" si="88"/>
        <v>353.34276014239026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23.478208015422066</v>
      </c>
      <c r="AA81" s="23">
        <f>EXP(-LN(2)/25)*AA80+(1-EXP(-LN(2)/25))/(LN(2)/25)*Calculateur!V81*Calculateur!X81*VLOOKUP('Données projet'!$B$9,Paramètres!$A$1:$I$89,3,0)*0.475*44/12</f>
        <v>3.6927653647001444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27.170973380122209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>
        <f>AI81*VLOOKUP('Données projet'!$B$10,Paramètres!$A$1:$I$89,3,0)*VLOOKUP('Données projet'!$B$10,Paramètres!$A$1:$I$89,5,0)</f>
        <v>0</v>
      </c>
      <c r="AK81" s="14" t="e">
        <f t="shared" si="89"/>
        <v>#NUM!</v>
      </c>
      <c r="AL81" s="22" t="e">
        <f t="shared" si="58"/>
        <v>#NUM!</v>
      </c>
      <c r="AM81" s="62" t="e">
        <f t="shared" si="59"/>
        <v>#NUM!</v>
      </c>
      <c r="AN81" s="62">
        <f ca="1">AVERAGE(OFFSET($AM$3,0,0,'Données projet'!$E$10+1,1))-AVERAGE(OFFSET($H$3,0,0,'Données projet'!$E$10+1,1))</f>
        <v>82.437379371146534</v>
      </c>
      <c r="AO81" s="62">
        <f t="shared" si="90"/>
        <v>384.46649239172427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25.926855477153207</v>
      </c>
      <c r="AV81" s="23">
        <f>EXP(-LN(2)/25)*AV80+(1-EXP(-LN(2)/25))/(LN(2)/25)*Calculateur!AQ81*Calculateur!AS81*VLOOKUP('Données projet'!$B$10,Paramètres!$A$1:$I$89,3,0)*0.475*44/12</f>
        <v>4.0779004027363577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30.004755879889565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>
        <f>BD81*VLOOKUP('Données projet'!$B$11,Paramètres!$A$1:$I$89,3,0)*VLOOKUP('Données projet'!$B$11,Paramètres!$A$1:$I$89,5,0)</f>
        <v>0</v>
      </c>
      <c r="BF81" s="14" t="e">
        <f t="shared" si="91"/>
        <v>#NUM!</v>
      </c>
      <c r="BG81" s="22" t="e">
        <f t="shared" si="61"/>
        <v>#NUM!</v>
      </c>
      <c r="BH81" s="62" t="e">
        <f t="shared" si="62"/>
        <v>#NUM!</v>
      </c>
      <c r="BI81" s="62">
        <f ca="1">AVERAGE(OFFSET($BH$3,0,0,'Données projet'!$E$11+1,1))-AVERAGE(OFFSET($H$3,0,0,'Données projet'!$E$11+1,1))</f>
        <v>83.883967208992033</v>
      </c>
      <c r="BJ81" s="62">
        <f t="shared" si="92"/>
        <v>391.78028845111544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26.503007821089959</v>
      </c>
      <c r="BQ81" s="23">
        <f>EXP(-LN(2)/25)*BQ80+(1-EXP(-LN(2)/25))/(LN(2)/25)*Calculateur!BL81*Calculateur!BN81*VLOOKUP('Données projet'!$B$11,Paramètres!$A$1:$I$89,3,0)*0.475*44/12</f>
        <v>4.1685204116860559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30.671528232776016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135.66666666666666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76.280749912424909</v>
      </c>
      <c r="T82" s="62">
        <f t="shared" si="88"/>
        <v>353.34276014239026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23.017814676532517</v>
      </c>
      <c r="AA82" s="23">
        <f>EXP(-LN(2)/25)*AA81+(1-EXP(-LN(2)/25))/(LN(2)/25)*Calculateur!V82*Calculateur!X82*VLOOKUP('Données projet'!$B$9,Paramètres!$A$1:$I$89,3,0)*0.475*44/12</f>
        <v>3.5917865016083281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26.609601178140846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>
        <f>AI82*VLOOKUP('Données projet'!$B$10,Paramètres!$A$1:$I$89,3,0)*VLOOKUP('Données projet'!$B$10,Paramètres!$A$1:$I$89,5,0)</f>
        <v>0</v>
      </c>
      <c r="AK82" s="14" t="e">
        <f t="shared" si="89"/>
        <v>#NUM!</v>
      </c>
      <c r="AL82" s="22" t="e">
        <f t="shared" si="58"/>
        <v>#NUM!</v>
      </c>
      <c r="AM82" s="62" t="e">
        <f t="shared" si="59"/>
        <v>#NUM!</v>
      </c>
      <c r="AN82" s="62">
        <f ca="1">AVERAGE(OFFSET($AM$3,0,0,'Données projet'!$E$10+1,1))-AVERAGE(OFFSET($H$3,0,0,'Données projet'!$E$10+1,1))</f>
        <v>82.437379371146534</v>
      </c>
      <c r="AO82" s="62">
        <f t="shared" si="90"/>
        <v>384.46649239172427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25.418445655066588</v>
      </c>
      <c r="AV82" s="23">
        <f>EXP(-LN(2)/25)*AV81+(1-EXP(-LN(2)/25))/(LN(2)/25)*Calculateur!AQ82*Calculateur!AS82*VLOOKUP('Données projet'!$B$10,Paramètres!$A$1:$I$89,3,0)*0.475*44/12</f>
        <v>3.96639000177607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29.384835656842657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>
        <f>BD82*VLOOKUP('Données projet'!$B$11,Paramètres!$A$1:$I$89,3,0)*VLOOKUP('Données projet'!$B$11,Paramètres!$A$1:$I$89,5,0)</f>
        <v>0</v>
      </c>
      <c r="BF82" s="14" t="e">
        <f t="shared" si="91"/>
        <v>#NUM!</v>
      </c>
      <c r="BG82" s="22" t="e">
        <f t="shared" si="61"/>
        <v>#NUM!</v>
      </c>
      <c r="BH82" s="62" t="e">
        <f t="shared" si="62"/>
        <v>#NUM!</v>
      </c>
      <c r="BI82" s="62">
        <f ca="1">AVERAGE(OFFSET($BH$3,0,0,'Données projet'!$E$11+1,1))-AVERAGE(OFFSET($H$3,0,0,'Données projet'!$E$11+1,1))</f>
        <v>83.883967208992033</v>
      </c>
      <c r="BJ82" s="62">
        <f t="shared" si="92"/>
        <v>391.78028845111544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25.98330000295697</v>
      </c>
      <c r="BQ82" s="23">
        <f>EXP(-LN(2)/25)*BQ81+(1-EXP(-LN(2)/25))/(LN(2)/25)*Calculateur!BL82*Calculateur!BN82*VLOOKUP('Données projet'!$B$11,Paramètres!$A$1:$I$89,3,0)*0.475*44/12</f>
        <v>4.0545320018155397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30.037832004772511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135.66666666666666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76.280749912424909</v>
      </c>
      <c r="T83" s="62">
        <f t="shared" si="88"/>
        <v>353.34276014239026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22.566449370206382</v>
      </c>
      <c r="AA83" s="23">
        <f>EXP(-LN(2)/25)*AA82+(1-EXP(-LN(2)/25))/(LN(2)/25)*Calculateur!V83*Calculateur!X83*VLOOKUP('Données projet'!$B$9,Paramètres!$A$1:$I$89,3,0)*0.475*44/12</f>
        <v>3.4935689108380052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26.060018281044385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>
        <f>AI83*VLOOKUP('Données projet'!$B$10,Paramètres!$A$1:$I$89,3,0)*VLOOKUP('Données projet'!$B$10,Paramètres!$A$1:$I$89,5,0)</f>
        <v>0</v>
      </c>
      <c r="AK83" s="14" t="e">
        <f t="shared" si="89"/>
        <v>#NUM!</v>
      </c>
      <c r="AL83" s="22" t="e">
        <f t="shared" si="58"/>
        <v>#NUM!</v>
      </c>
      <c r="AM83" s="62" t="e">
        <f t="shared" si="59"/>
        <v>#NUM!</v>
      </c>
      <c r="AN83" s="62">
        <f ca="1">AVERAGE(OFFSET($AM$3,0,0,'Données projet'!$E$10+1,1))-AVERAGE(OFFSET($H$3,0,0,'Données projet'!$E$10+1,1))</f>
        <v>82.437379371146534</v>
      </c>
      <c r="AO83" s="62">
        <f t="shared" si="90"/>
        <v>384.46649239172427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24.920005439491717</v>
      </c>
      <c r="AV83" s="23">
        <f>EXP(-LN(2)/25)*AV82+(1-EXP(-LN(2)/25))/(LN(2)/25)*Calculateur!AQ83*Calculateur!AS83*VLOOKUP('Données projet'!$B$10,Paramètres!$A$1:$I$89,3,0)*0.475*44/12</f>
        <v>3.8579288585941187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28.777934298085835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>
        <f>BD83*VLOOKUP('Données projet'!$B$11,Paramètres!$A$1:$I$89,3,0)*VLOOKUP('Données projet'!$B$11,Paramètres!$A$1:$I$89,5,0)</f>
        <v>0</v>
      </c>
      <c r="BF83" s="14" t="e">
        <f t="shared" si="91"/>
        <v>#NUM!</v>
      </c>
      <c r="BG83" s="22" t="e">
        <f t="shared" si="61"/>
        <v>#NUM!</v>
      </c>
      <c r="BH83" s="62" t="e">
        <f t="shared" si="62"/>
        <v>#NUM!</v>
      </c>
      <c r="BI83" s="62">
        <f ca="1">AVERAGE(OFFSET($BH$3,0,0,'Données projet'!$E$11+1,1))-AVERAGE(OFFSET($H$3,0,0,'Données projet'!$E$11+1,1))</f>
        <v>83.883967208992033</v>
      </c>
      <c r="BJ83" s="62">
        <f t="shared" si="92"/>
        <v>391.78028845111544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25.473783338147101</v>
      </c>
      <c r="BQ83" s="23">
        <f>EXP(-LN(2)/25)*BQ82+(1-EXP(-LN(2)/25))/(LN(2)/25)*Calculateur!BL83*Calculateur!BN83*VLOOKUP('Données projet'!$B$11,Paramètres!$A$1:$I$89,3,0)*0.475*44/12</f>
        <v>3.9436606110073225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29.417443949154425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135.66666666666666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76.280749912424909</v>
      </c>
      <c r="T84" s="62">
        <f t="shared" si="88"/>
        <v>353.34276014239026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22.123935062231652</v>
      </c>
      <c r="AA84" s="23">
        <f>EXP(-LN(2)/25)*AA83+(1-EXP(-LN(2)/25))/(LN(2)/25)*Calculateur!V84*Calculateur!X84*VLOOKUP('Données projet'!$B$9,Paramètres!$A$1:$I$89,3,0)*0.475*44/12</f>
        <v>3.3980370852523358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25.521972147483989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>
        <f>AI84*VLOOKUP('Données projet'!$B$10,Paramètres!$A$1:$I$89,3,0)*VLOOKUP('Données projet'!$B$10,Paramètres!$A$1:$I$89,5,0)</f>
        <v>0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82.437379371146534</v>
      </c>
      <c r="AO84" s="62">
        <f t="shared" si="90"/>
        <v>384.46649239172427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24.431339332525756</v>
      </c>
      <c r="AV84" s="23">
        <f>EXP(-LN(2)/25)*AV83+(1-EXP(-LN(2)/25))/(LN(2)/25)*Calculateur!AQ84*Calculateur!AS84*VLOOKUP('Données projet'!$B$10,Paramètres!$A$1:$I$89,3,0)*0.475*44/12</f>
        <v>3.7524335910762012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28.183772923601957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>
        <f>BD84*VLOOKUP('Données projet'!$B$11,Paramètres!$A$1:$I$89,3,0)*VLOOKUP('Données projet'!$B$11,Paramètres!$A$1:$I$89,5,0)</f>
        <v>0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83.883967208992033</v>
      </c>
      <c r="BJ84" s="62">
        <f t="shared" si="92"/>
        <v>391.78028845111544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24.974257984359674</v>
      </c>
      <c r="BQ84" s="23">
        <f>EXP(-LN(2)/25)*BQ83+(1-EXP(-LN(2)/25))/(LN(2)/25)*Calculateur!BL84*Calculateur!BN84*VLOOKUP('Données projet'!$B$11,Paramètres!$A$1:$I$89,3,0)*0.475*44/12</f>
        <v>3.8358210042112288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28.810078988570904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135.66666666666666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76.280749912424909</v>
      </c>
      <c r="T85" s="62">
        <f t="shared" si="88"/>
        <v>353.34276014239026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21.69009818992923</v>
      </c>
      <c r="AA85" s="23">
        <f>EXP(-LN(2)/25)*AA84+(1-EXP(-LN(2)/25))/(LN(2)/25)*Calculateur!V85*Calculateur!X85*VLOOKUP('Données projet'!$B$9,Paramètres!$A$1:$I$89,3,0)*0.475*44/12</f>
        <v>3.3051175824611065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24.995215772390338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>
        <f>AI85*VLOOKUP('Données projet'!$B$10,Paramètres!$A$1:$I$89,3,0)*VLOOKUP('Données projet'!$B$10,Paramètres!$A$1:$I$89,5,0)</f>
        <v>0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82.437379371146534</v>
      </c>
      <c r="AO85" s="62">
        <f t="shared" si="90"/>
        <v>384.46649239172427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23.952255669860502</v>
      </c>
      <c r="AV85" s="23">
        <f>EXP(-LN(2)/25)*AV84+(1-EXP(-LN(2)/25))/(LN(2)/25)*Calculateur!AQ85*Calculateur!AS85*VLOOKUP('Données projet'!$B$10,Paramètres!$A$1:$I$89,3,0)*0.475*44/12</f>
        <v>3.6498230971963164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27.602078767056817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>
        <f>BD85*VLOOKUP('Données projet'!$B$11,Paramètres!$A$1:$I$89,3,0)*VLOOKUP('Données projet'!$B$11,Paramètres!$A$1:$I$89,5,0)</f>
        <v>0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83.883967208992033</v>
      </c>
      <c r="BJ85" s="62">
        <f t="shared" si="92"/>
        <v>391.78028845111544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24.484528018079637</v>
      </c>
      <c r="BQ85" s="23">
        <f>EXP(-LN(2)/25)*BQ84+(1-EXP(-LN(2)/25))/(LN(2)/25)*Calculateur!BL85*Calculateur!BN85*VLOOKUP('Données projet'!$B$11,Paramètres!$A$1:$I$89,3,0)*0.475*44/12</f>
        <v>3.7309302771340129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28.215458295213651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135.66666666666666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76.280749912424909</v>
      </c>
      <c r="T86" s="62">
        <f t="shared" si="88"/>
        <v>353.34276014239026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21.264768594078294</v>
      </c>
      <c r="AA86" s="23">
        <f>EXP(-LN(2)/25)*AA85+(1-EXP(-LN(2)/25))/(LN(2)/25)*Calculateur!V86*Calculateur!X86*VLOOKUP('Données projet'!$B$9,Paramètres!$A$1:$I$89,3,0)*0.475*44/12</f>
        <v>3.2147389683601277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24.479507562438421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>
        <f>AI86*VLOOKUP('Données projet'!$B$10,Paramètres!$A$1:$I$89,3,0)*VLOOKUP('Données projet'!$B$10,Paramètres!$A$1:$I$89,5,0)</f>
        <v>0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82.437379371146534</v>
      </c>
      <c r="AO86" s="62">
        <f t="shared" si="90"/>
        <v>384.46649239172427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23.482566545607934</v>
      </c>
      <c r="AV86" s="23">
        <f>EXP(-LN(2)/25)*AV85+(1-EXP(-LN(2)/25))/(LN(2)/25)*Calculateur!AQ86*Calculateur!AS86*VLOOKUP('Données projet'!$B$10,Paramètres!$A$1:$I$89,3,0)*0.475*44/12</f>
        <v>3.5500184926676281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27.032585038275563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>
        <f>BD86*VLOOKUP('Données projet'!$B$11,Paramètres!$A$1:$I$89,3,0)*VLOOKUP('Données projet'!$B$11,Paramètres!$A$1:$I$89,5,0)</f>
        <v>0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83.883967208992033</v>
      </c>
      <c r="BJ86" s="62">
        <f t="shared" si="92"/>
        <v>391.78028845111544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24.004401357732569</v>
      </c>
      <c r="BQ86" s="23">
        <f>EXP(-LN(2)/25)*BQ85+(1-EXP(-LN(2)/25))/(LN(2)/25)*Calculateur!BL86*Calculateur!BN86*VLOOKUP('Données projet'!$B$11,Paramètres!$A$1:$I$89,3,0)*0.475*44/12</f>
        <v>3.6289077925046871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27.633309150237256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135.66666666666666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76.280749912424909</v>
      </c>
      <c r="T87" s="62">
        <f t="shared" si="88"/>
        <v>353.34276014239026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20.847779452176557</v>
      </c>
      <c r="AA87" s="23">
        <f>EXP(-LN(2)/25)*AA86+(1-EXP(-LN(2)/25))/(LN(2)/25)*Calculateur!V87*Calculateur!X87*VLOOKUP('Données projet'!$B$9,Paramètres!$A$1:$I$89,3,0)*0.475*44/12</f>
        <v>3.126831762214545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23.974611214391103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>
        <f>AI87*VLOOKUP('Données projet'!$B$10,Paramètres!$A$1:$I$89,3,0)*VLOOKUP('Données projet'!$B$10,Paramètres!$A$1:$I$89,5,0)</f>
        <v>0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82.437379371146534</v>
      </c>
      <c r="AO87" s="62">
        <f t="shared" si="90"/>
        <v>384.46649239172427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23.022087738599883</v>
      </c>
      <c r="AV87" s="23">
        <f>EXP(-LN(2)/25)*AV86+(1-EXP(-LN(2)/25))/(LN(2)/25)*Calculateur!AQ87*Calculateur!AS87*VLOOKUP('Données projet'!$B$10,Paramètres!$A$1:$I$89,3,0)*0.475*44/12</f>
        <v>3.452943050298273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26.475030788898156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>
        <f>BD87*VLOOKUP('Données projet'!$B$11,Paramètres!$A$1:$I$89,3,0)*VLOOKUP('Données projet'!$B$11,Paramètres!$A$1:$I$89,5,0)</f>
        <v>0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83.883967208992033</v>
      </c>
      <c r="BJ87" s="62">
        <f t="shared" si="92"/>
        <v>391.78028845111544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23.533689688346559</v>
      </c>
      <c r="BQ87" s="23">
        <f>EXP(-LN(2)/25)*BQ86+(1-EXP(-LN(2)/25))/(LN(2)/25)*Calculateur!BL87*Calculateur!BN87*VLOOKUP('Données projet'!$B$11,Paramètres!$A$1:$I$89,3,0)*0.475*44/12</f>
        <v>3.5296751180826798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27.063364806429238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135.66666666666666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76.280749912424909</v>
      </c>
      <c r="T88" s="62">
        <f t="shared" si="88"/>
        <v>353.34276014239026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20.438967213009249</v>
      </c>
      <c r="AA88" s="23">
        <f>EXP(-LN(2)/25)*AA87+(1-EXP(-LN(2)/25))/(LN(2)/25)*Calculateur!V88*Calculateur!X88*VLOOKUP('Données projet'!$B$9,Paramètres!$A$1:$I$89,3,0)*0.475*44/12</f>
        <v>3.0413283832438522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23.4802955962531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>
        <f>AI88*VLOOKUP('Données projet'!$B$10,Paramètres!$A$1:$I$89,3,0)*VLOOKUP('Données projet'!$B$10,Paramètres!$A$1:$I$89,5,0)</f>
        <v>0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82.437379371146534</v>
      </c>
      <c r="AO88" s="62">
        <f t="shared" si="90"/>
        <v>384.46649239172427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22.57063864013292</v>
      </c>
      <c r="AV88" s="23">
        <f>EXP(-LN(2)/25)*AV87+(1-EXP(-LN(2)/25))/(LN(2)/25)*Calculateur!AQ88*Calculateur!AS88*VLOOKUP('Données projet'!$B$10,Paramètres!$A$1:$I$89,3,0)*0.475*44/12</f>
        <v>3.3585221410054835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25.929160781138403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>
        <f>BD88*VLOOKUP('Données projet'!$B$11,Paramètres!$A$1:$I$89,3,0)*VLOOKUP('Données projet'!$B$11,Paramètres!$A$1:$I$89,5,0)</f>
        <v>0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83.883967208992033</v>
      </c>
      <c r="BJ88" s="62">
        <f t="shared" si="92"/>
        <v>391.78028845111544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23.07220838769144</v>
      </c>
      <c r="BQ88" s="23">
        <f>EXP(-LN(2)/25)*BQ87+(1-EXP(-LN(2)/25))/(LN(2)/25)*Calculateur!BL88*Calculateur!BN88*VLOOKUP('Données projet'!$B$11,Paramètres!$A$1:$I$89,3,0)*0.475*44/12</f>
        <v>3.4331559663611615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26.505364354052602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135.66666666666666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76.280749912424909</v>
      </c>
      <c r="T89" s="62">
        <f t="shared" si="88"/>
        <v>353.34276014239026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20.03817153250117</v>
      </c>
      <c r="AA89" s="23">
        <f>EXP(-LN(2)/25)*AA88+(1-EXP(-LN(2)/25))/(LN(2)/25)*Calculateur!V89*Calculateur!X89*VLOOKUP('Données projet'!$B$9,Paramètres!$A$1:$I$89,3,0)*0.475*44/12</f>
        <v>2.9581630986675407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22.996334631168711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>
        <f>AI89*VLOOKUP('Données projet'!$B$10,Paramètres!$A$1:$I$89,3,0)*VLOOKUP('Données projet'!$B$10,Paramètres!$A$1:$I$89,5,0)</f>
        <v>0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82.437379371146534</v>
      </c>
      <c r="AO89" s="62">
        <f t="shared" si="90"/>
        <v>384.46649239172427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22.12804218313013</v>
      </c>
      <c r="AV89" s="23">
        <f>EXP(-LN(2)/25)*AV88+(1-EXP(-LN(2)/25))/(LN(2)/25)*Calculateur!AQ89*Calculateur!AS89*VLOOKUP('Données projet'!$B$10,Paramètres!$A$1:$I$89,3,0)*0.475*44/12</f>
        <v>3.2666831764426854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25.394725359572817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>
        <f>BD89*VLOOKUP('Données projet'!$B$11,Paramètres!$A$1:$I$89,3,0)*VLOOKUP('Données projet'!$B$11,Paramètres!$A$1:$I$89,5,0)</f>
        <v>0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83.883967208992033</v>
      </c>
      <c r="BJ89" s="62">
        <f t="shared" si="92"/>
        <v>391.78028845111544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22.619776453866368</v>
      </c>
      <c r="BQ89" s="23">
        <f>EXP(-LN(2)/25)*BQ88+(1-EXP(-LN(2)/25))/(LN(2)/25)*Calculateur!BL89*Calculateur!BN89*VLOOKUP('Données projet'!$B$11,Paramètres!$A$1:$I$89,3,0)*0.475*44/12</f>
        <v>3.33927613591919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25.959052589785557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135.66666666666666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76.280749912424909</v>
      </c>
      <c r="T90" s="62">
        <f t="shared" si="88"/>
        <v>353.34276014239026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19.645235210826627</v>
      </c>
      <c r="AA90" s="23">
        <f>EXP(-LN(2)/25)*AA89+(1-EXP(-LN(2)/25))/(LN(2)/25)*Calculateur!V90*Calculateur!X90*VLOOKUP('Données projet'!$B$9,Paramètres!$A$1:$I$89,3,0)*0.475*44/12</f>
        <v>2.8772719731714402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22.522507183998066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>
        <f>AI90*VLOOKUP('Données projet'!$B$10,Paramètres!$A$1:$I$89,3,0)*VLOOKUP('Données projet'!$B$10,Paramètres!$A$1:$I$89,5,0)</f>
        <v>0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82.437379371146534</v>
      </c>
      <c r="AO90" s="62">
        <f t="shared" si="90"/>
        <v>384.46649239172427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21.694124772691985</v>
      </c>
      <c r="AV90" s="23">
        <f>EXP(-LN(2)/25)*AV89+(1-EXP(-LN(2)/25))/(LN(2)/25)*Calculateur!AQ90*Calculateur!AS90*VLOOKUP('Données projet'!$B$10,Paramètres!$A$1:$I$89,3,0)*0.475*44/12</f>
        <v>3.1773555531954578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24.871480325887443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>
        <f>BD90*VLOOKUP('Données projet'!$B$11,Paramètres!$A$1:$I$89,3,0)*VLOOKUP('Données projet'!$B$11,Paramètres!$A$1:$I$89,5,0)</f>
        <v>0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83.883967208992033</v>
      </c>
      <c r="BJ90" s="62">
        <f t="shared" si="92"/>
        <v>391.78028845111544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22.176216434307374</v>
      </c>
      <c r="BQ90" s="23">
        <f>EXP(-LN(2)/25)*BQ89+(1-EXP(-LN(2)/25))/(LN(2)/25)*Calculateur!BL90*Calculateur!BN90*VLOOKUP('Données projet'!$B$11,Paramètres!$A$1:$I$89,3,0)*0.475*44/12</f>
        <v>3.2479634543775799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25.424179888684954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135.66666666666666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76.280749912424909</v>
      </c>
      <c r="T91" s="62">
        <f t="shared" si="88"/>
        <v>353.34276014239026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19.26000413075263</v>
      </c>
      <c r="AA91" s="23">
        <f>EXP(-LN(2)/25)*AA90+(1-EXP(-LN(2)/25))/(LN(2)/25)*Calculateur!V91*Calculateur!X91*VLOOKUP('Données projet'!$B$9,Paramètres!$A$1:$I$89,3,0)*0.475*44/12</f>
        <v>2.79859281975591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22.058596950508541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>
        <f>AI91*VLOOKUP('Données projet'!$B$10,Paramètres!$A$1:$I$89,3,0)*VLOOKUP('Données projet'!$B$10,Paramètres!$A$1:$I$89,5,0)</f>
        <v>0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82.437379371146534</v>
      </c>
      <c r="AO91" s="62">
        <f t="shared" si="90"/>
        <v>384.46649239172427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21.268716218009043</v>
      </c>
      <c r="AV91" s="23">
        <f>EXP(-LN(2)/25)*AV90+(1-EXP(-LN(2)/25))/(LN(2)/25)*Calculateur!AQ91*Calculateur!AS91*VLOOKUP('Données projet'!$B$10,Paramètres!$A$1:$I$89,3,0)*0.475*44/12</f>
        <v>3.0904705985034613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24.359186816512505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>
        <f>BD91*VLOOKUP('Données projet'!$B$11,Paramètres!$A$1:$I$89,3,0)*VLOOKUP('Données projet'!$B$11,Paramètres!$A$1:$I$89,5,0)</f>
        <v>0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83.883967208992033</v>
      </c>
      <c r="BJ91" s="62">
        <f t="shared" si="92"/>
        <v>391.78028845111544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21.741354356187035</v>
      </c>
      <c r="BQ91" s="23">
        <f>EXP(-LN(2)/25)*BQ90+(1-EXP(-LN(2)/25))/(LN(2)/25)*Calculateur!BL91*Calculateur!BN91*VLOOKUP('Données projet'!$B$11,Paramètres!$A$1:$I$89,3,0)*0.475*44/12</f>
        <v>3.1591477229146503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24.900502079101685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135.66666666666666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76.280749912424909</v>
      </c>
      <c r="T92" s="62">
        <f t="shared" si="88"/>
        <v>353.34276014239026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18.882327197191128</v>
      </c>
      <c r="AA92" s="23">
        <f>EXP(-LN(2)/25)*AA91+(1-EXP(-LN(2)/25))/(LN(2)/25)*Calculateur!V92*Calculateur!X92*VLOOKUP('Données projet'!$B$9,Paramètres!$A$1:$I$89,3,0)*0.475*44/12</f>
        <v>2.7220651519280845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21.604392349119212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>
        <f>AI92*VLOOKUP('Données projet'!$B$10,Paramètres!$A$1:$I$89,3,0)*VLOOKUP('Données projet'!$B$10,Paramètres!$A$1:$I$89,5,0)</f>
        <v>0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82.437379371146534</v>
      </c>
      <c r="AO92" s="62">
        <f t="shared" si="90"/>
        <v>384.46649239172427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20.851649665609838</v>
      </c>
      <c r="AV92" s="23">
        <f>EXP(-LN(2)/25)*AV91+(1-EXP(-LN(2)/25))/(LN(2)/25)*Calculateur!AQ92*Calculateur!AS92*VLOOKUP('Données projet'!$B$10,Paramètres!$A$1:$I$89,3,0)*0.475*44/12</f>
        <v>3.0059615174665986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23.857611183076436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>
        <f>BD92*VLOOKUP('Données projet'!$B$11,Paramètres!$A$1:$I$89,3,0)*VLOOKUP('Données projet'!$B$11,Paramètres!$A$1:$I$89,5,0)</f>
        <v>0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83.883967208992033</v>
      </c>
      <c r="BJ92" s="62">
        <f t="shared" si="92"/>
        <v>391.78028845111544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21.315019658178958</v>
      </c>
      <c r="BQ92" s="23">
        <f>EXP(-LN(2)/25)*BQ91+(1-EXP(-LN(2)/25))/(LN(2)/25)*Calculateur!BL92*Calculateur!BN92*VLOOKUP('Données projet'!$B$11,Paramètres!$A$1:$I$89,3,0)*0.475*44/12</f>
        <v>3.0727606622991908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24.38778032047815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135.66666666666666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76.280749912424909</v>
      </c>
      <c r="T93" s="62">
        <f t="shared" si="88"/>
        <v>353.34276014239026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18.512056277936583</v>
      </c>
      <c r="AA93" s="23">
        <f>EXP(-LN(2)/25)*AA92+(1-EXP(-LN(2)/25))/(LN(2)/25)*Calculateur!V93*Calculateur!X93*VLOOKUP('Données projet'!$B$9,Paramètres!$A$1:$I$89,3,0)*0.475*44/12</f>
        <v>2.6476301372014261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21.159686415138008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>
        <f>AI93*VLOOKUP('Données projet'!$B$10,Paramètres!$A$1:$I$89,3,0)*VLOOKUP('Données projet'!$B$10,Paramètres!$A$1:$I$89,5,0)</f>
        <v>0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82.437379371146534</v>
      </c>
      <c r="AO93" s="62">
        <f t="shared" si="90"/>
        <v>384.46649239172427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20.4427615339177</v>
      </c>
      <c r="AV93" s="23">
        <f>EXP(-LN(2)/25)*AV92+(1-EXP(-LN(2)/25))/(LN(2)/25)*Calculateur!AQ93*Calculateur!AS93*VLOOKUP('Données projet'!$B$10,Paramètres!$A$1:$I$89,3,0)*0.475*44/12</f>
        <v>2.9237633416948285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23.36652487561253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>
        <f>BD93*VLOOKUP('Données projet'!$B$11,Paramètres!$A$1:$I$89,3,0)*VLOOKUP('Données projet'!$B$11,Paramètres!$A$1:$I$89,5,0)</f>
        <v>0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83.883967208992033</v>
      </c>
      <c r="BJ93" s="62">
        <f t="shared" si="92"/>
        <v>391.78028845111544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20.897045123560329</v>
      </c>
      <c r="BQ93" s="23">
        <f>EXP(-LN(2)/25)*BQ92+(1-EXP(-LN(2)/25))/(LN(2)/25)*Calculateur!BL93*Calculateur!BN93*VLOOKUP('Données projet'!$B$11,Paramètres!$A$1:$I$89,3,0)*0.475*44/12</f>
        <v>2.9887358603991592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23.885780983959489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135.66666666666666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76.280749912424909</v>
      </c>
      <c r="T94" s="62">
        <f t="shared" si="88"/>
        <v>353.34276014239026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18.149046145565659</v>
      </c>
      <c r="AA94" s="23">
        <f>EXP(-LN(2)/25)*AA93+(1-EXP(-LN(2)/25))/(LN(2)/25)*Calculateur!V94*Calculateur!X94*VLOOKUP('Données projet'!$B$9,Paramètres!$A$1:$I$89,3,0)*0.475*44/12</f>
        <v>2.5752305518668357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20.724276697432494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>
        <f>AI94*VLOOKUP('Données projet'!$B$10,Paramètres!$A$1:$I$89,3,0)*VLOOKUP('Données projet'!$B$10,Paramètres!$A$1:$I$89,5,0)</f>
        <v>0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82.437379371146534</v>
      </c>
      <c r="AO94" s="62">
        <f t="shared" si="90"/>
        <v>384.46649239172427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20.041891449090912</v>
      </c>
      <c r="AV94" s="23">
        <f>EXP(-LN(2)/25)*AV93+(1-EXP(-LN(2)/25))/(LN(2)/25)*Calculateur!AQ94*Calculateur!AS94*VLOOKUP('Données projet'!$B$10,Paramètres!$A$1:$I$89,3,0)*0.475*44/12</f>
        <v>2.8438128793621518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22.885704328453063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>
        <f>BD94*VLOOKUP('Données projet'!$B$11,Paramètres!$A$1:$I$89,3,0)*VLOOKUP('Données projet'!$B$11,Paramètres!$A$1:$I$89,5,0)</f>
        <v>0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83.883967208992033</v>
      </c>
      <c r="BJ94" s="62">
        <f t="shared" si="92"/>
        <v>391.78028845111544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20.487266814626278</v>
      </c>
      <c r="BQ94" s="23">
        <f>EXP(-LN(2)/25)*BQ93+(1-EXP(-LN(2)/25))/(LN(2)/25)*Calculateur!BL94*Calculateur!BN94*VLOOKUP('Données projet'!$B$11,Paramètres!$A$1:$I$89,3,0)*0.475*44/12</f>
        <v>2.9070087211257563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23.394275535752033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135.66666666666666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76.280749912424909</v>
      </c>
      <c r="T95" s="62">
        <f t="shared" si="88"/>
        <v>353.34276014239026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17.79315442047621</v>
      </c>
      <c r="AA95" s="23">
        <f>EXP(-LN(2)/25)*AA94+(1-EXP(-LN(2)/25))/(LN(2)/25)*Calculateur!V95*Calculateur!X95*VLOOKUP('Données projet'!$B$9,Paramètres!$A$1:$I$89,3,0)*0.475*44/12</f>
        <v>2.5048107370005481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20.297965157476757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>
        <f>AI95*VLOOKUP('Données projet'!$B$10,Paramètres!$A$1:$I$89,3,0)*VLOOKUP('Données projet'!$B$10,Paramètres!$A$1:$I$89,5,0)</f>
        <v>0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82.437379371146534</v>
      </c>
      <c r="AO95" s="62">
        <f t="shared" si="90"/>
        <v>384.46649239172427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19.648882182120968</v>
      </c>
      <c r="AV95" s="23">
        <f>EXP(-LN(2)/25)*AV94+(1-EXP(-LN(2)/25))/(LN(2)/25)*Calculateur!AQ95*Calculateur!AS95*VLOOKUP('Données projet'!$B$10,Paramètres!$A$1:$I$89,3,0)*0.475*44/12</f>
        <v>2.7660486666263742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22.414930848747343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>
        <f>BD95*VLOOKUP('Données projet'!$B$11,Paramètres!$A$1:$I$89,3,0)*VLOOKUP('Données projet'!$B$11,Paramètres!$A$1:$I$89,5,0)</f>
        <v>0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83.883967208992033</v>
      </c>
      <c r="BJ95" s="62">
        <f t="shared" si="92"/>
        <v>391.78028845111544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20.085524008390337</v>
      </c>
      <c r="BQ95" s="23">
        <f>EXP(-LN(2)/25)*BQ94+(1-EXP(-LN(2)/25))/(LN(2)/25)*Calculateur!BL95*Calculateur!BN95*VLOOKUP('Données projet'!$B$11,Paramètres!$A$1:$I$89,3,0)*0.475*44/12</f>
        <v>2.827516414773628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22.913040423163963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135.66666666666666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76.280749912424909</v>
      </c>
      <c r="T96" s="62">
        <f t="shared" si="88"/>
        <v>353.34276014239026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17.444241515043249</v>
      </c>
      <c r="AA96" s="23">
        <f>EXP(-LN(2)/25)*AA95+(1-EXP(-LN(2)/25))/(LN(2)/25)*Calculateur!V96*Calculateur!X96*VLOOKUP('Données projet'!$B$9,Paramètres!$A$1:$I$89,3,0)*0.475*44/12</f>
        <v>2.4363165556749964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19.880558070718244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>
        <f>AI96*VLOOKUP('Données projet'!$B$10,Paramètres!$A$1:$I$89,3,0)*VLOOKUP('Données projet'!$B$10,Paramètres!$A$1:$I$89,5,0)</f>
        <v>0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82.437379371146534</v>
      </c>
      <c r="AO96" s="62">
        <f t="shared" si="90"/>
        <v>384.46649239172427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19.263579587164323</v>
      </c>
      <c r="AV96" s="23">
        <f>EXP(-LN(2)/25)*AV95+(1-EXP(-LN(2)/25))/(LN(2)/25)*Calculateur!AQ96*Calculateur!AS96*VLOOKUP('Données projet'!$B$10,Paramètres!$A$1:$I$89,3,0)*0.475*44/12</f>
        <v>2.6904109203772983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21.953990507541622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>
        <f>BD96*VLOOKUP('Données projet'!$B$11,Paramètres!$A$1:$I$89,3,0)*VLOOKUP('Données projet'!$B$11,Paramètres!$A$1:$I$89,5,0)</f>
        <v>0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83.883967208992033</v>
      </c>
      <c r="BJ96" s="62">
        <f t="shared" si="92"/>
        <v>391.78028845111544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19.691659133545766</v>
      </c>
      <c r="BQ96" s="23">
        <f>EXP(-LN(2)/25)*BQ95+(1-EXP(-LN(2)/25))/(LN(2)/25)*Calculateur!BL96*Calculateur!BN96*VLOOKUP('Données projet'!$B$11,Paramètres!$A$1:$I$89,3,0)*0.475*44/12</f>
        <v>2.7501978297190175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22.441856963264783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135.66666666666666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76.280749912424909</v>
      </c>
      <c r="T97" s="62">
        <f t="shared" si="88"/>
        <v>353.34276014239026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17.10217057886997</v>
      </c>
      <c r="AA97" s="23">
        <f>EXP(-LN(2)/25)*AA96+(1-EXP(-LN(2)/25))/(LN(2)/25)*Calculateur!V97*Calculateur!X97*VLOOKUP('Données projet'!$B$9,Paramètres!$A$1:$I$89,3,0)*0.475*44/12</f>
        <v>2.3696953513397441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19.471865930209713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>
        <f>AI97*VLOOKUP('Données projet'!$B$10,Paramètres!$A$1:$I$89,3,0)*VLOOKUP('Données projet'!$B$10,Paramètres!$A$1:$I$89,5,0)</f>
        <v>0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82.437379371146534</v>
      </c>
      <c r="AO97" s="62">
        <f t="shared" si="90"/>
        <v>384.46649239172427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18.885832541083399</v>
      </c>
      <c r="AV97" s="23">
        <f>EXP(-LN(2)/25)*AV96+(1-EXP(-LN(2)/25))/(LN(2)/25)*Calculateur!AQ97*Calculateur!AS97*VLOOKUP('Données projet'!$B$10,Paramètres!$A$1:$I$89,3,0)*0.475*44/12</f>
        <v>2.61684149227702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21.502674033360421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>
        <f>BD97*VLOOKUP('Données projet'!$B$11,Paramètres!$A$1:$I$89,3,0)*VLOOKUP('Données projet'!$B$11,Paramètres!$A$1:$I$89,5,0)</f>
        <v>0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83.883967208992033</v>
      </c>
      <c r="BJ97" s="62">
        <f t="shared" si="92"/>
        <v>391.78028845111544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19.305517708663043</v>
      </c>
      <c r="BQ97" s="23">
        <f>EXP(-LN(2)/25)*BQ96+(1-EXP(-LN(2)/25))/(LN(2)/25)*Calculateur!BL97*Calculateur!BN97*VLOOKUP('Données projet'!$B$11,Paramètres!$A$1:$I$89,3,0)*0.475*44/12</f>
        <v>2.6749935254387327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21.980511234101776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135.66666666666666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76.280749912424909</v>
      </c>
      <c r="T98" s="62">
        <f t="shared" si="88"/>
        <v>353.34276014239026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16.766807445112377</v>
      </c>
      <c r="AA98" s="23">
        <f>EXP(-LN(2)/25)*AA97+(1-EXP(-LN(2)/25))/(LN(2)/25)*Calculateur!V98*Calculateur!X98*VLOOKUP('Données projet'!$B$9,Paramètres!$A$1:$I$89,3,0)*0.475*44/12</f>
        <v>2.3048959073404962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19.071703352452872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>
        <f>AI98*VLOOKUP('Données projet'!$B$10,Paramètres!$A$1:$I$89,3,0)*VLOOKUP('Données projet'!$B$10,Paramètres!$A$1:$I$89,5,0)</f>
        <v>0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82.437379371146534</v>
      </c>
      <c r="AO98" s="62">
        <f t="shared" si="90"/>
        <v>384.46649239172427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18.515492884173174</v>
      </c>
      <c r="AV98" s="23">
        <f>EXP(-LN(2)/25)*AV97+(1-EXP(-LN(2)/25))/(LN(2)/25)*Calculateur!AQ98*Calculateur!AS98*VLOOKUP('Données projet'!$B$10,Paramètres!$A$1:$I$89,3,0)*0.475*44/12</f>
        <v>2.5452838240569915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21.060776708230165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>
        <f>BD98*VLOOKUP('Données projet'!$B$11,Paramètres!$A$1:$I$89,3,0)*VLOOKUP('Données projet'!$B$11,Paramètres!$A$1:$I$89,5,0)</f>
        <v>0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83.883967208992033</v>
      </c>
      <c r="BJ98" s="62">
        <f t="shared" si="92"/>
        <v>391.78028845111544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18.926948281599259</v>
      </c>
      <c r="BQ98" s="23">
        <f>EXP(-LN(2)/25)*BQ97+(1-EXP(-LN(2)/25))/(LN(2)/25)*Calculateur!BL98*Calculateur!BN98*VLOOKUP('Données projet'!$B$11,Paramètres!$A$1:$I$89,3,0)*0.475*44/12</f>
        <v>2.6018456868138147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21.528793968413073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135.66666666666666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76.280749912424909</v>
      </c>
      <c r="T99" s="62">
        <f t="shared" si="88"/>
        <v>353.34276014239026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16.438020577856459</v>
      </c>
      <c r="AA99" s="23">
        <f>EXP(-LN(2)/25)*AA98+(1-EXP(-LN(2)/25))/(LN(2)/25)*Calculateur!V99*Calculateur!X99*VLOOKUP('Données projet'!$B$9,Paramètres!$A$1:$I$89,3,0)*0.475*44/12</f>
        <v>2.2418684075450623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18.679888985401522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>
        <f>AI99*VLOOKUP('Données projet'!$B$10,Paramètres!$A$1:$I$89,3,0)*VLOOKUP('Données projet'!$B$10,Paramètres!$A$1:$I$89,5,0)</f>
        <v>0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82.437379371146534</v>
      </c>
      <c r="AO99" s="62">
        <f t="shared" si="90"/>
        <v>384.46649239172427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18.152415362050071</v>
      </c>
      <c r="AV99" s="23">
        <f>EXP(-LN(2)/25)*AV98+(1-EXP(-LN(2)/25))/(LN(2)/25)*Calculateur!AQ99*Calculateur!AS99*VLOOKUP('Données projet'!$B$10,Paramètres!$A$1:$I$89,3,0)*0.475*44/12</f>
        <v>2.4756829040374941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20.628098266087566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>
        <f>BD99*VLOOKUP('Données projet'!$B$11,Paramètres!$A$1:$I$89,3,0)*VLOOKUP('Données projet'!$B$11,Paramètres!$A$1:$I$89,5,0)</f>
        <v>0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83.883967208992033</v>
      </c>
      <c r="BJ99" s="62">
        <f t="shared" si="92"/>
        <v>391.78028845111544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18.555802370095645</v>
      </c>
      <c r="BQ99" s="23">
        <f>EXP(-LN(2)/25)*BQ98+(1-EXP(-LN(2)/25))/(LN(2)/25)*Calculateur!BL99*Calculateur!BN99*VLOOKUP('Données projet'!$B$11,Paramètres!$A$1:$I$89,3,0)*0.475*44/12</f>
        <v>2.5306980796827729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21.086500449778416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135.66666666666666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76.280749912424909</v>
      </c>
      <c r="T100" s="62">
        <f t="shared" si="88"/>
        <v>353.34276014239026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16.115681020527241</v>
      </c>
      <c r="AA100" s="23">
        <f>EXP(-LN(2)/25)*AA99+(1-EXP(-LN(2)/25))/(LN(2)/25)*Calculateur!V100*Calculateur!X100*VLOOKUP('Données projet'!$B$9,Paramètres!$A$1:$I$89,3,0)*0.475*44/12</f>
        <v>2.1805643980460068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18.296245418573246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>
        <f>AI100*VLOOKUP('Données projet'!$B$10,Paramètres!$A$1:$I$89,3,0)*VLOOKUP('Données projet'!$B$10,Paramètres!$A$1:$I$89,5,0)</f>
        <v>0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82.437379371146534</v>
      </c>
      <c r="AO100" s="62">
        <f t="shared" si="90"/>
        <v>384.46649239172427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17.796457568680381</v>
      </c>
      <c r="AV100" s="23">
        <f>EXP(-LN(2)/25)*AV99+(1-EXP(-LN(2)/25))/(LN(2)/25)*Calculateur!AQ100*Calculateur!AS100*VLOOKUP('Données projet'!$B$10,Paramètres!$A$1:$I$89,3,0)*0.475*44/12</f>
        <v>2.4079852248360831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20.204442793516463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>
        <f>BD100*VLOOKUP('Données projet'!$B$11,Paramètres!$A$1:$I$89,3,0)*VLOOKUP('Données projet'!$B$11,Paramètres!$A$1:$I$89,5,0)</f>
        <v>0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83.883967208992033</v>
      </c>
      <c r="BJ100" s="62">
        <f t="shared" si="92"/>
        <v>391.78028845111544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18.191934403539964</v>
      </c>
      <c r="BQ100" s="23">
        <f>EXP(-LN(2)/25)*BQ99+(1-EXP(-LN(2)/25))/(LN(2)/25)*Calculateur!BL100*Calculateur!BN100*VLOOKUP('Données projet'!$B$11,Paramètres!$A$1:$I$89,3,0)*0.475*44/12</f>
        <v>2.4614960076102195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20.653430411150183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135.66666666666666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76.280749912424909</v>
      </c>
      <c r="T101" s="62">
        <f t="shared" si="88"/>
        <v>353.34276014239026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15.799662345309532</v>
      </c>
      <c r="AA101" s="23">
        <f>EXP(-LN(2)/25)*AA100+(1-EXP(-LN(2)/25))/(LN(2)/25)*Calculateur!V101*Calculateur!X101*VLOOKUP('Données projet'!$B$9,Paramètres!$A$1:$I$89,3,0)*0.475*44/12</f>
        <v>2.1209367499105407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17.920599095220073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>
        <f>AI101*VLOOKUP('Données projet'!$B$10,Paramètres!$A$1:$I$89,3,0)*VLOOKUP('Données projet'!$B$10,Paramètres!$A$1:$I$89,5,0)</f>
        <v>0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82.437379371146534</v>
      </c>
      <c r="AO101" s="62">
        <f t="shared" si="90"/>
        <v>384.46649239172427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17.447479890525855</v>
      </c>
      <c r="AV101" s="23">
        <f>EXP(-LN(2)/25)*AV100+(1-EXP(-LN(2)/25))/(LN(2)/25)*Calculateur!AQ101*Calculateur!AS101*VLOOKUP('Données projet'!$B$10,Paramètres!$A$1:$I$89,3,0)*0.475*44/12</f>
        <v>2.3421387422325011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19.789618632758355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>
        <f>BD101*VLOOKUP('Données projet'!$B$11,Paramètres!$A$1:$I$89,3,0)*VLOOKUP('Données projet'!$B$11,Paramètres!$A$1:$I$89,5,0)</f>
        <v>0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83.883967208992033</v>
      </c>
      <c r="BJ101" s="62">
        <f t="shared" si="92"/>
        <v>391.78028845111544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17.835201665870894</v>
      </c>
      <c r="BQ101" s="23">
        <f>EXP(-LN(2)/25)*BQ100+(1-EXP(-LN(2)/25))/(LN(2)/25)*Calculateur!BL101*Calculateur!BN101*VLOOKUP('Données projet'!$B$11,Paramètres!$A$1:$I$89,3,0)*0.475*44/12</f>
        <v>2.394186269837669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20.229387935708562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135.66666666666666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76.280749912424909</v>
      </c>
      <c r="T102" s="62">
        <f t="shared" si="88"/>
        <v>353.34276014239026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15.489840603560483</v>
      </c>
      <c r="AA102" s="23">
        <f>EXP(-LN(2)/25)*AA101+(1-EXP(-LN(2)/25))/(LN(2)/25)*Calculateur!V102*Calculateur!X102*VLOOKUP('Données projet'!$B$9,Paramètres!$A$1:$I$89,3,0)*0.475*44/12</f>
        <v>2.0629396229490209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17.552780226509505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>
        <f>AI102*VLOOKUP('Données projet'!$B$10,Paramètres!$A$1:$I$89,3,0)*VLOOKUP('Données projet'!$B$10,Paramètres!$A$1:$I$89,5,0)</f>
        <v>0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82.437379371146534</v>
      </c>
      <c r="AO102" s="62">
        <f t="shared" si="90"/>
        <v>384.46649239172427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17.105345451784576</v>
      </c>
      <c r="AV102" s="23">
        <f>EXP(-LN(2)/25)*AV101+(1-EXP(-LN(2)/25))/(LN(2)/25)*Calculateur!AQ102*Calculateur!AS102*VLOOKUP('Données projet'!$B$10,Paramètres!$A$1:$I$89,3,0)*0.475*44/12</f>
        <v>2.27809283515843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19.383438286943004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>
        <f>BD102*VLOOKUP('Données projet'!$B$11,Paramètres!$A$1:$I$89,3,0)*VLOOKUP('Données projet'!$B$11,Paramètres!$A$1:$I$89,5,0)</f>
        <v>0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83.883967208992033</v>
      </c>
      <c r="BJ102" s="62">
        <f t="shared" si="92"/>
        <v>391.78028845111544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17.485464239602031</v>
      </c>
      <c r="BQ102" s="23">
        <f>EXP(-LN(2)/25)*BQ101+(1-EXP(-LN(2)/25))/(LN(2)/25)*Calculateur!BL102*Calculateur!BN102*VLOOKUP('Données projet'!$B$11,Paramètres!$A$1:$I$89,3,0)*0.475*44/12</f>
        <v>2.3287171203841739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19.814181359986204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135.66666666666666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76.280749912424909</v>
      </c>
      <c r="T103" s="62">
        <f t="shared" si="88"/>
        <v>353.34276014239026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15.186094277194529</v>
      </c>
      <c r="AA103" s="23">
        <f>EXP(-LN(2)/25)*AA102+(1-EXP(-LN(2)/25))/(LN(2)/25)*Calculateur!V103*Calculateur!X103*VLOOKUP('Données projet'!$B$9,Paramètres!$A$1:$I$89,3,0)*0.475*44/12</f>
        <v>2.0065284304742002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17.192622707668729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>
        <f>AI103*VLOOKUP('Données projet'!$B$10,Paramètres!$A$1:$I$89,3,0)*VLOOKUP('Données projet'!$B$10,Paramètres!$A$1:$I$89,5,0)</f>
        <v>0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82.437379371146534</v>
      </c>
      <c r="AO103" s="62">
        <f t="shared" si="90"/>
        <v>384.46649239172427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16.769920060705608</v>
      </c>
      <c r="AV103" s="23">
        <f>EXP(-LN(2)/25)*AV102+(1-EXP(-LN(2)/25))/(LN(2)/25)*Calculateur!AQ103*Calculateur!AS103*VLOOKUP('Données projet'!$B$10,Paramètres!$A$1:$I$89,3,0)*0.475*44/12</f>
        <v>2.2157982667813272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18.985718327486936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>
        <f>BD103*VLOOKUP('Données projet'!$B$11,Paramètres!$A$1:$I$89,3,0)*VLOOKUP('Données projet'!$B$11,Paramètres!$A$1:$I$89,5,0)</f>
        <v>0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83.883967208992033</v>
      </c>
      <c r="BJ103" s="62">
        <f t="shared" si="92"/>
        <v>391.78028845111544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17.142584950943533</v>
      </c>
      <c r="BQ103" s="23">
        <f>EXP(-LN(2)/25)*BQ102+(1-EXP(-LN(2)/25))/(LN(2)/25)*Calculateur!BL103*Calculateur!BN103*VLOOKUP('Données projet'!$B$11,Paramètres!$A$1:$I$89,3,0)*0.475*44/12</f>
        <v>2.2650382282653578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19.40762317920889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135.66666666666666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76.280749912424909</v>
      </c>
      <c r="T104" s="62">
        <f t="shared" si="88"/>
        <v>353.34276014239026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14.888304231021648</v>
      </c>
      <c r="AA104" s="23">
        <f>EXP(-LN(2)/25)*AA103+(1-EXP(-LN(2)/25))/(LN(2)/25)*Calculateur!V104*Calculateur!X104*VLOOKUP('Données projet'!$B$9,Paramètres!$A$1:$I$89,3,0)*0.475*44/12</f>
        <v>1.9516598050241389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16.839964036045785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>
        <f>AI104*VLOOKUP('Données projet'!$B$10,Paramètres!$A$1:$I$89,3,0)*VLOOKUP('Données projet'!$B$10,Paramètres!$A$1:$I$89,5,0)</f>
        <v>0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82.437379371146534</v>
      </c>
      <c r="AO104" s="62">
        <f t="shared" si="90"/>
        <v>384.46649239172427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16.441072156956412</v>
      </c>
      <c r="AV104" s="23">
        <f>EXP(-LN(2)/25)*AV103+(1-EXP(-LN(2)/25))/(LN(2)/25)*Calculateur!AQ104*Calculateur!AS104*VLOOKUP('Données projet'!$B$10,Paramètres!$A$1:$I$89,3,0)*0.475*44/12</f>
        <v>2.1552071466524252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18.596279303608839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>
        <f>BD104*VLOOKUP('Données projet'!$B$11,Paramètres!$A$1:$I$89,3,0)*VLOOKUP('Données projet'!$B$11,Paramètres!$A$1:$I$89,5,0)</f>
        <v>0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83.883967208992033</v>
      </c>
      <c r="BJ104" s="62">
        <f t="shared" si="92"/>
        <v>391.78028845111544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16.80642931599991</v>
      </c>
      <c r="BQ104" s="23">
        <f>EXP(-LN(2)/25)*BQ103+(1-EXP(-LN(2)/25))/(LN(2)/25)*Calculateur!BL104*Calculateur!BN104*VLOOKUP('Données projet'!$B$11,Paramètres!$A$1:$I$89,3,0)*0.475*44/12</f>
        <v>2.2031006388002581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19.009529954800168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135.66666666666666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76.280749912424909</v>
      </c>
      <c r="T105" s="62">
        <f t="shared" si="88"/>
        <v>353.34276014239026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14.596353666020223</v>
      </c>
      <c r="AA105" s="23">
        <f>EXP(-LN(2)/25)*AA104+(1-EXP(-LN(2)/25))/(LN(2)/25)*Calculateur!V105*Calculateur!X105*VLOOKUP('Données projet'!$B$9,Paramètres!$A$1:$I$89,3,0)*0.475*44/12</f>
        <v>1.8982915650224252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16.494645231042647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>
        <f>AI105*VLOOKUP('Données projet'!$B$10,Paramètres!$A$1:$I$89,3,0)*VLOOKUP('Données projet'!$B$10,Paramètres!$A$1:$I$89,5,0)</f>
        <v>0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82.437379371146534</v>
      </c>
      <c r="AO105" s="62">
        <f t="shared" si="90"/>
        <v>384.46649239172427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16.118672760022324</v>
      </c>
      <c r="AV105" s="23">
        <f>EXP(-LN(2)/25)*AV104+(1-EXP(-LN(2)/25))/(LN(2)/25)*Calculateur!AQ105*Calculateur!AS105*VLOOKUP('Données projet'!$B$10,Paramètres!$A$1:$I$89,3,0)*0.475*44/12</f>
        <v>2.0962728938897968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18.214945653912121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>
        <f>BD105*VLOOKUP('Données projet'!$B$11,Paramètres!$A$1:$I$89,3,0)*VLOOKUP('Données projet'!$B$11,Paramètres!$A$1:$I$89,5,0)</f>
        <v>0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83.883967208992033</v>
      </c>
      <c r="BJ105" s="62">
        <f t="shared" si="92"/>
        <v>391.78028845111544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16.476865488022842</v>
      </c>
      <c r="BQ105" s="23">
        <f>EXP(-LN(2)/25)*BQ104+(1-EXP(-LN(2)/25))/(LN(2)/25)*Calculateur!BL105*Calculateur!BN105*VLOOKUP('Données projet'!$B$11,Paramètres!$A$1:$I$89,3,0)*0.475*44/12</f>
        <v>2.1428567359762378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18.61972222399908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135.66666666666666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76.280749912424909</v>
      </c>
      <c r="T106" s="62">
        <f t="shared" si="88"/>
        <v>353.34276014239026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14.310128073526215</v>
      </c>
      <c r="AA106" s="23">
        <f>EXP(-LN(2)/25)*AA105+(1-EXP(-LN(2)/25))/(LN(2)/25)*Calculateur!V106*Calculateur!X106*VLOOKUP('Données projet'!$B$9,Paramètres!$A$1:$I$89,3,0)*0.475*44/12</f>
        <v>1.8463826823500722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16.156510755876287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>
        <f>AI106*VLOOKUP('Données projet'!$B$10,Paramètres!$A$1:$I$89,3,0)*VLOOKUP('Données projet'!$B$10,Paramètres!$A$1:$I$89,5,0)</f>
        <v>0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82.437379371146534</v>
      </c>
      <c r="AO106" s="62">
        <f t="shared" si="90"/>
        <v>384.46649239172427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15.802595418617898</v>
      </c>
      <c r="AV106" s="23">
        <f>EXP(-LN(2)/25)*AV105+(1-EXP(-LN(2)/25))/(LN(2)/25)*Calculateur!AQ106*Calculateur!AS106*VLOOKUP('Données projet'!$B$10,Paramètres!$A$1:$I$89,3,0)*0.475*44/12</f>
        <v>2.0389502013681797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17.841545619986078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>
        <f>BD106*VLOOKUP('Données projet'!$B$11,Paramètres!$A$1:$I$89,3,0)*VLOOKUP('Données projet'!$B$11,Paramètres!$A$1:$I$89,5,0)</f>
        <v>0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83.883967208992033</v>
      </c>
      <c r="BJ106" s="62">
        <f t="shared" si="92"/>
        <v>391.78028845111544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16.153764205698316</v>
      </c>
      <c r="BQ106" s="23">
        <f>EXP(-LN(2)/25)*BQ105+(1-EXP(-LN(2)/25))/(LN(2)/25)*Calculateur!BL106*Calculateur!BN106*VLOOKUP('Données projet'!$B$11,Paramètres!$A$1:$I$89,3,0)*0.475*44/12</f>
        <v>2.0842602058430293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18.238024411541346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135.66666666666666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76.280749912424909</v>
      </c>
      <c r="T107" s="62">
        <f t="shared" si="88"/>
        <v>353.34276014239026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14.029515190320641</v>
      </c>
      <c r="AA107" s="23">
        <f>EXP(-LN(2)/25)*AA106+(1-EXP(-LN(2)/25))/(LN(2)/25)*Calculateur!V107*Calculateur!X107*VLOOKUP('Données projet'!$B$9,Paramètres!$A$1:$I$89,3,0)*0.475*44/12</f>
        <v>1.7958932508041641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15.825408441124805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>
        <f>AI107*VLOOKUP('Données projet'!$B$10,Paramètres!$A$1:$I$89,3,0)*VLOOKUP('Données projet'!$B$10,Paramètres!$A$1:$I$89,5,0)</f>
        <v>0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82.437379371146534</v>
      </c>
      <c r="AO107" s="62">
        <f t="shared" si="90"/>
        <v>384.46649239172427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15.49271616109027</v>
      </c>
      <c r="AV107" s="23">
        <f>EXP(-LN(2)/25)*AV106+(1-EXP(-LN(2)/25))/(LN(2)/25)*Calculateur!AQ107*Calculateur!AS107*VLOOKUP('Données projet'!$B$10,Paramètres!$A$1:$I$89,3,0)*0.475*44/12</f>
        <v>1.9831950008880359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17.475911161978306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>
        <f>BD107*VLOOKUP('Données projet'!$B$11,Paramètres!$A$1:$I$89,3,0)*VLOOKUP('Données projet'!$B$11,Paramètres!$A$1:$I$89,5,0)</f>
        <v>0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83.883967208992033</v>
      </c>
      <c r="BJ107" s="62">
        <f t="shared" si="92"/>
        <v>391.78028845111544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15.836998742447852</v>
      </c>
      <c r="BQ107" s="23">
        <f>EXP(-LN(2)/25)*BQ106+(1-EXP(-LN(2)/25))/(LN(2)/25)*Calculateur!BL107*Calculateur!BN107*VLOOKUP('Données projet'!$B$11,Paramètres!$A$1:$I$89,3,0)*0.475*44/12</f>
        <v>2.0272660009077712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17.864264743355623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135.66666666666666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76.280749912424909</v>
      </c>
      <c r="T108" s="62">
        <f t="shared" si="88"/>
        <v>353.34276014239026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13.754404954597771</v>
      </c>
      <c r="AA108" s="23">
        <f>EXP(-LN(2)/25)*AA107+(1-EXP(-LN(2)/25))/(LN(2)/25)*Calculateur!V108*Calculateur!X108*VLOOKUP('Données projet'!$B$9,Paramètres!$A$1:$I$89,3,0)*0.475*44/12</f>
        <v>1.7467844554190026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15.501189410016773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>
        <f>AI108*VLOOKUP('Données projet'!$B$10,Paramètres!$A$1:$I$89,3,0)*VLOOKUP('Données projet'!$B$10,Paramètres!$A$1:$I$89,5,0)</f>
        <v>0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82.437379371146534</v>
      </c>
      <c r="AO108" s="62">
        <f t="shared" si="90"/>
        <v>384.46649239172427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15.188913446795075</v>
      </c>
      <c r="AV108" s="23">
        <f>EXP(-LN(2)/25)*AV107+(1-EXP(-LN(2)/25))/(LN(2)/25)*Calculateur!AQ108*Calculateur!AS108*VLOOKUP('Données projet'!$B$10,Paramètres!$A$1:$I$89,3,0)*0.475*44/12</f>
        <v>1.92896442929706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17.117877876092134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>
        <f>BD108*VLOOKUP('Données projet'!$B$11,Paramètres!$A$1:$I$89,3,0)*VLOOKUP('Données projet'!$B$11,Paramètres!$A$1:$I$89,5,0)</f>
        <v>0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83.883967208992033</v>
      </c>
      <c r="BJ108" s="62">
        <f t="shared" si="92"/>
        <v>391.78028845111544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15.526444856723876</v>
      </c>
      <c r="BQ108" s="23">
        <f>EXP(-LN(2)/25)*BQ107+(1-EXP(-LN(2)/25))/(LN(2)/25)*Calculateur!BL108*Calculateur!BN108*VLOOKUP('Données projet'!$B$11,Paramètres!$A$1:$I$89,3,0)*0.475*44/12</f>
        <v>1.9718303055036626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17.498275162227539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135.66666666666666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76.280749912424909</v>
      </c>
      <c r="T109" s="62">
        <f t="shared" si="88"/>
        <v>353.34276014239026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13.48468946279675</v>
      </c>
      <c r="AA109" s="23">
        <f>EXP(-LN(2)/25)*AA108+(1-EXP(-LN(2)/25))/(LN(2)/25)*Calculateur!V109*Calculateur!X109*VLOOKUP('Données projet'!$B$9,Paramètres!$A$1:$I$89,3,0)*0.475*44/12</f>
        <v>1.6990185426261679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15.183708005422918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>
        <f>AI109*VLOOKUP('Données projet'!$B$10,Paramètres!$A$1:$I$89,3,0)*VLOOKUP('Données projet'!$B$10,Paramètres!$A$1:$I$89,5,0)</f>
        <v>0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82.437379371146534</v>
      </c>
      <c r="AO109" s="62">
        <f t="shared" si="90"/>
        <v>384.46649239172427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14.891068118425851</v>
      </c>
      <c r="AV109" s="23">
        <f>EXP(-LN(2)/25)*AV108+(1-EXP(-LN(2)/25))/(LN(2)/25)*Calculateur!AQ109*Calculateur!AS109*VLOOKUP('Données projet'!$B$10,Paramètres!$A$1:$I$89,3,0)*0.475*44/12</f>
        <v>1.8762167955381013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16.767284913963952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>
        <f>BD109*VLOOKUP('Données projet'!$B$11,Paramètres!$A$1:$I$89,3,0)*VLOOKUP('Données projet'!$B$11,Paramètres!$A$1:$I$89,5,0)</f>
        <v>0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83.883967208992033</v>
      </c>
      <c r="BJ109" s="62">
        <f t="shared" si="92"/>
        <v>391.78028845111544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15.221980743279779</v>
      </c>
      <c r="BQ109" s="23">
        <f>EXP(-LN(2)/25)*BQ108+(1-EXP(-LN(2)/25))/(LN(2)/25)*Calculateur!BL109*Calculateur!BN109*VLOOKUP('Données projet'!$B$11,Paramètres!$A$1:$I$89,3,0)*0.475*44/12</f>
        <v>1.9179105021056158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17.139891245385396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135.66666666666666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76.280749912424909</v>
      </c>
      <c r="T110" s="62">
        <f t="shared" si="88"/>
        <v>353.34276014239026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13.220262927279741</v>
      </c>
      <c r="AA110" s="23">
        <f>EXP(-LN(2)/25)*AA109+(1-EXP(-LN(2)/25))/(LN(2)/25)*Calculateur!V110*Calculateur!X110*VLOOKUP('Données projet'!$B$9,Paramètres!$A$1:$I$89,3,0)*0.475*44/12</f>
        <v>1.6525587912305533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14.872821718510295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>
        <f>AI110*VLOOKUP('Données projet'!$B$10,Paramètres!$A$1:$I$89,3,0)*VLOOKUP('Données projet'!$B$10,Paramètres!$A$1:$I$89,5,0)</f>
        <v>0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82.437379371146534</v>
      </c>
      <c r="AO110" s="62">
        <f t="shared" si="90"/>
        <v>384.46649239172427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14.599063355278235</v>
      </c>
      <c r="AV110" s="23">
        <f>EXP(-LN(2)/25)*AV109+(1-EXP(-LN(2)/25))/(LN(2)/25)*Calculateur!AQ110*Calculateur!AS110*VLOOKUP('Données projet'!$B$10,Paramètres!$A$1:$I$89,3,0)*0.475*44/12</f>
        <v>1.8249115485981589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16.423974903876392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>
        <f>BD110*VLOOKUP('Données projet'!$B$11,Paramètres!$A$1:$I$89,3,0)*VLOOKUP('Données projet'!$B$11,Paramètres!$A$1:$I$89,5,0)</f>
        <v>0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83.883967208992033</v>
      </c>
      <c r="BJ110" s="62">
        <f t="shared" si="92"/>
        <v>391.78028845111544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14.923486985395549</v>
      </c>
      <c r="BQ110" s="23">
        <f>EXP(-LN(2)/25)*BQ109+(1-EXP(-LN(2)/25))/(LN(2)/25)*Calculateur!BL110*Calculateur!BN110*VLOOKUP('Données projet'!$B$11,Paramètres!$A$1:$I$89,3,0)*0.475*44/12</f>
        <v>1.8654651385670078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16.788952123962556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135.66666666666666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76.280749912424909</v>
      </c>
      <c r="T111" s="62">
        <f t="shared" si="88"/>
        <v>353.34276014239026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12.961021634839961</v>
      </c>
      <c r="AA111" s="23">
        <f>EXP(-LN(2)/25)*AA110+(1-EXP(-LN(2)/25))/(LN(2)/25)*Calculateur!V111*Calculateur!X111*VLOOKUP('Données projet'!$B$9,Paramètres!$A$1:$I$89,3,0)*0.475*44/12</f>
        <v>1.6073694841800639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14.568391119020024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>
        <f>AI111*VLOOKUP('Données projet'!$B$10,Paramètres!$A$1:$I$89,3,0)*VLOOKUP('Données projet'!$B$10,Paramètres!$A$1:$I$89,5,0)</f>
        <v>0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82.437379371146534</v>
      </c>
      <c r="AO111" s="62">
        <f t="shared" si="90"/>
        <v>384.46649239172427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14.312784627430624</v>
      </c>
      <c r="AV111" s="23">
        <f>EXP(-LN(2)/25)*AV110+(1-EXP(-LN(2)/25))/(LN(2)/25)*Calculateur!AQ111*Calculateur!AS111*VLOOKUP('Données projet'!$B$10,Paramètres!$A$1:$I$89,3,0)*0.475*44/12</f>
        <v>1.7750092463338147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16.08779387376444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>
        <f>BD111*VLOOKUP('Données projet'!$B$11,Paramètres!$A$1:$I$89,3,0)*VLOOKUP('Données projet'!$B$11,Paramètres!$A$1:$I$89,5,0)</f>
        <v>0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83.883967208992033</v>
      </c>
      <c r="BJ111" s="62">
        <f t="shared" si="92"/>
        <v>391.78028845111544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14.630846508040213</v>
      </c>
      <c r="BQ111" s="23">
        <f>EXP(-LN(2)/25)*BQ110+(1-EXP(-LN(2)/25))/(LN(2)/25)*Calculateur!BL111*Calculateur!BN111*VLOOKUP('Données projet'!$B$11,Paramètres!$A$1:$I$89,3,0)*0.475*44/12</f>
        <v>1.8144538962523449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16.445300404292556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135.66666666666666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76.280749912424909</v>
      </c>
      <c r="T112" s="62">
        <f t="shared" si="88"/>
        <v>353.34276014239026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12.706863906023349</v>
      </c>
      <c r="AA112" s="23">
        <f>EXP(-LN(2)/25)*AA111+(1-EXP(-LN(2)/25))/(LN(2)/25)*Calculateur!V112*Calculateur!X112*VLOOKUP('Données projet'!$B$9,Paramètres!$A$1:$I$89,3,0)*0.475*44/12</f>
        <v>1.5634158811072725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14.270279787130622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>
        <f>AI112*VLOOKUP('Données projet'!$B$10,Paramètres!$A$1:$I$89,3,0)*VLOOKUP('Données projet'!$B$10,Paramètres!$A$1:$I$89,5,0)</f>
        <v>0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82.437379371146534</v>
      </c>
      <c r="AO112" s="62">
        <f t="shared" si="90"/>
        <v>384.46649239172427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14.032119650823322</v>
      </c>
      <c r="AV112" s="23">
        <f>EXP(-LN(2)/25)*AV111+(1-EXP(-LN(2)/25))/(LN(2)/25)*Calculateur!AQ112*Calculateur!AS112*VLOOKUP('Données projet'!$B$10,Paramètres!$A$1:$I$89,3,0)*0.475*44/12</f>
        <v>1.7264715251491372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15.758591175972459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>
        <f>BD112*VLOOKUP('Données projet'!$B$11,Paramètres!$A$1:$I$89,3,0)*VLOOKUP('Données projet'!$B$11,Paramètres!$A$1:$I$89,5,0)</f>
        <v>0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83.883967208992033</v>
      </c>
      <c r="BJ112" s="62">
        <f t="shared" si="92"/>
        <v>391.78028845111544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14.343944531952749</v>
      </c>
      <c r="BQ112" s="23">
        <f>EXP(-LN(2)/25)*BQ111+(1-EXP(-LN(2)/25))/(LN(2)/25)*Calculateur!BL112*Calculateur!BN112*VLOOKUP('Données projet'!$B$11,Paramètres!$A$1:$I$89,3,0)*0.475*44/12</f>
        <v>1.764837559041341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16.10878209099409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135.66666666666666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76.280749912424909</v>
      </c>
      <c r="T113" s="62">
        <f t="shared" si="88"/>
        <v>353.34276014239026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12.457690055247923</v>
      </c>
      <c r="AA113" s="23">
        <f>EXP(-LN(2)/25)*AA112+(1-EXP(-LN(2)/25))/(LN(2)/25)*Calculateur!V113*Calculateur!X113*VLOOKUP('Données projet'!$B$9,Paramètres!$A$1:$I$89,3,0)*0.475*44/12</f>
        <v>1.5206641916219261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13.978354246869849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>
        <f>AI113*VLOOKUP('Données projet'!$B$10,Paramètres!$A$1:$I$89,3,0)*VLOOKUP('Données projet'!$B$10,Paramètres!$A$1:$I$89,5,0)</f>
        <v>0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82.437379371146534</v>
      </c>
      <c r="AO113" s="62">
        <f t="shared" si="90"/>
        <v>384.46649239172427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13.756958343218558</v>
      </c>
      <c r="AV113" s="23">
        <f>EXP(-LN(2)/25)*AV112+(1-EXP(-LN(2)/25))/(LN(2)/25)*Calculateur!AQ113*Calculateur!AS113*VLOOKUP('Données projet'!$B$10,Paramètres!$A$1:$I$89,3,0)*0.475*44/12</f>
        <v>1.6792610705027424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15.4362194137213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>
        <f>BD113*VLOOKUP('Données projet'!$B$11,Paramètres!$A$1:$I$89,3,0)*VLOOKUP('Données projet'!$B$11,Paramètres!$A$1:$I$89,5,0)</f>
        <v>0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83.883967208992033</v>
      </c>
      <c r="BJ113" s="62">
        <f t="shared" si="92"/>
        <v>391.78028845111544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14.062668528623433</v>
      </c>
      <c r="BQ113" s="23">
        <f>EXP(-LN(2)/25)*BQ112+(1-EXP(-LN(2)/25))/(LN(2)/25)*Calculateur!BL113*Calculateur!BN113*VLOOKUP('Données projet'!$B$11,Paramètres!$A$1:$I$89,3,0)*0.475*44/12</f>
        <v>1.7165779831805819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15.779246511804015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135.66666666666666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76.280749912424909</v>
      </c>
      <c r="T114" s="62">
        <f t="shared" si="88"/>
        <v>353.34276014239026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12.213402351705161</v>
      </c>
      <c r="AA114" s="23">
        <f>EXP(-LN(2)/25)*AA113+(1-EXP(-LN(2)/25))/(LN(2)/25)*Calculateur!V114*Calculateur!X114*VLOOKUP('Données projet'!$B$9,Paramètres!$A$1:$I$89,3,0)*0.475*44/12</f>
        <v>1.4790815493337703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13.692483901038932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>
        <f>AI114*VLOOKUP('Données projet'!$B$10,Paramètres!$A$1:$I$89,3,0)*VLOOKUP('Données projet'!$B$10,Paramètres!$A$1:$I$89,5,0)</f>
        <v>0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82.437379371146534</v>
      </c>
      <c r="AO114" s="62">
        <f t="shared" si="90"/>
        <v>384.46649239172427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13.487192781024097</v>
      </c>
      <c r="AV114" s="23">
        <f>EXP(-LN(2)/25)*AV113+(1-EXP(-LN(2)/25))/(LN(2)/25)*Calculateur!AQ114*Calculateur!AS114*VLOOKUP('Données projet'!$B$10,Paramètres!$A$1:$I$89,3,0)*0.475*44/12</f>
        <v>1.6333415882213433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15.120534369245441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>
        <f>BD114*VLOOKUP('Données projet'!$B$11,Paramètres!$A$1:$I$89,3,0)*VLOOKUP('Données projet'!$B$11,Paramètres!$A$1:$I$89,5,0)</f>
        <v>0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83.883967208992033</v>
      </c>
      <c r="BJ114" s="62">
        <f t="shared" si="92"/>
        <v>391.78028845111544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13.786908176157985</v>
      </c>
      <c r="BQ114" s="23">
        <f>EXP(-LN(2)/25)*BQ113+(1-EXP(-LN(2)/25))/(LN(2)/25)*Calculateur!BL114*Calculateur!BN114*VLOOKUP('Données projet'!$B$11,Paramètres!$A$1:$I$89,3,0)*0.475*44/12</f>
        <v>1.6696380679595959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15.456546244117581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135.66666666666666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76.280749912424909</v>
      </c>
      <c r="T115" s="62">
        <f t="shared" si="88"/>
        <v>353.34276014239026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11.973904981028086</v>
      </c>
      <c r="AA115" s="23">
        <f>EXP(-LN(2)/25)*AA114+(1-EXP(-LN(2)/25))/(LN(2)/25)*Calculateur!V115*Calculateur!X115*VLOOKUP('Données projet'!$B$9,Paramètres!$A$1:$I$89,3,0)*0.475*44/12</f>
        <v>1.4386359865857201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13.412540967613806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>
        <f>AI115*VLOOKUP('Données projet'!$B$10,Paramètres!$A$1:$I$89,3,0)*VLOOKUP('Données projet'!$B$10,Paramètres!$A$1:$I$89,5,0)</f>
        <v>0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82.437379371146534</v>
      </c>
      <c r="AO115" s="62">
        <f t="shared" si="90"/>
        <v>384.46649239172427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13.222717156963524</v>
      </c>
      <c r="AV115" s="23">
        <f>EXP(-LN(2)/25)*AV114+(1-EXP(-LN(2)/25))/(LN(2)/25)*Calculateur!AQ115*Calculateur!AS115*VLOOKUP('Données projet'!$B$10,Paramètres!$A$1:$I$89,3,0)*0.475*44/12</f>
        <v>1.5886777765977296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14.811394933561253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>
        <f>BD115*VLOOKUP('Données projet'!$B$11,Paramètres!$A$1:$I$89,3,0)*VLOOKUP('Données projet'!$B$11,Paramètres!$A$1:$I$89,5,0)</f>
        <v>0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83.883967208992033</v>
      </c>
      <c r="BJ115" s="62">
        <f t="shared" si="92"/>
        <v>391.78028845111544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13.516555316007176</v>
      </c>
      <c r="BQ115" s="23">
        <f>EXP(-LN(2)/25)*BQ114+(1-EXP(-LN(2)/25))/(LN(2)/25)*Calculateur!BL115*Calculateur!BN115*VLOOKUP('Données projet'!$B$11,Paramètres!$A$1:$I$89,3,0)*0.475*44/12</f>
        <v>1.6239817271887909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15.140537043195968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135.66666666666666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76.280749912424909</v>
      </c>
      <c r="T116" s="62">
        <f t="shared" si="88"/>
        <v>353.34276014239026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11.739104007711017</v>
      </c>
      <c r="AA116" s="23">
        <f>EXP(-LN(2)/25)*AA115+(1-EXP(-LN(2)/25))/(LN(2)/25)*Calculateur!V116*Calculateur!X116*VLOOKUP('Données projet'!$B$9,Paramètres!$A$1:$I$89,3,0)*0.475*44/12</f>
        <v>1.399296409877955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13.138400417588972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>
        <f>AI116*VLOOKUP('Données projet'!$B$10,Paramètres!$A$1:$I$89,3,0)*VLOOKUP('Données projet'!$B$10,Paramètres!$A$1:$I$89,5,0)</f>
        <v>0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82.437379371146534</v>
      </c>
      <c r="AO116" s="62">
        <f t="shared" si="90"/>
        <v>384.46649239172427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12.963427738576577</v>
      </c>
      <c r="AV116" s="23">
        <f>EXP(-LN(2)/25)*AV115+(1-EXP(-LN(2)/25))/(LN(2)/25)*Calculateur!AQ116*Calculateur!AS116*VLOOKUP('Données projet'!$B$10,Paramètres!$A$1:$I$89,3,0)*0.475*44/12</f>
        <v>1.5452352992517313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14.508663037828308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>
        <f>BD116*VLOOKUP('Données projet'!$B$11,Paramètres!$A$1:$I$89,3,0)*VLOOKUP('Données projet'!$B$11,Paramètres!$A$1:$I$89,5,0)</f>
        <v>0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83.883967208992033</v>
      </c>
      <c r="BJ116" s="62">
        <f t="shared" si="92"/>
        <v>391.78028845111544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13.251503910544963</v>
      </c>
      <c r="BQ116" s="23">
        <f>EXP(-LN(2)/25)*BQ115+(1-EXP(-LN(2)/25))/(LN(2)/25)*Calculateur!BL116*Calculateur!BN116*VLOOKUP('Données projet'!$B$11,Paramètres!$A$1:$I$89,3,0)*0.475*44/12</f>
        <v>1.579573861457326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14.83107777200229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135.66666666666666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76.280749912424909</v>
      </c>
      <c r="T117" s="62">
        <f t="shared" si="88"/>
        <v>353.34276014239026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11.508907338266242</v>
      </c>
      <c r="AA117" s="23">
        <f>EXP(-LN(2)/25)*AA116+(1-EXP(-LN(2)/25))/(LN(2)/25)*Calculateur!V117*Calculateur!X117*VLOOKUP('Données projet'!$B$9,Paramètres!$A$1:$I$89,3,0)*0.475*44/12</f>
        <v>1.3610325759640423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12.869939914230285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>
        <f>AI117*VLOOKUP('Données projet'!$B$10,Paramètres!$A$1:$I$89,3,0)*VLOOKUP('Données projet'!$B$10,Paramètres!$A$1:$I$89,5,0)</f>
        <v>0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82.437379371146534</v>
      </c>
      <c r="AO117" s="62">
        <f t="shared" si="90"/>
        <v>384.46649239172427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12.709222827533269</v>
      </c>
      <c r="AV117" s="23">
        <f>EXP(-LN(2)/25)*AV116+(1-EXP(-LN(2)/25))/(LN(2)/25)*Calculateur!AQ117*Calculateur!AS117*VLOOKUP('Données projet'!$B$10,Paramètres!$A$1:$I$89,3,0)*0.475*44/12</f>
        <v>1.5029807587332999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14.212203586266568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>
        <f>BD117*VLOOKUP('Données projet'!$B$11,Paramètres!$A$1:$I$89,3,0)*VLOOKUP('Données projet'!$B$11,Paramètres!$A$1:$I$89,5,0)</f>
        <v>0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83.883967208992033</v>
      </c>
      <c r="BJ117" s="62">
        <f t="shared" si="92"/>
        <v>391.78028845111544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12.991650001478471</v>
      </c>
      <c r="BQ117" s="23">
        <f>EXP(-LN(2)/25)*BQ116+(1-EXP(-LN(2)/25))/(LN(2)/25)*Calculateur!BL117*Calculateur!BN117*VLOOKUP('Données projet'!$B$11,Paramètres!$A$1:$I$89,3,0)*0.475*44/12</f>
        <v>1.5363803311495963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14.528030332628067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135.66666666666666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76.280749912424909</v>
      </c>
      <c r="T118" s="62">
        <f t="shared" si="88"/>
        <v>353.34276014239026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11.283224685103177</v>
      </c>
      <c r="AA118" s="23">
        <f>EXP(-LN(2)/25)*AA117+(1-EXP(-LN(2)/25))/(LN(2)/25)*Calculateur!V118*Calculateur!X118*VLOOKUP('Données projet'!$B$9,Paramètres!$A$1:$I$89,3,0)*0.475*44/12</f>
        <v>1.3238150686007131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12.607039753703889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>
        <f>AI118*VLOOKUP('Données projet'!$B$10,Paramètres!$A$1:$I$89,3,0)*VLOOKUP('Données projet'!$B$10,Paramètres!$A$1:$I$89,5,0)</f>
        <v>0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82.437379371146534</v>
      </c>
      <c r="AO118" s="62">
        <f t="shared" si="90"/>
        <v>384.46649239172427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12.460002719745834</v>
      </c>
      <c r="AV118" s="23">
        <f>EXP(-LN(2)/25)*AV117+(1-EXP(-LN(2)/25))/(LN(2)/25)*Calculateur!AQ118*Calculateur!AS118*VLOOKUP('Données projet'!$B$10,Paramètres!$A$1:$I$89,3,0)*0.475*44/12</f>
        <v>1.4618816708474149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13.921884390593249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>
        <f>BD118*VLOOKUP('Données projet'!$B$11,Paramètres!$A$1:$I$89,3,0)*VLOOKUP('Données projet'!$B$11,Paramètres!$A$1:$I$89,5,0)</f>
        <v>0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83.883967208992033</v>
      </c>
      <c r="BJ118" s="62">
        <f t="shared" si="92"/>
        <v>391.78028845111544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12.736891669073536</v>
      </c>
      <c r="BQ118" s="23">
        <f>EXP(-LN(2)/25)*BQ117+(1-EXP(-LN(2)/25))/(LN(2)/25)*Calculateur!BL118*Calculateur!BN118*VLOOKUP('Données projet'!$B$11,Paramètres!$A$1:$I$89,3,0)*0.475*44/12</f>
        <v>1.4943679301995805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14.231259599273116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135.66666666666666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76.280749912424909</v>
      </c>
      <c r="T119" s="62">
        <f t="shared" si="88"/>
        <v>353.34276014239026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11.061967531115812</v>
      </c>
      <c r="AA119" s="23">
        <f>EXP(-LN(2)/25)*AA118+(1-EXP(-LN(2)/25))/(LN(2)/25)*Calculateur!V119*Calculateur!X119*VLOOKUP('Données projet'!$B$9,Paramètres!$A$1:$I$89,3,0)*0.475*44/12</f>
        <v>1.2876152759334178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12.349582807049229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>
        <f>AI119*VLOOKUP('Données projet'!$B$10,Paramètres!$A$1:$I$89,3,0)*VLOOKUP('Données projet'!$B$10,Paramètres!$A$1:$I$89,5,0)</f>
        <v>0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82.437379371146534</v>
      </c>
      <c r="AO119" s="62">
        <f t="shared" si="90"/>
        <v>384.46649239172427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12.215669666262855</v>
      </c>
      <c r="AV119" s="23">
        <f>EXP(-LN(2)/25)*AV118+(1-EXP(-LN(2)/25))/(LN(2)/25)*Calculateur!AQ119*Calculateur!AS119*VLOOKUP('Données projet'!$B$10,Paramètres!$A$1:$I$89,3,0)*0.475*44/12</f>
        <v>1.4219064396810766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13.637576105943932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>
        <f>BD119*VLOOKUP('Données projet'!$B$11,Paramètres!$A$1:$I$89,3,0)*VLOOKUP('Données projet'!$B$11,Paramètres!$A$1:$I$89,5,0)</f>
        <v>0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83.883967208992033</v>
      </c>
      <c r="BJ119" s="62">
        <f t="shared" si="92"/>
        <v>391.78028845111544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12.487128992179823</v>
      </c>
      <c r="BQ119" s="23">
        <f>EXP(-LN(2)/25)*BQ118+(1-EXP(-LN(2)/25))/(LN(2)/25)*Calculateur!BL119*Calculateur!BN119*VLOOKUP('Données projet'!$B$11,Paramètres!$A$1:$I$89,3,0)*0.475*44/12</f>
        <v>1.453504360562879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13.940633352742703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135.66666666666666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76.280749912424909</v>
      </c>
      <c r="T120" s="62">
        <f t="shared" si="88"/>
        <v>353.34276014239026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10.845049094964601</v>
      </c>
      <c r="AA120" s="23">
        <f>EXP(-LN(2)/25)*AA119+(1-EXP(-LN(2)/25))/(LN(2)/25)*Calculateur!V120*Calculateur!X120*VLOOKUP('Données projet'!$B$9,Paramètres!$A$1:$I$89,3,0)*0.475*44/12</f>
        <v>1.2524053685002741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12.097454463464874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>
        <f>AI120*VLOOKUP('Données projet'!$B$10,Paramètres!$A$1:$I$89,3,0)*VLOOKUP('Données projet'!$B$10,Paramètres!$A$1:$I$89,5,0)</f>
        <v>0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82.437379371146534</v>
      </c>
      <c r="AO120" s="62">
        <f t="shared" si="90"/>
        <v>384.46649239172427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11.97612783493023</v>
      </c>
      <c r="AV120" s="23">
        <f>EXP(-LN(2)/25)*AV119+(1-EXP(-LN(2)/25))/(LN(2)/25)*Calculateur!AQ120*Calculateur!AS120*VLOOKUP('Données projet'!$B$10,Paramètres!$A$1:$I$89,3,0)*0.475*44/12</f>
        <v>1.3830243333131877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13.359152168243417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>
        <f>BD120*VLOOKUP('Données projet'!$B$11,Paramètres!$A$1:$I$89,3,0)*VLOOKUP('Données projet'!$B$11,Paramètres!$A$1:$I$89,5,0)</f>
        <v>0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83.883967208992033</v>
      </c>
      <c r="BJ120" s="62">
        <f t="shared" si="92"/>
        <v>391.78028845111544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12.242264009039806</v>
      </c>
      <c r="BQ120" s="23">
        <f>EXP(-LN(2)/25)*BQ119+(1-EXP(-LN(2)/25))/(LN(2)/25)*Calculateur!BL120*Calculateur!BN120*VLOOKUP('Données projet'!$B$11,Paramètres!$A$1:$I$89,3,0)*0.475*44/12</f>
        <v>1.4137582073868149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13.656022216426621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135.66666666666666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76.280749912424909</v>
      </c>
      <c r="T121" s="62">
        <f t="shared" si="88"/>
        <v>353.34276014239026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10.632384297039133</v>
      </c>
      <c r="AA121" s="23">
        <f>EXP(-LN(2)/25)*AA120+(1-EXP(-LN(2)/25))/(LN(2)/25)*Calculateur!V121*Calculateur!X121*VLOOKUP('Données projet'!$B$9,Paramètres!$A$1:$I$89,3,0)*0.475*44/12</f>
        <v>1.2181582778374982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11.850542574876631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>
        <f>AI121*VLOOKUP('Données projet'!$B$10,Paramètres!$A$1:$I$89,3,0)*VLOOKUP('Données projet'!$B$10,Paramètres!$A$1:$I$89,5,0)</f>
        <v>0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82.437379371146534</v>
      </c>
      <c r="AO121" s="62">
        <f t="shared" si="90"/>
        <v>384.46649239172427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11.741283272803946</v>
      </c>
      <c r="AV121" s="23">
        <f>EXP(-LN(2)/25)*AV120+(1-EXP(-LN(2)/25))/(LN(2)/25)*Calculateur!AQ121*Calculateur!AS121*VLOOKUP('Données projet'!$B$10,Paramètres!$A$1:$I$89,3,0)*0.475*44/12</f>
        <v>1.3452054601886498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13.086488732992596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>
        <f>BD121*VLOOKUP('Données projet'!$B$11,Paramètres!$A$1:$I$89,3,0)*VLOOKUP('Données projet'!$B$11,Paramètres!$A$1:$I$89,5,0)</f>
        <v>0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83.883967208992033</v>
      </c>
      <c r="BJ121" s="62">
        <f t="shared" si="92"/>
        <v>391.78028845111544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12.002200678866272</v>
      </c>
      <c r="BQ121" s="23">
        <f>EXP(-LN(2)/25)*BQ120+(1-EXP(-LN(2)/25))/(LN(2)/25)*Calculateur!BL121*Calculateur!BN121*VLOOKUP('Données projet'!$B$11,Paramètres!$A$1:$I$89,3,0)*0.475*44/12</f>
        <v>1.3750989148595094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13.37729959372578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135.66666666666666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76.280749912424909</v>
      </c>
      <c r="T122" s="62">
        <f t="shared" si="88"/>
        <v>353.34276014239026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10.423889726088264</v>
      </c>
      <c r="AA122" s="23">
        <f>EXP(-LN(2)/25)*AA121+(1-EXP(-LN(2)/25))/(LN(2)/25)*Calculateur!V122*Calculateur!X122*VLOOKUP('Données projet'!$B$9,Paramètres!$A$1:$I$89,3,0)*0.475*44/12</f>
        <v>1.184847675669872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11.608737401758136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>
        <f>AI122*VLOOKUP('Données projet'!$B$10,Paramètres!$A$1:$I$89,3,0)*VLOOKUP('Données projet'!$B$10,Paramètres!$A$1:$I$89,5,0)</f>
        <v>0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82.437379371146534</v>
      </c>
      <c r="AO122" s="62">
        <f t="shared" si="90"/>
        <v>384.46649239172427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11.51104386929992</v>
      </c>
      <c r="AV122" s="23">
        <f>EXP(-LN(2)/25)*AV121+(1-EXP(-LN(2)/25))/(LN(2)/25)*Calculateur!AQ122*Calculateur!AS122*VLOOKUP('Données projet'!$B$10,Paramètres!$A$1:$I$89,3,0)*0.475*44/12</f>
        <v>1.3084207461385107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12.819464615438431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>
        <f>BD122*VLOOKUP('Données projet'!$B$11,Paramètres!$A$1:$I$89,3,0)*VLOOKUP('Données projet'!$B$11,Paramètres!$A$1:$I$89,5,0)</f>
        <v>0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83.883967208992033</v>
      </c>
      <c r="BJ122" s="62">
        <f t="shared" si="92"/>
        <v>391.78028845111544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11.766844844173267</v>
      </c>
      <c r="BQ122" s="23">
        <f>EXP(-LN(2)/25)*BQ121+(1-EXP(-LN(2)/25))/(LN(2)/25)*Calculateur!BL122*Calculateur!BN122*VLOOKUP('Données projet'!$B$11,Paramètres!$A$1:$I$89,3,0)*0.475*44/12</f>
        <v>1.337496762719367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13.104341606892634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135.66666666666666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76.280749912424909</v>
      </c>
      <c r="T123" s="62">
        <f t="shared" si="88"/>
        <v>353.34276014239026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10.21948360650461</v>
      </c>
      <c r="AA123" s="23">
        <f>EXP(-LN(2)/25)*AA122+(1-EXP(-LN(2)/25))/(LN(2)/25)*Calculateur!V123*Calculateur!X123*VLOOKUP('Données projet'!$B$9,Paramètres!$A$1:$I$89,3,0)*0.475*44/12</f>
        <v>1.1524479536702481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11.371931560174858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>
        <f>AI123*VLOOKUP('Données projet'!$B$10,Paramètres!$A$1:$I$89,3,0)*VLOOKUP('Données projet'!$B$10,Paramètres!$A$1:$I$89,5,0)</f>
        <v>0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82.437379371146534</v>
      </c>
      <c r="AO123" s="62">
        <f t="shared" si="90"/>
        <v>384.46649239172427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11.285319320066439</v>
      </c>
      <c r="AV123" s="23">
        <f>EXP(-LN(2)/25)*AV122+(1-EXP(-LN(2)/25))/(LN(2)/25)*Calculateur!AQ123*Calculateur!AS123*VLOOKUP('Données projet'!$B$10,Paramètres!$A$1:$I$89,3,0)*0.475*44/12</f>
        <v>1.2726419120284964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12.557961232094936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>
        <f>BD123*VLOOKUP('Données projet'!$B$11,Paramètres!$A$1:$I$89,3,0)*VLOOKUP('Données projet'!$B$11,Paramètres!$A$1:$I$89,5,0)</f>
        <v>0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83.883967208992033</v>
      </c>
      <c r="BJ123" s="62">
        <f t="shared" si="92"/>
        <v>391.78028845111544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11.536104193845707</v>
      </c>
      <c r="BQ123" s="23">
        <f>EXP(-LN(2)/25)*BQ122+(1-EXP(-LN(2)/25))/(LN(2)/25)*Calculateur!BL123*Calculateur!BN123*VLOOKUP('Données projet'!$B$11,Paramètres!$A$1:$I$89,3,0)*0.475*44/12</f>
        <v>1.300922843406908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12.837027037252616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135.66666666666666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76.280749912424909</v>
      </c>
      <c r="T124" s="62">
        <f t="shared" si="88"/>
        <v>353.34276014239026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10.019085766250571</v>
      </c>
      <c r="AA124" s="23">
        <f>EXP(-LN(2)/25)*AA123+(1-EXP(-LN(2)/25))/(LN(2)/25)*Calculateur!V124*Calculateur!X124*VLOOKUP('Données projet'!$B$9,Paramètres!$A$1:$I$89,3,0)*0.475*44/12</f>
        <v>1.1209342037725312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11.140019970023102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>
        <f>AI124*VLOOKUP('Données projet'!$B$10,Paramètres!$A$1:$I$89,3,0)*VLOOKUP('Données projet'!$B$10,Paramètres!$A$1:$I$89,5,0)</f>
        <v>0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82.437379371146534</v>
      </c>
      <c r="AO124" s="62">
        <f t="shared" si="90"/>
        <v>384.46649239172427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11.064021091565046</v>
      </c>
      <c r="AV124" s="23">
        <f>EXP(-LN(2)/25)*AV123+(1-EXP(-LN(2)/25))/(LN(2)/25)*Calculateur!AQ124*Calculateur!AS124*VLOOKUP('Données projet'!$B$10,Paramètres!$A$1:$I$89,3,0)*0.475*44/12</f>
        <v>1.2378414520187477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12.301862543583793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>
        <f>BD124*VLOOKUP('Données projet'!$B$11,Paramètres!$A$1:$I$89,3,0)*VLOOKUP('Données projet'!$B$11,Paramètres!$A$1:$I$89,5,0)</f>
        <v>0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83.883967208992033</v>
      </c>
      <c r="BJ124" s="62">
        <f t="shared" si="92"/>
        <v>391.78028845111544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11.309888226933172</v>
      </c>
      <c r="BQ124" s="23">
        <f>EXP(-LN(2)/25)*BQ123+(1-EXP(-LN(2)/25))/(LN(2)/25)*Calculateur!BL124*Calculateur!BN124*VLOOKUP('Données projet'!$B$11,Paramètres!$A$1:$I$89,3,0)*0.475*44/12</f>
        <v>1.2653490398413871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12.575237266774559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135.66666666666666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76.280749912424909</v>
      </c>
      <c r="T125" s="62">
        <f t="shared" si="88"/>
        <v>353.34276014239026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9.8226176054132992</v>
      </c>
      <c r="AA125" s="23">
        <f>EXP(-LN(2)/25)*AA124+(1-EXP(-LN(2)/25))/(LN(2)/25)*Calculateur!V125*Calculateur!X125*VLOOKUP('Données projet'!$B$9,Paramètres!$A$1:$I$89,3,0)*0.475*44/12</f>
        <v>1.0902821990230034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10.912899804436302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>
        <f>AI125*VLOOKUP('Données projet'!$B$10,Paramètres!$A$1:$I$89,3,0)*VLOOKUP('Données projet'!$B$10,Paramètres!$A$1:$I$89,5,0)</f>
        <v>0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82.437379371146534</v>
      </c>
      <c r="AO125" s="62">
        <f t="shared" si="90"/>
        <v>384.46649239172427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10.847062386345973</v>
      </c>
      <c r="AV125" s="23">
        <f>EXP(-LN(2)/25)*AV124+(1-EXP(-LN(2)/25))/(LN(2)/25)*Calculateur!AQ125*Calculateur!AS125*VLOOKUP('Données projet'!$B$10,Paramètres!$A$1:$I$89,3,0)*0.475*44/12</f>
        <v>1.2039926124180422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12.051054998764016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>
        <f>BD125*VLOOKUP('Données projet'!$B$11,Paramètres!$A$1:$I$89,3,0)*VLOOKUP('Données projet'!$B$11,Paramètres!$A$1:$I$89,5,0)</f>
        <v>0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83.883967208992033</v>
      </c>
      <c r="BJ125" s="62">
        <f t="shared" si="92"/>
        <v>391.78028845111544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11.088108217153675</v>
      </c>
      <c r="BQ125" s="23">
        <f>EXP(-LN(2)/25)*BQ124+(1-EXP(-LN(2)/25))/(LN(2)/25)*Calculateur!BL125*Calculateur!BN125*VLOOKUP('Données projet'!$B$11,Paramètres!$A$1:$I$89,3,0)*0.475*44/12</f>
        <v>1.2307480038051104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12.318856220958786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135.66666666666666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76.280749912424909</v>
      </c>
      <c r="T126" s="62">
        <f t="shared" si="88"/>
        <v>353.34276014239026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9.630002065376301</v>
      </c>
      <c r="AA126" s="23">
        <f>EXP(-LN(2)/25)*AA125+(1-EXP(-LN(2)/25))/(LN(2)/25)*Calculateur!V126*Calculateur!X126*VLOOKUP('Données projet'!$B$9,Paramètres!$A$1:$I$89,3,0)*0.475*44/12</f>
        <v>1.0604683749552704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10.690470440331572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>
        <f>AI126*VLOOKUP('Données projet'!$B$10,Paramètres!$A$1:$I$89,3,0)*VLOOKUP('Données projet'!$B$10,Paramètres!$A$1:$I$89,5,0)</f>
        <v>0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82.437379371146534</v>
      </c>
      <c r="AO126" s="62">
        <f t="shared" si="90"/>
        <v>384.46649239172427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10.634358109004504</v>
      </c>
      <c r="AV126" s="23">
        <f>EXP(-LN(2)/25)*AV125+(1-EXP(-LN(2)/25))/(LN(2)/25)*Calculateur!AQ126*Calculateur!AS126*VLOOKUP('Données projet'!$B$10,Paramètres!$A$1:$I$89,3,0)*0.475*44/12</f>
        <v>1.1710693711162512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11.805427480120755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>
        <f>BD126*VLOOKUP('Données projet'!$B$11,Paramètres!$A$1:$I$89,3,0)*VLOOKUP('Données projet'!$B$11,Paramètres!$A$1:$I$89,5,0)</f>
        <v>0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83.883967208992033</v>
      </c>
      <c r="BJ126" s="62">
        <f t="shared" si="92"/>
        <v>391.78028845111544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10.870677178093505</v>
      </c>
      <c r="BQ126" s="23">
        <f>EXP(-LN(2)/25)*BQ125+(1-EXP(-LN(2)/25))/(LN(2)/25)*Calculateur!BL126*Calculateur!BN126*VLOOKUP('Données projet'!$B$11,Paramètres!$A$1:$I$89,3,0)*0.475*44/12</f>
        <v>1.197093134918835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12.067770313012339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135.66666666666666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76.280749912424909</v>
      </c>
      <c r="T127" s="62">
        <f t="shared" si="88"/>
        <v>353.34276014239026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9.4411635985955495</v>
      </c>
      <c r="AA127" s="23">
        <f>EXP(-LN(2)/25)*AA126+(1-EXP(-LN(2)/25))/(LN(2)/25)*Calculateur!V127*Calculateur!X127*VLOOKUP('Données projet'!$B$9,Paramètres!$A$1:$I$89,3,0)*0.475*44/12</f>
        <v>1.0314698114745104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10.47263341007006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>
        <f>AI127*VLOOKUP('Données projet'!$B$10,Paramètres!$A$1:$I$89,3,0)*VLOOKUP('Données projet'!$B$10,Paramètres!$A$1:$I$89,5,0)</f>
        <v>0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82.437379371146534</v>
      </c>
      <c r="AO127" s="62">
        <f t="shared" si="90"/>
        <v>384.46649239172427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10.425824832804901</v>
      </c>
      <c r="AV127" s="23">
        <f>EXP(-LN(2)/25)*AV126+(1-EXP(-LN(2)/25))/(LN(2)/25)*Calculateur!AQ127*Calculateur!AS127*VLOOKUP('Données projet'!$B$10,Paramètres!$A$1:$I$89,3,0)*0.475*44/12</f>
        <v>1.1390464175792157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11.564871250384117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>
        <f>BD127*VLOOKUP('Données projet'!$B$11,Paramètres!$A$1:$I$89,3,0)*VLOOKUP('Données projet'!$B$11,Paramètres!$A$1:$I$89,5,0)</f>
        <v>0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83.883967208992033</v>
      </c>
      <c r="BJ127" s="62">
        <f t="shared" si="92"/>
        <v>391.78028845111544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10.657509829089467</v>
      </c>
      <c r="BQ127" s="23">
        <f>EXP(-LN(2)/25)*BQ126+(1-EXP(-LN(2)/25))/(LN(2)/25)*Calculateur!BL127*Calculateur!BN127*VLOOKUP('Données projet'!$B$11,Paramètres!$A$1:$I$89,3,0)*0.475*44/12</f>
        <v>1.1643585601920874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11.821868389281555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135.66666666666666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76.280749912424909</v>
      </c>
      <c r="T128" s="62">
        <f t="shared" si="88"/>
        <v>353.34276014239026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9.2560281389682775</v>
      </c>
      <c r="AA128" s="23">
        <f>EXP(-LN(2)/25)*AA127+(1-EXP(-LN(2)/25))/(LN(2)/25)*Calculateur!V128*Calculateur!X128*VLOOKUP('Données projet'!$B$9,Paramètres!$A$1:$I$89,3,0)*0.475*44/12</f>
        <v>1.0032642152371001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10.259292354205378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>
        <f>AI128*VLOOKUP('Données projet'!$B$10,Paramètres!$A$1:$I$89,3,0)*VLOOKUP('Données projet'!$B$10,Paramètres!$A$1:$I$89,5,0)</f>
        <v>0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82.437379371146534</v>
      </c>
      <c r="AO128" s="62">
        <f t="shared" si="90"/>
        <v>384.46649239172427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10.221380766958834</v>
      </c>
      <c r="AV128" s="23">
        <f>EXP(-LN(2)/25)*AV127+(1-EXP(-LN(2)/25))/(LN(2)/25)*Calculateur!AQ128*Calculateur!AS128*VLOOKUP('Données projet'!$B$10,Paramètres!$A$1:$I$89,3,0)*0.475*44/12</f>
        <v>1.1078991333906643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11.329279900349498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>
        <f>BD128*VLOOKUP('Données projet'!$B$11,Paramètres!$A$1:$I$89,3,0)*VLOOKUP('Données projet'!$B$11,Paramètres!$A$1:$I$89,5,0)</f>
        <v>0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83.883967208992033</v>
      </c>
      <c r="BJ128" s="62">
        <f t="shared" si="92"/>
        <v>391.78028845111544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10.448522561780154</v>
      </c>
      <c r="BQ128" s="23">
        <f>EXP(-LN(2)/25)*BQ127+(1-EXP(-LN(2)/25))/(LN(2)/25)*Calculateur!BL128*Calculateur!BN128*VLOOKUP('Données projet'!$B$11,Paramètres!$A$1:$I$89,3,0)*0.475*44/12</f>
        <v>1.1325191141326794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11.581041675912832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135.66666666666666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76.280749912424909</v>
      </c>
      <c r="T129" s="62">
        <f t="shared" si="88"/>
        <v>353.34276014239026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9.0745230727828154</v>
      </c>
      <c r="AA129" s="23">
        <f>EXP(-LN(2)/25)*AA128+(1-EXP(-LN(2)/25))/(LN(2)/25)*Calculateur!V129*Calculateur!X129*VLOOKUP('Données projet'!$B$9,Paramètres!$A$1:$I$89,3,0)*0.475*44/12</f>
        <v>0.97582990251206947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10.050352975294885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>
        <f>AI129*VLOOKUP('Données projet'!$B$10,Paramètres!$A$1:$I$89,3,0)*VLOOKUP('Données projet'!$B$10,Paramètres!$A$1:$I$89,5,0)</f>
        <v>0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82.437379371146534</v>
      </c>
      <c r="AO129" s="62">
        <f t="shared" si="90"/>
        <v>384.46649239172427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10.02094572454544</v>
      </c>
      <c r="AV129" s="23">
        <f>EXP(-LN(2)/25)*AV128+(1-EXP(-LN(2)/25))/(LN(2)/25)*Calculateur!AQ129*Calculateur!AS129*VLOOKUP('Données projet'!$B$10,Paramètres!$A$1:$I$89,3,0)*0.475*44/12</f>
        <v>1.0776035733262133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11.098549297871653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>
        <f>BD129*VLOOKUP('Données projet'!$B$11,Paramètres!$A$1:$I$89,3,0)*VLOOKUP('Données projet'!$B$11,Paramètres!$A$1:$I$89,5,0)</f>
        <v>0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83.883967208992033</v>
      </c>
      <c r="BJ129" s="62">
        <f t="shared" si="92"/>
        <v>391.78028845111544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10.24363340731313</v>
      </c>
      <c r="BQ129" s="23">
        <f>EXP(-LN(2)/25)*BQ128+(1-EXP(-LN(2)/25))/(LN(2)/25)*Calculateur!BL129*Calculateur!BN129*VLOOKUP('Données projet'!$B$11,Paramètres!$A$1:$I$89,3,0)*0.475*44/12</f>
        <v>1.1015503194001295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11.345183726713259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135.66666666666666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76.280749912424909</v>
      </c>
      <c r="T130" s="62">
        <f t="shared" si="88"/>
        <v>353.34276014239026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8.8965772102380924</v>
      </c>
      <c r="AA130" s="23">
        <f>EXP(-LN(2)/25)*AA129+(1-EXP(-LN(2)/25))/(LN(2)/25)*Calculateur!V130*Calculateur!X130*VLOOKUP('Données projet'!$B$9,Paramètres!$A$1:$I$89,3,0)*0.475*44/12</f>
        <v>0.94914578251121262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9.8457229927493053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>
        <f>AI130*VLOOKUP('Données projet'!$B$10,Paramètres!$A$1:$I$89,3,0)*VLOOKUP('Données projet'!$B$10,Paramètres!$A$1:$I$89,5,0)</f>
        <v>0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82.437379371146534</v>
      </c>
      <c r="AO130" s="62">
        <f t="shared" si="90"/>
        <v>384.46649239172427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9.8244410910604696</v>
      </c>
      <c r="AV130" s="23">
        <f>EXP(-LN(2)/25)*AV129+(1-EXP(-LN(2)/25))/(LN(2)/25)*Calculateur!AQ130*Calculateur!AS130*VLOOKUP('Données projet'!$B$10,Paramètres!$A$1:$I$89,3,0)*0.475*44/12</f>
        <v>1.0481364469448988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10.872577538005368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>
        <f>BD130*VLOOKUP('Données projet'!$B$11,Paramètres!$A$1:$I$89,3,0)*VLOOKUP('Données projet'!$B$11,Paramètres!$A$1:$I$89,5,0)</f>
        <v>0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83.883967208992033</v>
      </c>
      <c r="BJ130" s="62">
        <f t="shared" si="92"/>
        <v>391.78028845111544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10.04276200419516</v>
      </c>
      <c r="BQ130" s="23">
        <f>EXP(-LN(2)/25)*BQ129+(1-EXP(-LN(2)/25))/(LN(2)/25)*Calculateur!BL130*Calculateur!BN130*VLOOKUP('Données projet'!$B$11,Paramètres!$A$1:$I$89,3,0)*0.475*44/12</f>
        <v>1.0714283679881194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11.114190372183279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135.66666666666666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76.280749912424909</v>
      </c>
      <c r="T131" s="62">
        <f t="shared" si="88"/>
        <v>353.34276014239026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8.722120757521612</v>
      </c>
      <c r="AA131" s="23">
        <f>EXP(-LN(2)/25)*AA130+(1-EXP(-LN(2)/25))/(LN(2)/25)*Calculateur!V131*Calculateur!X131*VLOOKUP('Données projet'!$B$9,Paramètres!$A$1:$I$89,3,0)*0.475*44/12</f>
        <v>0.9231913411750361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9.6453120986966479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>
        <f>AI131*VLOOKUP('Données projet'!$B$10,Paramètres!$A$1:$I$89,3,0)*VLOOKUP('Données projet'!$B$10,Paramètres!$A$1:$I$89,5,0)</f>
        <v>0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82.437379371146534</v>
      </c>
      <c r="AO131" s="62">
        <f t="shared" si="90"/>
        <v>384.46649239172427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9.631789793582147</v>
      </c>
      <c r="AV131" s="23">
        <f>EXP(-LN(2)/25)*AV130+(1-EXP(-LN(2)/25))/(LN(2)/25)*Calculateur!AQ131*Calculateur!AS131*VLOOKUP('Données projet'!$B$10,Paramètres!$A$1:$I$89,3,0)*0.475*44/12</f>
        <v>1.0194751006840903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10.651264894266237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>
        <f>BD131*VLOOKUP('Données projet'!$B$11,Paramètres!$A$1:$I$89,3,0)*VLOOKUP('Données projet'!$B$11,Paramètres!$A$1:$I$89,5,0)</f>
        <v>0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83.883967208992033</v>
      </c>
      <c r="BJ131" s="62">
        <f t="shared" si="92"/>
        <v>391.78028845111544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9.8458295667728741</v>
      </c>
      <c r="BQ131" s="23">
        <f>EXP(-LN(2)/25)*BQ130+(1-EXP(-LN(2)/25))/(LN(2)/25)*Calculateur!BL131*Calculateur!BN131*VLOOKUP('Données projet'!$B$11,Paramètres!$A$1:$I$89,3,0)*0.475*44/12</f>
        <v>1.0421301029215151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10.887959669694389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135.66666666666666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76.280749912424909</v>
      </c>
      <c r="T132" s="62">
        <f t="shared" si="88"/>
        <v>353.34276014239026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8.5510852894349725</v>
      </c>
      <c r="AA132" s="23">
        <f>EXP(-LN(2)/25)*AA131+(1-EXP(-LN(2)/25))/(LN(2)/25)*Calculateur!V132*Calculateur!X132*VLOOKUP('Données projet'!$B$9,Paramètres!$A$1:$I$89,3,0)*0.475*44/12</f>
        <v>0.89794662540208203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9.4490319148370538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>
        <f>AI132*VLOOKUP('Données projet'!$B$10,Paramètres!$A$1:$I$89,3,0)*VLOOKUP('Données projet'!$B$10,Paramètres!$A$1:$I$89,5,0)</f>
        <v>0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82.437379371146534</v>
      </c>
      <c r="AO132" s="62">
        <f t="shared" si="90"/>
        <v>384.46649239172427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9.4429162705416854</v>
      </c>
      <c r="AV132" s="23">
        <f>EXP(-LN(2)/25)*AV131+(1-EXP(-LN(2)/25))/(LN(2)/25)*Calculateur!AQ132*Calculateur!AS132*VLOOKUP('Données projet'!$B$10,Paramètres!$A$1:$I$89,3,0)*0.475*44/12</f>
        <v>0.9915975004440184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10.434513770985705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>
        <f>BD132*VLOOKUP('Données projet'!$B$11,Paramètres!$A$1:$I$89,3,0)*VLOOKUP('Données projet'!$B$11,Paramètres!$A$1:$I$89,5,0)</f>
        <v>0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83.883967208992033</v>
      </c>
      <c r="BJ132" s="62">
        <f t="shared" si="92"/>
        <v>391.78028845111544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9.6527588543315126</v>
      </c>
      <c r="BQ132" s="23">
        <f>EXP(-LN(2)/25)*BQ131+(1-EXP(-LN(2)/25))/(LN(2)/25)*Calculateur!BL132*Calculateur!BN132*VLOOKUP('Données projet'!$B$11,Paramètres!$A$1:$I$89,3,0)*0.475*44/12</f>
        <v>1.013633000453886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10.666391854785399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135.66666666666666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76.280749912424909</v>
      </c>
      <c r="T133" s="62">
        <f t="shared" ref="T133:T196" si="142">$T$3</f>
        <v>353.34276014239026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8.3834037225561762</v>
      </c>
      <c r="AA133" s="23">
        <f>EXP(-LN(2)/25)*AA132+(1-EXP(-LN(2)/25))/(LN(2)/25)*Calculateur!V133*Calculateur!X133*VLOOKUP('Données projet'!$B$9,Paramètres!$A$1:$I$89,3,0)*0.475*44/12</f>
        <v>0.87339222770950131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9.256795950265678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>
        <f>AI133*VLOOKUP('Données projet'!$B$10,Paramètres!$A$1:$I$89,3,0)*VLOOKUP('Données projet'!$B$10,Paramètres!$A$1:$I$89,5,0)</f>
        <v>0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82.437379371146534</v>
      </c>
      <c r="AO133" s="62">
        <f t="shared" ref="AO133:AO196" si="144">$AO$3</f>
        <v>384.46649239172427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9.2577464420865745</v>
      </c>
      <c r="AV133" s="23">
        <f>EXP(-LN(2)/25)*AV132+(1-EXP(-LN(2)/25))/(LN(2)/25)*Calculateur!AQ133*Calculateur!AS133*VLOOKUP('Données projet'!$B$10,Paramètres!$A$1:$I$89,3,0)*0.475*44/12</f>
        <v>0.96448221464853046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10.222228656735105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>
        <f>BD133*VLOOKUP('Données projet'!$B$11,Paramètres!$A$1:$I$89,3,0)*VLOOKUP('Données projet'!$B$11,Paramètres!$A$1:$I$89,5,0)</f>
        <v>0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83.883967208992033</v>
      </c>
      <c r="BJ133" s="62">
        <f t="shared" ref="BJ133:BJ196" si="146">$BJ$3</f>
        <v>391.78028845111544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9.4634741407996206</v>
      </c>
      <c r="BQ133" s="23">
        <f>EXP(-LN(2)/25)*BQ132+(1-EXP(-LN(2)/25))/(LN(2)/25)*Calculateur!BL133*Calculateur!BN133*VLOOKUP('Données projet'!$B$11,Paramètres!$A$1:$I$89,3,0)*0.475*44/12</f>
        <v>0.98591515275183172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10.449389293551452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135.66666666666666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76.280749912424909</v>
      </c>
      <c r="T134" s="62">
        <f t="shared" si="142"/>
        <v>353.34276014239026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8.2190102889282173</v>
      </c>
      <c r="AA134" s="23">
        <f>EXP(-LN(2)/25)*AA133+(1-EXP(-LN(2)/25))/(LN(2)/25)*Calculateur!V134*Calculateur!X134*VLOOKUP('Données projet'!$B$9,Paramètres!$A$1:$I$89,3,0)*0.475*44/12</f>
        <v>0.84950927131308396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9.0685195602413007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>
        <f>AI134*VLOOKUP('Données projet'!$B$10,Paramètres!$A$1:$I$89,3,0)*VLOOKUP('Données projet'!$B$10,Paramètres!$A$1:$I$89,5,0)</f>
        <v>0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82.437379371146534</v>
      </c>
      <c r="AO134" s="62">
        <f t="shared" si="144"/>
        <v>384.46649239172427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9.076207681025025</v>
      </c>
      <c r="AV134" s="23">
        <f>EXP(-LN(2)/25)*AV133+(1-EXP(-LN(2)/25))/(LN(2)/25)*Calculateur!AQ134*Calculateur!AS134*VLOOKUP('Données projet'!$B$10,Paramètres!$A$1:$I$89,3,0)*0.475*44/12</f>
        <v>0.93810839776905108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10.014316078794076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>
        <f>BD134*VLOOKUP('Données projet'!$B$11,Paramètres!$A$1:$I$89,3,0)*VLOOKUP('Données projet'!$B$11,Paramètres!$A$1:$I$89,5,0)</f>
        <v>0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83.883967208992033</v>
      </c>
      <c r="BJ134" s="62">
        <f t="shared" si="146"/>
        <v>391.78028845111544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9.2779011850478135</v>
      </c>
      <c r="BQ134" s="23">
        <f>EXP(-LN(2)/25)*BQ133+(1-EXP(-LN(2)/25))/(LN(2)/25)*Calculateur!BL134*Calculateur!BN134*VLOOKUP('Données projet'!$B$11,Paramètres!$A$1:$I$89,3,0)*0.475*44/12</f>
        <v>0.95895525105280832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10.236856436100622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135.66666666666666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76.280749912424909</v>
      </c>
      <c r="T135" s="62">
        <f t="shared" si="142"/>
        <v>353.34276014239026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8.0578405102636079</v>
      </c>
      <c r="AA135" s="23">
        <f>EXP(-LN(2)/25)*AA134+(1-EXP(-LN(2)/25))/(LN(2)/25)*Calculateur!V135*Calculateur!X135*VLOOKUP('Données projet'!$B$9,Paramètres!$A$1:$I$89,3,0)*0.475*44/12</f>
        <v>0.82627939561527664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8.8841199058788849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>
        <f>AI135*VLOOKUP('Données projet'!$B$10,Paramètres!$A$1:$I$89,3,0)*VLOOKUP('Données projet'!$B$10,Paramètres!$A$1:$I$89,5,0)</f>
        <v>0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82.437379371146534</v>
      </c>
      <c r="AO135" s="62">
        <f t="shared" si="144"/>
        <v>384.46649239172427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8.8982287843401817</v>
      </c>
      <c r="AV135" s="23">
        <f>EXP(-LN(2)/25)*AV134+(1-EXP(-LN(2)/25))/(LN(2)/25)*Calculateur!AQ135*Calculateur!AS135*VLOOKUP('Données projet'!$B$10,Paramètres!$A$1:$I$89,3,0)*0.475*44/12</f>
        <v>0.91245577429907987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9.8106845586392613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>
        <f>BD135*VLOOKUP('Données projet'!$B$11,Paramètres!$A$1:$I$89,3,0)*VLOOKUP('Données projet'!$B$11,Paramètres!$A$1:$I$89,5,0)</f>
        <v>0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83.883967208992033</v>
      </c>
      <c r="BJ135" s="62">
        <f t="shared" si="146"/>
        <v>391.78028845111544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9.0959672017699731</v>
      </c>
      <c r="BQ135" s="23">
        <f>EXP(-LN(2)/25)*BQ134+(1-EXP(-LN(2)/25))/(LN(2)/25)*Calculateur!BL135*Calculateur!BN135*VLOOKUP('Données projet'!$B$11,Paramètres!$A$1:$I$89,3,0)*0.475*44/12</f>
        <v>0.93273256928350434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10.028699771053477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135.66666666666666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76.280749912424909</v>
      </c>
      <c r="T136" s="62">
        <f t="shared" si="142"/>
        <v>353.34276014239026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7.8998311726547543</v>
      </c>
      <c r="AA136" s="23">
        <f>EXP(-LN(2)/25)*AA135+(1-EXP(-LN(2)/25))/(LN(2)/25)*Calculateur!V136*Calculateur!X136*VLOOKUP('Données projet'!$B$9,Paramètres!$A$1:$I$89,3,0)*0.475*44/12</f>
        <v>0.80368474209003193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8.703515914744786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>
        <f>AI136*VLOOKUP('Données projet'!$B$10,Paramètres!$A$1:$I$89,3,0)*VLOOKUP('Données projet'!$B$10,Paramètres!$A$1:$I$89,5,0)</f>
        <v>0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82.437379371146534</v>
      </c>
      <c r="AO136" s="62">
        <f t="shared" si="144"/>
        <v>384.46649239172427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8.7237399452629187</v>
      </c>
      <c r="AV136" s="23">
        <f>EXP(-LN(2)/25)*AV135+(1-EXP(-LN(2)/25))/(LN(2)/25)*Calculateur!AQ136*Calculateur!AS136*VLOOKUP('Données projet'!$B$10,Paramètres!$A$1:$I$89,3,0)*0.475*44/12</f>
        <v>0.88750462316690781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9.6112445684298269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>
        <f>BD136*VLOOKUP('Données projet'!$B$11,Paramètres!$A$1:$I$89,3,0)*VLOOKUP('Données projet'!$B$11,Paramètres!$A$1:$I$89,5,0)</f>
        <v>0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83.883967208992033</v>
      </c>
      <c r="BJ136" s="62">
        <f t="shared" si="146"/>
        <v>391.78028845111544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8.9176008329354381</v>
      </c>
      <c r="BQ136" s="23">
        <f>EXP(-LN(2)/25)*BQ135+(1-EXP(-LN(2)/25))/(LN(2)/25)*Calculateur!BL136*Calculateur!BN136*VLOOKUP('Données projet'!$B$11,Paramètres!$A$1:$I$89,3,0)*0.475*44/12</f>
        <v>0.90722694812617288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9.8248277810616109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135.66666666666666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76.280749912424909</v>
      </c>
      <c r="T137" s="62">
        <f t="shared" si="142"/>
        <v>353.34276014239026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7.7449203017802306</v>
      </c>
      <c r="AA137" s="23">
        <f>EXP(-LN(2)/25)*AA136+(1-EXP(-LN(2)/25))/(LN(2)/25)*Calculateur!V137*Calculateur!X137*VLOOKUP('Données projet'!$B$9,Paramètres!$A$1:$I$89,3,0)*0.475*44/12</f>
        <v>0.78170794055363624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8.5266282423338673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>
        <f>AI137*VLOOKUP('Données projet'!$B$10,Paramètres!$A$1:$I$89,3,0)*VLOOKUP('Données projet'!$B$10,Paramètres!$A$1:$I$89,5,0)</f>
        <v>0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82.437379371146534</v>
      </c>
      <c r="AO137" s="62">
        <f t="shared" si="144"/>
        <v>384.46649239172427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8.552672725892279</v>
      </c>
      <c r="AV137" s="23">
        <f>EXP(-LN(2)/25)*AV136+(1-EXP(-LN(2)/25))/(LN(2)/25)*Calculateur!AQ137*Calculateur!AS137*VLOOKUP('Données projet'!$B$10,Paramètres!$A$1:$I$89,3,0)*0.475*44/12</f>
        <v>0.86323576257456902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9.4159084884668474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>
        <f>BD137*VLOOKUP('Données projet'!$B$11,Paramètres!$A$1:$I$89,3,0)*VLOOKUP('Données projet'!$B$11,Paramètres!$A$1:$I$89,5,0)</f>
        <v>0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83.883967208992033</v>
      </c>
      <c r="BJ137" s="62">
        <f t="shared" si="146"/>
        <v>391.78028845111544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8.7427321198010066</v>
      </c>
      <c r="BQ137" s="23">
        <f>EXP(-LN(2)/25)*BQ136+(1-EXP(-LN(2)/25))/(LN(2)/25)*Calculateur!BL137*Calculateur!BN137*VLOOKUP('Données projet'!$B$11,Paramètres!$A$1:$I$89,3,0)*0.475*44/12</f>
        <v>0.88241877952067094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9.6251508993216781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135.66666666666666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76.280749912424909</v>
      </c>
      <c r="T138" s="62">
        <f t="shared" si="142"/>
        <v>353.34276014239026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7.5930471385972549</v>
      </c>
      <c r="AA138" s="23">
        <f>EXP(-LN(2)/25)*AA137+(1-EXP(-LN(2)/25))/(LN(2)/25)*Calculateur!V138*Calculateur!X138*VLOOKUP('Données projet'!$B$9,Paramètres!$A$1:$I$89,3,0)*0.475*44/12</f>
        <v>0.76033209581096306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8.3533792344082176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>
        <f>AI138*VLOOKUP('Données projet'!$B$10,Paramètres!$A$1:$I$89,3,0)*VLOOKUP('Données projet'!$B$10,Paramètres!$A$1:$I$89,5,0)</f>
        <v>0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82.437379371146534</v>
      </c>
      <c r="AO138" s="62">
        <f t="shared" si="144"/>
        <v>384.46649239172427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8.3849600303527954</v>
      </c>
      <c r="AV138" s="23">
        <f>EXP(-LN(2)/25)*AV137+(1-EXP(-LN(2)/25))/(LN(2)/25)*Calculateur!AQ138*Calculateur!AS138*VLOOKUP('Données projet'!$B$10,Paramètres!$A$1:$I$89,3,0)*0.475*44/12</f>
        <v>0.83963053525137166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9.2245905656041671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>
        <f>BD138*VLOOKUP('Données projet'!$B$11,Paramètres!$A$1:$I$89,3,0)*VLOOKUP('Données projet'!$B$11,Paramètres!$A$1:$I$89,5,0)</f>
        <v>0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83.883967208992033</v>
      </c>
      <c r="BJ138" s="62">
        <f t="shared" si="146"/>
        <v>391.78028845111544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8.5712924754717577</v>
      </c>
      <c r="BQ138" s="23">
        <f>EXP(-LN(2)/25)*BQ137+(1-EXP(-LN(2)/25))/(LN(2)/25)*Calculateur!BL138*Calculateur!BN138*VLOOKUP('Données projet'!$B$11,Paramètres!$A$1:$I$89,3,0)*0.475*44/12</f>
        <v>0.85828899159029137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9.4295814670620484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135.66666666666666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76.280749912424909</v>
      </c>
      <c r="T139" s="62">
        <f t="shared" si="142"/>
        <v>353.34276014239026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7.4441521155108141</v>
      </c>
      <c r="AA139" s="23">
        <f>EXP(-LN(2)/25)*AA138+(1-EXP(-LN(2)/25))/(LN(2)/25)*Calculateur!V139*Calculateur!X139*VLOOKUP('Données projet'!$B$9,Paramètres!$A$1:$I$89,3,0)*0.475*44/12</f>
        <v>0.73954077466688517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8.1836928901776993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>
        <f>AI139*VLOOKUP('Données projet'!$B$10,Paramètres!$A$1:$I$89,3,0)*VLOOKUP('Données projet'!$B$10,Paramètres!$A$1:$I$89,5,0)</f>
        <v>0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82.437379371146534</v>
      </c>
      <c r="AO139" s="62">
        <f t="shared" si="144"/>
        <v>384.46649239172427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8.2205360784781991</v>
      </c>
      <c r="AV139" s="23">
        <f>EXP(-LN(2)/25)*AV138+(1-EXP(-LN(2)/25))/(LN(2)/25)*Calculateur!AQ139*Calculateur!AS139*VLOOKUP('Données projet'!$B$10,Paramètres!$A$1:$I$89,3,0)*0.475*44/12</f>
        <v>0.816670794110672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9.0372068725888717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>
        <f>BD139*VLOOKUP('Données projet'!$B$11,Paramètres!$A$1:$I$89,3,0)*VLOOKUP('Données projet'!$B$11,Paramètres!$A$1:$I$89,5,0)</f>
        <v>0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83.883967208992033</v>
      </c>
      <c r="BJ139" s="62">
        <f t="shared" si="146"/>
        <v>391.78028845111544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8.4032146579999463</v>
      </c>
      <c r="BQ139" s="23">
        <f>EXP(-LN(2)/25)*BQ138+(1-EXP(-LN(2)/25))/(LN(2)/25)*Calculateur!BL139*Calculateur!BN139*VLOOKUP('Données projet'!$B$11,Paramètres!$A$1:$I$89,3,0)*0.475*44/12</f>
        <v>0.8348190339797984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9.2380336919797443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135.66666666666666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76.280749912424909</v>
      </c>
      <c r="T140" s="62">
        <f t="shared" si="142"/>
        <v>353.34276014239026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7.2981768330101016</v>
      </c>
      <c r="AA140" s="23">
        <f>EXP(-LN(2)/25)*AA139+(1-EXP(-LN(2)/25))/(LN(2)/25)*Calculateur!V140*Calculateur!X140*VLOOKUP('Données projet'!$B$9,Paramètres!$A$1:$I$89,3,0)*0.475*44/12</f>
        <v>0.71931799329286006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8.0174948263029613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>
        <f>AI140*VLOOKUP('Données projet'!$B$10,Paramètres!$A$1:$I$89,3,0)*VLOOKUP('Données projet'!$B$10,Paramètres!$A$1:$I$89,5,0)</f>
        <v>0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82.437379371146534</v>
      </c>
      <c r="AO140" s="62">
        <f t="shared" si="144"/>
        <v>384.46649239172427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8.059336380011155</v>
      </c>
      <c r="AV140" s="23">
        <f>EXP(-LN(2)/25)*AV139+(1-EXP(-LN(2)/25))/(LN(2)/25)*Calculateur!AQ140*Calculateur!AS140*VLOOKUP('Données projet'!$B$10,Paramètres!$A$1:$I$89,3,0)*0.475*44/12</f>
        <v>0.79433888829886512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8.8536752683100204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>
        <f>BD140*VLOOKUP('Données projet'!$B$11,Paramètres!$A$1:$I$89,3,0)*VLOOKUP('Données projet'!$B$11,Paramètres!$A$1:$I$89,5,0)</f>
        <v>0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83.883967208992033</v>
      </c>
      <c r="BJ140" s="62">
        <f t="shared" si="146"/>
        <v>391.78028845111544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8.238432744011412</v>
      </c>
      <c r="BQ140" s="23">
        <f>EXP(-LN(2)/25)*BQ139+(1-EXP(-LN(2)/25))/(LN(2)/25)*Calculateur!BL140*Calculateur!BN140*VLOOKUP('Données projet'!$B$11,Paramètres!$A$1:$I$89,3,0)*0.475*44/12</f>
        <v>0.81199086359439587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9.0504236076058078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135.66666666666666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76.280749912424909</v>
      </c>
      <c r="T141" s="62">
        <f t="shared" si="142"/>
        <v>353.34276014239026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7.1550640367630978</v>
      </c>
      <c r="AA141" s="23">
        <f>EXP(-LN(2)/25)*AA140+(1-EXP(-LN(2)/25))/(LN(2)/25)*Calculateur!V141*Calculateur!X141*VLOOKUP('Données projet'!$B$9,Paramètres!$A$1:$I$89,3,0)*0.475*44/12</f>
        <v>0.6996482049389775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7.8547122417020754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>
        <f>AI141*VLOOKUP('Données projet'!$B$10,Paramètres!$A$1:$I$89,3,0)*VLOOKUP('Données projet'!$B$10,Paramètres!$A$1:$I$89,5,0)</f>
        <v>0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82.437379371146534</v>
      </c>
      <c r="AO141" s="62">
        <f t="shared" si="144"/>
        <v>384.46649239172427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7.9012977093089418</v>
      </c>
      <c r="AV141" s="23">
        <f>EXP(-LN(2)/25)*AV140+(1-EXP(-LN(2)/25))/(LN(2)/25)*Calculateur!AQ141*Calculateur!AS141*VLOOKUP('Données projet'!$B$10,Paramètres!$A$1:$I$89,3,0)*0.475*44/12</f>
        <v>0.77261764962586599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8.6739153589348081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>
        <f>BD141*VLOOKUP('Données projet'!$B$11,Paramètres!$A$1:$I$89,3,0)*VLOOKUP('Données projet'!$B$11,Paramètres!$A$1:$I$89,5,0)</f>
        <v>0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83.883967208992033</v>
      </c>
      <c r="BJ141" s="62">
        <f t="shared" si="146"/>
        <v>391.78028845111544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8.0768821028491491</v>
      </c>
      <c r="BQ141" s="23">
        <f>EXP(-LN(2)/25)*BQ140+(1-EXP(-LN(2)/25))/(LN(2)/25)*Calculateur!BL141*Calculateur!BN141*VLOOKUP('Données projet'!$B$11,Paramètres!$A$1:$I$89,3,0)*0.475*44/12</f>
        <v>0.78978693072866346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8.8666690335778124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135.66666666666666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76.280749912424909</v>
      </c>
      <c r="T142" s="62">
        <f t="shared" si="142"/>
        <v>353.34276014239026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7.0147575951603107</v>
      </c>
      <c r="AA142" s="23">
        <f>EXP(-LN(2)/25)*AA141+(1-EXP(-LN(2)/25))/(LN(2)/25)*Calculateur!V142*Calculateur!X142*VLOOKUP('Données projet'!$B$9,Paramètres!$A$1:$I$89,3,0)*0.475*44/12</f>
        <v>0.68051628798202113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7.695273883142332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>
        <f>AI142*VLOOKUP('Données projet'!$B$10,Paramètres!$A$1:$I$89,3,0)*VLOOKUP('Données projet'!$B$10,Paramètres!$A$1:$I$89,5,0)</f>
        <v>0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82.437379371146534</v>
      </c>
      <c r="AO142" s="62">
        <f t="shared" si="144"/>
        <v>384.46649239172427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7.7463580805451286</v>
      </c>
      <c r="AV142" s="23">
        <f>EXP(-LN(2)/25)*AV141+(1-EXP(-LN(2)/25))/(LN(2)/25)*Calculateur!AQ142*Calculateur!AS142*VLOOKUP('Données projet'!$B$10,Paramètres!$A$1:$I$89,3,0)*0.475*44/12</f>
        <v>0.75149037936665031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8.4978484599117792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>
        <f>BD142*VLOOKUP('Données projet'!$B$11,Paramètres!$A$1:$I$89,3,0)*VLOOKUP('Données projet'!$B$11,Paramètres!$A$1:$I$89,5,0)</f>
        <v>0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83.883967208992033</v>
      </c>
      <c r="BJ142" s="62">
        <f t="shared" si="146"/>
        <v>391.78028845111544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7.9184993712239171</v>
      </c>
      <c r="BQ142" s="23">
        <f>EXP(-LN(2)/25)*BQ141+(1-EXP(-LN(2)/25))/(LN(2)/25)*Calculateur!BL142*Calculateur!BN142*VLOOKUP('Données projet'!$B$11,Paramètres!$A$1:$I$89,3,0)*0.475*44/12</f>
        <v>0.76819016557479858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8.6866895367987151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135.66666666666666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76.280749912424909</v>
      </c>
      <c r="T143" s="62">
        <f t="shared" si="142"/>
        <v>353.34276014239026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6.8772024772988756</v>
      </c>
      <c r="AA143" s="23">
        <f>EXP(-LN(2)/25)*AA142+(1-EXP(-LN(2)/25))/(LN(2)/25)*Calculateur!V143*Calculateur!X143*VLOOKUP('Données projet'!$B$9,Paramètres!$A$1:$I$89,3,0)*0.475*44/12</f>
        <v>0.66190753430035654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7.5391100115992318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>
        <f>AI143*VLOOKUP('Données projet'!$B$10,Paramètres!$A$1:$I$89,3,0)*VLOOKUP('Données projet'!$B$10,Paramètres!$A$1:$I$89,5,0)</f>
        <v>0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82.437379371146534</v>
      </c>
      <c r="AO143" s="62">
        <f t="shared" si="144"/>
        <v>384.46649239172427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7.5944567233975313</v>
      </c>
      <c r="AV143" s="23">
        <f>EXP(-LN(2)/25)*AV142+(1-EXP(-LN(2)/25))/(LN(2)/25)*Calculateur!AQ143*Calculateur!AS143*VLOOKUP('Données projet'!$B$10,Paramètres!$A$1:$I$89,3,0)*0.475*44/12</f>
        <v>0.7309408354237078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8.3253975588212388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>
        <f>BD143*VLOOKUP('Données projet'!$B$11,Paramètres!$A$1:$I$89,3,0)*VLOOKUP('Données projet'!$B$11,Paramètres!$A$1:$I$89,5,0)</f>
        <v>0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83.883967208992033</v>
      </c>
      <c r="BJ143" s="62">
        <f t="shared" si="146"/>
        <v>391.78028845111544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7.7632224283619289</v>
      </c>
      <c r="BQ143" s="23">
        <f>EXP(-LN(2)/25)*BQ142+(1-EXP(-LN(2)/25))/(LN(2)/25)*Calculateur!BL143*Calculateur!BN143*VLOOKUP('Données projet'!$B$11,Paramètres!$A$1:$I$89,3,0)*0.475*44/12</f>
        <v>0.74718396509979068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8.5104063934617198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135.66666666666666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76.280749912424909</v>
      </c>
      <c r="T144" s="62">
        <f t="shared" si="142"/>
        <v>353.34276014239026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6.742344731398366</v>
      </c>
      <c r="AA144" s="23">
        <f>EXP(-LN(2)/25)*AA143+(1-EXP(-LN(2)/25))/(LN(2)/25)*Calculateur!V144*Calculateur!X144*VLOOKUP('Données projet'!$B$9,Paramètres!$A$1:$I$89,3,0)*0.475*44/12</f>
        <v>0.64380763796670892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7.3861523693650746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>
        <f>AI144*VLOOKUP('Données projet'!$B$10,Paramètres!$A$1:$I$89,3,0)*VLOOKUP('Données projet'!$B$10,Paramètres!$A$1:$I$89,5,0)</f>
        <v>0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82.437379371146534</v>
      </c>
      <c r="AO144" s="62">
        <f t="shared" si="144"/>
        <v>384.46649239172427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7.4455340592129193</v>
      </c>
      <c r="AV144" s="23">
        <f>EXP(-LN(2)/25)*AV143+(1-EXP(-LN(2)/25))/(LN(2)/25)*Calculateur!AQ144*Calculateur!AS144*VLOOKUP('Données projet'!$B$10,Paramètres!$A$1:$I$89,3,0)*0.475*44/12</f>
        <v>0.71095321984053861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8.1564872790534579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>
        <f>BD144*VLOOKUP('Données projet'!$B$11,Paramètres!$A$1:$I$89,3,0)*VLOOKUP('Données projet'!$B$11,Paramètres!$A$1:$I$89,5,0)</f>
        <v>0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83.883967208992033</v>
      </c>
      <c r="BJ144" s="62">
        <f t="shared" si="146"/>
        <v>391.78028845111544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7.6109903716398808</v>
      </c>
      <c r="BQ144" s="23">
        <f>EXP(-LN(2)/25)*BQ143+(1-EXP(-LN(2)/25))/(LN(2)/25)*Calculateur!BL144*Calculateur!BN144*VLOOKUP('Données projet'!$B$11,Paramètres!$A$1:$I$89,3,0)*0.475*44/12</f>
        <v>0.72675218028143984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8.3377425519213197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135.66666666666666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76.280749912424909</v>
      </c>
      <c r="T145" s="62">
        <f t="shared" si="142"/>
        <v>353.34276014239026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6.6101314636398616</v>
      </c>
      <c r="AA145" s="23">
        <f>EXP(-LN(2)/25)*AA144+(1-EXP(-LN(2)/25))/(LN(2)/25)*Calculateur!V145*Calculateur!X145*VLOOKUP('Données projet'!$B$9,Paramètres!$A$1:$I$89,3,0)*0.475*44/12</f>
        <v>0.62620268425013703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7.2363341478899983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>
        <f>AI145*VLOOKUP('Données projet'!$B$10,Paramètres!$A$1:$I$89,3,0)*VLOOKUP('Données projet'!$B$10,Paramètres!$A$1:$I$89,5,0)</f>
        <v>0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82.437379371146534</v>
      </c>
      <c r="AO145" s="62">
        <f t="shared" si="144"/>
        <v>384.46649239172427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7.299531677639111</v>
      </c>
      <c r="AV145" s="23">
        <f>EXP(-LN(2)/25)*AV144+(1-EXP(-LN(2)/25))/(LN(2)/25)*Calculateur!AQ145*Calculateur!AS145*VLOOKUP('Données projet'!$B$10,Paramètres!$A$1:$I$89,3,0)*0.475*44/12</f>
        <v>0.69151216665659421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7.9910438442957048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>
        <f>BD145*VLOOKUP('Données projet'!$B$11,Paramètres!$A$1:$I$89,3,0)*VLOOKUP('Données projet'!$B$11,Paramètres!$A$1:$I$89,5,0)</f>
        <v>0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83.883967208992033</v>
      </c>
      <c r="BJ145" s="62">
        <f t="shared" si="146"/>
        <v>391.78028845111544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7.4617434926977655</v>
      </c>
      <c r="BQ145" s="23">
        <f>EXP(-LN(2)/25)*BQ144+(1-EXP(-LN(2)/25))/(LN(2)/25)*Calculateur!BL145*Calculateur!BN145*VLOOKUP('Données projet'!$B$11,Paramètres!$A$1:$I$89,3,0)*0.475*44/12</f>
        <v>0.70687910369340767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8.1686225963911738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135.66666666666666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76.280749912424909</v>
      </c>
      <c r="T146" s="62">
        <f t="shared" si="142"/>
        <v>353.34276014239026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6.4805108174199715</v>
      </c>
      <c r="AA146" s="23">
        <f>EXP(-LN(2)/25)*AA145+(1-EXP(-LN(2)/25))/(LN(2)/25)*Calculateur!V146*Calculateur!X146*VLOOKUP('Données projet'!$B$9,Paramètres!$A$1:$I$89,3,0)*0.475*44/12</f>
        <v>0.6090791389187491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7.0895899563387204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>
        <f>AI146*VLOOKUP('Données projet'!$B$10,Paramètres!$A$1:$I$89,3,0)*VLOOKUP('Données projet'!$B$10,Paramètres!$A$1:$I$89,5,0)</f>
        <v>0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82.437379371146534</v>
      </c>
      <c r="AO146" s="62">
        <f t="shared" si="144"/>
        <v>384.46649239172427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7.1563923137153056</v>
      </c>
      <c r="AV146" s="23">
        <f>EXP(-LN(2)/25)*AV145+(1-EXP(-LN(2)/25))/(LN(2)/25)*Calculateur!AQ146*Calculateur!AS146*VLOOKUP('Données projet'!$B$10,Paramètres!$A$1:$I$89,3,0)*0.475*44/12</f>
        <v>0.67260273009432525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7.8289950438096305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>
        <f>BD146*VLOOKUP('Données projet'!$B$11,Paramètres!$A$1:$I$89,3,0)*VLOOKUP('Données projet'!$B$11,Paramètres!$A$1:$I$89,5,0)</f>
        <v>0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83.883967208992033</v>
      </c>
      <c r="BJ146" s="62">
        <f t="shared" si="146"/>
        <v>391.78028845111544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7.3154232540200974</v>
      </c>
      <c r="BQ146" s="23">
        <f>EXP(-LN(2)/25)*BQ145+(1-EXP(-LN(2)/25))/(LN(2)/25)*Calculateur!BL146*Calculateur!BN146*VLOOKUP('Données projet'!$B$11,Paramètres!$A$1:$I$89,3,0)*0.475*44/12</f>
        <v>0.68754945742975493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8.0029727114498517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135.66666666666666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76.280749912424909</v>
      </c>
      <c r="T147" s="62">
        <f t="shared" si="142"/>
        <v>353.34276014239026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6.3534319530116656</v>
      </c>
      <c r="AA147" s="23">
        <f>EXP(-LN(2)/25)*AA146+(1-EXP(-LN(2)/25))/(LN(2)/25)*Calculateur!V147*Calculateur!X147*VLOOKUP('Données projet'!$B$9,Paramètres!$A$1:$I$89,3,0)*0.475*44/12</f>
        <v>0.59242383783493602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6.9458557908466014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>
        <f>AI147*VLOOKUP('Données projet'!$B$10,Paramètres!$A$1:$I$89,3,0)*VLOOKUP('Données projet'!$B$10,Paramètres!$A$1:$I$89,5,0)</f>
        <v>0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82.437379371146534</v>
      </c>
      <c r="AO147" s="62">
        <f t="shared" si="144"/>
        <v>384.46649239172427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7.0160598254116548</v>
      </c>
      <c r="AV147" s="23">
        <f>EXP(-LN(2)/25)*AV146+(1-EXP(-LN(2)/25))/(LN(2)/25)*Calculateur!AQ147*Calculateur!AS147*VLOOKUP('Données projet'!$B$10,Paramètres!$A$1:$I$89,3,0)*0.475*44/12</f>
        <v>0.65421037306925556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7.6702701984809103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>
        <f>BD147*VLOOKUP('Données projet'!$B$11,Paramètres!$A$1:$I$89,3,0)*VLOOKUP('Données projet'!$B$11,Paramètres!$A$1:$I$89,5,0)</f>
        <v>0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83.883967208992033</v>
      </c>
      <c r="BJ147" s="62">
        <f t="shared" si="146"/>
        <v>391.78028845111544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7.1719722659763656</v>
      </c>
      <c r="BQ147" s="23">
        <f>EXP(-LN(2)/25)*BQ146+(1-EXP(-LN(2)/25))/(LN(2)/25)*Calculateur!BL147*Calculateur!BN147*VLOOKUP('Données projet'!$B$11,Paramètres!$A$1:$I$89,3,0)*0.475*44/12</f>
        <v>0.66874838135968373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7.8407206473360489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135.66666666666666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76.280749912424909</v>
      </c>
      <c r="T148" s="62">
        <f t="shared" si="142"/>
        <v>353.34276014239026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6.2288450276239526</v>
      </c>
      <c r="AA148" s="23">
        <f>EXP(-LN(2)/25)*AA147+(1-EXP(-LN(2)/25))/(LN(2)/25)*Calculateur!V148*Calculateur!X148*VLOOKUP('Données projet'!$B$9,Paramètres!$A$1:$I$89,3,0)*0.475*44/12</f>
        <v>0.57622397683512405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6.8050690044590763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>
        <f>AI148*VLOOKUP('Données projet'!$B$10,Paramètres!$A$1:$I$89,3,0)*VLOOKUP('Données projet'!$B$10,Paramètres!$A$1:$I$89,5,0)</f>
        <v>0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82.437379371146534</v>
      </c>
      <c r="AO148" s="62">
        <f t="shared" si="144"/>
        <v>384.46649239172427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6.878479171609273</v>
      </c>
      <c r="AV148" s="23">
        <f>EXP(-LN(2)/25)*AV147+(1-EXP(-LN(2)/25))/(LN(2)/25)*Calculateur!AQ148*Calculateur!AS148*VLOOKUP('Données projet'!$B$10,Paramètres!$A$1:$I$89,3,0)*0.475*44/12</f>
        <v>0.63632095601424843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7.5148001276235217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>
        <f>BD148*VLOOKUP('Données projet'!$B$11,Paramètres!$A$1:$I$89,3,0)*VLOOKUP('Données projet'!$B$11,Paramètres!$A$1:$I$89,5,0)</f>
        <v>0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83.883967208992033</v>
      </c>
      <c r="BJ148" s="62">
        <f t="shared" si="146"/>
        <v>391.78028845111544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7.0313342643117078</v>
      </c>
      <c r="BQ148" s="23">
        <f>EXP(-LN(2)/25)*BQ147+(1-EXP(-LN(2)/25))/(LN(2)/25)*Calculateur!BL148*Calculateur!BN148*VLOOKUP('Données projet'!$B$11,Paramètres!$A$1:$I$89,3,0)*0.475*44/12</f>
        <v>0.65046142170345422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7.6817956860151622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135.66666666666666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76.280749912424909</v>
      </c>
      <c r="T149" s="62">
        <f t="shared" si="142"/>
        <v>353.34276014239026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6.1067011758525718</v>
      </c>
      <c r="AA149" s="23">
        <f>EXP(-LN(2)/25)*AA148+(1-EXP(-LN(2)/25))/(LN(2)/25)*Calculateur!V149*Calculateur!X149*VLOOKUP('Données projet'!$B$9,Paramètres!$A$1:$I$89,3,0)*0.475*44/12</f>
        <v>0.56046710188626558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6.6671682777388375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>
        <f>AI149*VLOOKUP('Données projet'!$B$10,Paramètres!$A$1:$I$89,3,0)*VLOOKUP('Données projet'!$B$10,Paramètres!$A$1:$I$89,5,0)</f>
        <v>0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82.437379371146534</v>
      </c>
      <c r="AO149" s="62">
        <f t="shared" si="144"/>
        <v>384.46649239172427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6.7435963905120424</v>
      </c>
      <c r="AV149" s="23">
        <f>EXP(-LN(2)/25)*AV148+(1-EXP(-LN(2)/25))/(LN(2)/25)*Calculateur!AQ149*Calculateur!AS149*VLOOKUP('Données projet'!$B$10,Paramètres!$A$1:$I$89,3,0)*0.475*44/12</f>
        <v>0.61892072600937409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7.3625171165214169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>
        <f>BD149*VLOOKUP('Données projet'!$B$11,Paramètres!$A$1:$I$89,3,0)*VLOOKUP('Données projet'!$B$11,Paramètres!$A$1:$I$89,5,0)</f>
        <v>0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83.883967208992033</v>
      </c>
      <c r="BJ149" s="62">
        <f t="shared" si="146"/>
        <v>391.78028845111544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6.8934540880789834</v>
      </c>
      <c r="BQ149" s="23">
        <f>EXP(-LN(2)/25)*BQ148+(1-EXP(-LN(2)/25))/(LN(2)/25)*Calculateur!BL149*Calculateur!BN149*VLOOKUP('Données projet'!$B$11,Paramètres!$A$1:$I$89,3,0)*0.475*44/12</f>
        <v>0.63267451992069379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7.5261286079996772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135.66666666666666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76.280749912424909</v>
      </c>
      <c r="T150" s="62">
        <f t="shared" si="142"/>
        <v>353.34276014239026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5.9869524905140343</v>
      </c>
      <c r="AA150" s="23">
        <f>EXP(-LN(2)/25)*AA149+(1-EXP(-LN(2)/25))/(LN(2)/25)*Calculateur!V150*Calculateur!X150*VLOOKUP('Données projet'!$B$9,Paramètres!$A$1:$I$89,3,0)*0.475*44/12</f>
        <v>0.54514109951150169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6.5320935900255357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>
        <f>AI150*VLOOKUP('Données projet'!$B$10,Paramètres!$A$1:$I$89,3,0)*VLOOKUP('Données projet'!$B$10,Paramètres!$A$1:$I$89,5,0)</f>
        <v>0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82.437379371146534</v>
      </c>
      <c r="AO150" s="62">
        <f t="shared" si="144"/>
        <v>384.46649239172427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6.6113585784817559</v>
      </c>
      <c r="AV150" s="23">
        <f>EXP(-LN(2)/25)*AV149+(1-EXP(-LN(2)/25))/(LN(2)/25)*Calculateur!AQ150*Calculateur!AS150*VLOOKUP('Données projet'!$B$10,Paramètres!$A$1:$I$89,3,0)*0.475*44/12</f>
        <v>0.60199630620902134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7.2133548846907773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>
        <f>BD150*VLOOKUP('Données projet'!$B$11,Paramètres!$A$1:$I$89,3,0)*VLOOKUP('Données projet'!$B$11,Paramètres!$A$1:$I$89,5,0)</f>
        <v>0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83.883967208992033</v>
      </c>
      <c r="BJ150" s="62">
        <f t="shared" si="146"/>
        <v>391.78028845111544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6.7582776580035793</v>
      </c>
      <c r="BQ150" s="23">
        <f>EXP(-LN(2)/25)*BQ149+(1-EXP(-LN(2)/25))/(LN(2)/25)*Calculateur!BL150*Calculateur!BN150*VLOOKUP('Données projet'!$B$11,Paramètres!$A$1:$I$89,3,0)*0.475*44/12</f>
        <v>0.61537400190255542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7.3736516599061348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135.66666666666666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76.280749912424909</v>
      </c>
      <c r="T151" s="62">
        <f t="shared" si="142"/>
        <v>353.34276014239026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5.8695520038554996</v>
      </c>
      <c r="AA151" s="23">
        <f>EXP(-LN(2)/25)*AA150+(1-EXP(-LN(2)/25))/(LN(2)/25)*Calculateur!V151*Calculateur!X151*VLOOKUP('Données projet'!$B$9,Paramètres!$A$1:$I$89,3,0)*0.475*44/12</f>
        <v>0.53023418747763518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6.3997861913331349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>
        <f>AI151*VLOOKUP('Données projet'!$B$10,Paramètres!$A$1:$I$89,3,0)*VLOOKUP('Données projet'!$B$10,Paramètres!$A$1:$I$89,5,0)</f>
        <v>0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82.437379371146534</v>
      </c>
      <c r="AO151" s="62">
        <f t="shared" si="144"/>
        <v>384.46649239172427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6.4817138692882823</v>
      </c>
      <c r="AV151" s="23">
        <f>EXP(-LN(2)/25)*AV150+(1-EXP(-LN(2)/25))/(LN(2)/25)*Calculateur!AQ151*Calculateur!AS151*VLOOKUP('Données projet'!$B$10,Paramètres!$A$1:$I$89,3,0)*0.475*44/12</f>
        <v>0.58553468555812582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7.0672485548464081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>
        <f>BD151*VLOOKUP('Données projet'!$B$11,Paramètres!$A$1:$I$89,3,0)*VLOOKUP('Données projet'!$B$11,Paramètres!$A$1:$I$89,5,0)</f>
        <v>0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83.883967208992033</v>
      </c>
      <c r="BJ151" s="62">
        <f t="shared" si="146"/>
        <v>391.78028845111544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6.6257519552724728</v>
      </c>
      <c r="BQ151" s="23">
        <f>EXP(-LN(2)/25)*BQ150+(1-EXP(-LN(2)/25))/(LN(2)/25)*Calculateur!BL151*Calculateur!BN151*VLOOKUP('Données projet'!$B$11,Paramètres!$A$1:$I$89,3,0)*0.475*44/12</f>
        <v>0.5985465674594177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7.2242985227318908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135.66666666666666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76.280749912424909</v>
      </c>
      <c r="T152" s="62">
        <f t="shared" si="142"/>
        <v>353.34276014239026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5.7544536691331123</v>
      </c>
      <c r="AA152" s="23">
        <f>EXP(-LN(2)/25)*AA151+(1-EXP(-LN(2)/25))/(LN(2)/25)*Calculateur!V152*Calculateur!X152*VLOOKUP('Données projet'!$B$9,Paramètres!$A$1:$I$89,3,0)*0.475*44/12</f>
        <v>0.51573490573725522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6.2701885748703674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>
        <f>AI152*VLOOKUP('Données projet'!$B$10,Paramètres!$A$1:$I$89,3,0)*VLOOKUP('Données projet'!$B$10,Paramètres!$A$1:$I$89,5,0)</f>
        <v>0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82.437379371146534</v>
      </c>
      <c r="AO152" s="62">
        <f t="shared" si="144"/>
        <v>384.46649239172427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6.3546114137666283</v>
      </c>
      <c r="AV152" s="23">
        <f>EXP(-LN(2)/25)*AV151+(1-EXP(-LN(2)/25))/(LN(2)/25)*Calculateur!AQ152*Calculateur!AS152*VLOOKUP('Données projet'!$B$10,Paramètres!$A$1:$I$89,3,0)*0.475*44/12</f>
        <v>0.56952320878960805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6.9241346225562364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>
        <f>BD152*VLOOKUP('Données projet'!$B$11,Paramètres!$A$1:$I$89,3,0)*VLOOKUP('Données projet'!$B$11,Paramètres!$A$1:$I$89,5,0)</f>
        <v>0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83.883967208992033</v>
      </c>
      <c r="BJ152" s="62">
        <f t="shared" si="146"/>
        <v>391.78028845111544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6.4958250007392264</v>
      </c>
      <c r="BQ152" s="23">
        <f>EXP(-LN(2)/25)*BQ151+(1-EXP(-LN(2)/25))/(LN(2)/25)*Calculateur!BL152*Calculateur!BN152*VLOOKUP('Données projet'!$B$11,Paramètres!$A$1:$I$89,3,0)*0.475*44/12</f>
        <v>0.58217928009604392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7.0780042808352706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135.66666666666666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76.280749912424909</v>
      </c>
      <c r="T153" s="62">
        <f t="shared" si="142"/>
        <v>353.34276014239026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5.6416123425515794</v>
      </c>
      <c r="AA153" s="23">
        <f>EXP(-LN(2)/25)*AA152+(1-EXP(-LN(2)/25))/(LN(2)/25)*Calculateur!V153*Calculateur!X153*VLOOKUP('Données projet'!$B$9,Paramètres!$A$1:$I$89,3,0)*0.475*44/12</f>
        <v>0.50163210761855004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6.1432444501701298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>
        <f>AI153*VLOOKUP('Données projet'!$B$10,Paramètres!$A$1:$I$89,3,0)*VLOOKUP('Données projet'!$B$10,Paramètres!$A$1:$I$89,5,0)</f>
        <v>0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82.437379371146534</v>
      </c>
      <c r="AO153" s="62">
        <f t="shared" si="144"/>
        <v>384.46649239172427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6.2300013598729107</v>
      </c>
      <c r="AV153" s="23">
        <f>EXP(-LN(2)/25)*AV152+(1-EXP(-LN(2)/25))/(LN(2)/25)*Calculateur!AQ153*Calculateur!AS153*VLOOKUP('Données projet'!$B$10,Paramètres!$A$1:$I$89,3,0)*0.475*44/12</f>
        <v>0.55394956669533235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6.7839509265682434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>
        <f>BD153*VLOOKUP('Données projet'!$B$11,Paramètres!$A$1:$I$89,3,0)*VLOOKUP('Données projet'!$B$11,Paramètres!$A$1:$I$89,5,0)</f>
        <v>0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83.883967208992033</v>
      </c>
      <c r="BJ153" s="62">
        <f t="shared" si="146"/>
        <v>391.78028845111544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6.3684458345367592</v>
      </c>
      <c r="BQ153" s="23">
        <f>EXP(-LN(2)/25)*BQ152+(1-EXP(-LN(2)/25))/(LN(2)/25)*Calculateur!BL153*Calculateur!BN153*VLOOKUP('Données projet'!$B$11,Paramètres!$A$1:$I$89,3,0)*0.475*44/12</f>
        <v>0.56625955706633979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6.9347053916030994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135.66666666666666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76.280749912424909</v>
      </c>
      <c r="T154" s="62">
        <f t="shared" si="142"/>
        <v>353.34276014239026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5.5309837655578971</v>
      </c>
      <c r="AA154" s="23">
        <f>EXP(-LN(2)/25)*AA153+(1-EXP(-LN(2)/25))/(LN(2)/25)*Calculateur!V154*Calculateur!X154*VLOOKUP('Données projet'!$B$9,Paramètres!$A$1:$I$89,3,0)*0.475*44/12</f>
        <v>0.48791495125603473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6.0188987168139318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>
        <f>AI154*VLOOKUP('Données projet'!$B$10,Paramètres!$A$1:$I$89,3,0)*VLOOKUP('Données projet'!$B$10,Paramètres!$A$1:$I$89,5,0)</f>
        <v>0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82.437379371146534</v>
      </c>
      <c r="AO154" s="62">
        <f t="shared" si="144"/>
        <v>384.46649239172427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6.1078348331314212</v>
      </c>
      <c r="AV154" s="23">
        <f>EXP(-LN(2)/25)*AV153+(1-EXP(-LN(2)/25))/(LN(2)/25)*Calculateur!AQ154*Calculateur!AS154*VLOOKUP('Données projet'!$B$10,Paramètres!$A$1:$I$89,3,0)*0.475*44/12</f>
        <v>0.53880178666310685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6.6466366197945277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>
        <f>BD154*VLOOKUP('Données projet'!$B$11,Paramètres!$A$1:$I$89,3,0)*VLOOKUP('Données projet'!$B$11,Paramètres!$A$1:$I$89,5,0)</f>
        <v>0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83.883967208992033</v>
      </c>
      <c r="BJ154" s="62">
        <f t="shared" si="146"/>
        <v>391.78028845111544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6.2435644960899026</v>
      </c>
      <c r="BQ154" s="23">
        <f>EXP(-LN(2)/25)*BQ153+(1-EXP(-LN(2)/25))/(LN(2)/25)*Calculateur!BL154*Calculateur!BN154*VLOOKUP('Données projet'!$B$11,Paramètres!$A$1:$I$89,3,0)*0.475*44/12</f>
        <v>0.55077515970006485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6.7943396557899671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135.66666666666666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76.280749912424909</v>
      </c>
      <c r="T155" s="62">
        <f t="shared" si="142"/>
        <v>353.34276014239026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5.4225245474822916</v>
      </c>
      <c r="AA155" s="23">
        <f>EXP(-LN(2)/25)*AA154+(1-EXP(-LN(2)/25))/(LN(2)/25)*Calculateur!V155*Calculateur!X155*VLOOKUP('Données projet'!$B$9,Paramètres!$A$1:$I$89,3,0)*0.475*44/12</f>
        <v>0.47457289125560631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5.897097438737898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>
        <f>AI155*VLOOKUP('Données projet'!$B$10,Paramètres!$A$1:$I$89,3,0)*VLOOKUP('Données projet'!$B$10,Paramètres!$A$1:$I$89,5,0)</f>
        <v>0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82.437379371146534</v>
      </c>
      <c r="AO155" s="62">
        <f t="shared" si="144"/>
        <v>384.46649239172427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5.9880639174651087</v>
      </c>
      <c r="AV155" s="23">
        <f>EXP(-LN(2)/25)*AV154+(1-EXP(-LN(2)/25))/(LN(2)/25)*Calculateur!AQ155*Calculateur!AS155*VLOOKUP('Données projet'!$B$10,Paramètres!$A$1:$I$89,3,0)*0.475*44/12</f>
        <v>0.52406822347244963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6.5121321409375579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>
        <f>BD155*VLOOKUP('Données projet'!$B$11,Paramètres!$A$1:$I$89,3,0)*VLOOKUP('Données projet'!$B$11,Paramètres!$A$1:$I$89,5,0)</f>
        <v>0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83.883967208992033</v>
      </c>
      <c r="BJ155" s="62">
        <f t="shared" si="146"/>
        <v>391.78028845111544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6.121132004519894</v>
      </c>
      <c r="BQ155" s="23">
        <f>EXP(-LN(2)/25)*BQ154+(1-EXP(-LN(2)/25))/(LN(2)/25)*Calculateur!BL155*Calculateur!BN155*VLOOKUP('Données projet'!$B$11,Paramètres!$A$1:$I$89,3,0)*0.475*44/12</f>
        <v>0.53571418399405979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6.6568461885139536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135.66666666666666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76.280749912424909</v>
      </c>
      <c r="T156" s="62">
        <f t="shared" si="142"/>
        <v>353.34276014239026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5.3161921485195576</v>
      </c>
      <c r="AA156" s="23">
        <f>EXP(-LN(2)/25)*AA155+(1-EXP(-LN(2)/25))/(LN(2)/25)*Calculateur!V156*Calculateur!X156*VLOOKUP('Données projet'!$B$9,Paramètres!$A$1:$I$89,3,0)*0.475*44/12</f>
        <v>0.46159567058751805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5.7777878191070755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>
        <f>AI156*VLOOKUP('Données projet'!$B$10,Paramètres!$A$1:$I$89,3,0)*VLOOKUP('Données projet'!$B$10,Paramètres!$A$1:$I$89,5,0)</f>
        <v>0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82.437379371146534</v>
      </c>
      <c r="AO156" s="62">
        <f t="shared" si="144"/>
        <v>384.46649239172427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5.8706416364019676</v>
      </c>
      <c r="AV156" s="23">
        <f>EXP(-LN(2)/25)*AV155+(1-EXP(-LN(2)/25))/(LN(2)/25)*Calculateur!AQ156*Calculateur!AS156*VLOOKUP('Données projet'!$B$10,Paramètres!$A$1:$I$89,3,0)*0.475*44/12</f>
        <v>0.50973755034204538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6.3803791867440127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>
        <f>BD156*VLOOKUP('Données projet'!$B$11,Paramètres!$A$1:$I$89,3,0)*VLOOKUP('Données projet'!$B$11,Paramètres!$A$1:$I$89,5,0)</f>
        <v>0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83.883967208992033</v>
      </c>
      <c r="BJ156" s="62">
        <f t="shared" si="146"/>
        <v>391.78028845111544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6.001100339433127</v>
      </c>
      <c r="BQ156" s="23">
        <f>EXP(-LN(2)/25)*BQ155+(1-EXP(-LN(2)/25))/(LN(2)/25)*Calculateur!BL156*Calculateur!BN156*VLOOKUP('Données projet'!$B$11,Paramètres!$A$1:$I$89,3,0)*0.475*44/12</f>
        <v>0.52106505146075766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6.5221653908938846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135.66666666666666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76.280749912424909</v>
      </c>
      <c r="T157" s="62">
        <f t="shared" si="142"/>
        <v>353.34276014239026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5.2119448630441241</v>
      </c>
      <c r="AA157" s="23">
        <f>EXP(-LN(2)/25)*AA156+(1-EXP(-LN(2)/25))/(LN(2)/25)*Calculateur!V157*Calculateur!X157*VLOOKUP('Données projet'!$B$9,Paramètres!$A$1:$I$89,3,0)*0.475*44/12</f>
        <v>0.44897331270104102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5.6609181757451648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>
        <f>AI157*VLOOKUP('Données projet'!$B$10,Paramètres!$A$1:$I$89,3,0)*VLOOKUP('Données projet'!$B$10,Paramètres!$A$1:$I$89,5,0)</f>
        <v>0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82.437379371146534</v>
      </c>
      <c r="AO157" s="62">
        <f t="shared" si="144"/>
        <v>384.46649239172427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5.7555219346499547</v>
      </c>
      <c r="AV157" s="23">
        <f>EXP(-LN(2)/25)*AV156+(1-EXP(-LN(2)/25))/(LN(2)/25)*Calculateur!AQ157*Calculateur!AS157*VLOOKUP('Données projet'!$B$10,Paramètres!$A$1:$I$89,3,0)*0.475*44/12</f>
        <v>0.49579875022200942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6.2513206848719642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>
        <f>BD157*VLOOKUP('Données projet'!$B$11,Paramètres!$A$1:$I$89,3,0)*VLOOKUP('Données projet'!$B$11,Paramètres!$A$1:$I$89,5,0)</f>
        <v>0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83.883967208992033</v>
      </c>
      <c r="BJ157" s="62">
        <f t="shared" si="146"/>
        <v>391.78028845111544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5.8834224220866247</v>
      </c>
      <c r="BQ157" s="23">
        <f>EXP(-LN(2)/25)*BQ156+(1-EXP(-LN(2)/25))/(LN(2)/25)*Calculateur!BL157*Calculateur!BN157*VLOOKUP('Données projet'!$B$11,Paramètres!$A$1:$I$89,3,0)*0.475*44/12</f>
        <v>0.50681650022694313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6.3902389223135678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135.66666666666666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76.280749912424909</v>
      </c>
      <c r="T158" s="62">
        <f t="shared" si="142"/>
        <v>353.34276014239026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5.1097418032522981</v>
      </c>
      <c r="AA158" s="23">
        <f>EXP(-LN(2)/25)*AA157+(1-EXP(-LN(2)/25))/(LN(2)/25)*Calculateur!V158*Calculateur!X158*VLOOKUP('Données projet'!$B$9,Paramètres!$A$1:$I$89,3,0)*0.475*44/12</f>
        <v>0.43669611385475066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5.546437917107049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>
        <f>AI158*VLOOKUP('Données projet'!$B$10,Paramètres!$A$1:$I$89,3,0)*VLOOKUP('Données projet'!$B$10,Paramètres!$A$1:$I$89,5,0)</f>
        <v>0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82.437379371146534</v>
      </c>
      <c r="AO158" s="62">
        <f t="shared" si="144"/>
        <v>384.46649239172427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5.642659660033214</v>
      </c>
      <c r="AV158" s="23">
        <f>EXP(-LN(2)/25)*AV157+(1-EXP(-LN(2)/25))/(LN(2)/25)*Calculateur!AQ158*Calculateur!AS158*VLOOKUP('Données projet'!$B$10,Paramètres!$A$1:$I$89,3,0)*0.475*44/12</f>
        <v>0.48224110732426545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6.1249007673574791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>
        <f>BD158*VLOOKUP('Données projet'!$B$11,Paramètres!$A$1:$I$89,3,0)*VLOOKUP('Données projet'!$B$11,Paramètres!$A$1:$I$89,5,0)</f>
        <v>0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83.883967208992033</v>
      </c>
      <c r="BJ158" s="62">
        <f t="shared" si="146"/>
        <v>391.78028845111544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5.7680520969228448</v>
      </c>
      <c r="BQ158" s="23">
        <f>EXP(-LN(2)/25)*BQ157+(1-EXP(-LN(2)/25))/(LN(2)/25)*Calculateur!BL158*Calculateur!BN158*VLOOKUP('Données projet'!$B$11,Paramètres!$A$1:$I$89,3,0)*0.475*44/12</f>
        <v>0.49295757637591597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6.2610096732987603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135.66666666666666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76.280749912424909</v>
      </c>
      <c r="T159" s="62">
        <f t="shared" si="142"/>
        <v>353.34276014239026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5.0095428831252784</v>
      </c>
      <c r="AA159" s="23">
        <f>EXP(-LN(2)/25)*AA158+(1-EXP(-LN(2)/25))/(LN(2)/25)*Calculateur!V159*Calculateur!X159*VLOOKUP('Données projet'!$B$9,Paramètres!$A$1:$I$89,3,0)*0.475*44/12</f>
        <v>0.42475463565654198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5.4342975187818201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>
        <f>AI159*VLOOKUP('Données projet'!$B$10,Paramètres!$A$1:$I$89,3,0)*VLOOKUP('Données projet'!$B$10,Paramètres!$A$1:$I$89,5,0)</f>
        <v>0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82.437379371146534</v>
      </c>
      <c r="AO159" s="62">
        <f t="shared" si="144"/>
        <v>384.46649239172427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5.5320105457825175</v>
      </c>
      <c r="AV159" s="23">
        <f>EXP(-LN(2)/25)*AV158+(1-EXP(-LN(2)/25))/(LN(2)/25)*Calculateur!AQ159*Calculateur!AS159*VLOOKUP('Données projet'!$B$10,Paramètres!$A$1:$I$89,3,0)*0.475*44/12</f>
        <v>0.46905419888452576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6.0010647446670431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>
        <f>BD159*VLOOKUP('Données projet'!$B$11,Paramètres!$A$1:$I$89,3,0)*VLOOKUP('Données projet'!$B$11,Paramètres!$A$1:$I$89,5,0)</f>
        <v>0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83.883967208992033</v>
      </c>
      <c r="BJ159" s="62">
        <f t="shared" si="146"/>
        <v>391.78028845111544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5.654944113466577</v>
      </c>
      <c r="BQ159" s="23">
        <f>EXP(-LN(2)/25)*BQ158+(1-EXP(-LN(2)/25))/(LN(2)/25)*Calculateur!BL159*Calculateur!BN159*VLOOKUP('Données projet'!$B$11,Paramètres!$A$1:$I$89,3,0)*0.475*44/12</f>
        <v>0.47947762552640427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6.1344217389929812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135.66666666666666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76.280749912424909</v>
      </c>
      <c r="T160" s="62">
        <f t="shared" si="142"/>
        <v>353.34276014239026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4.9113088027066425</v>
      </c>
      <c r="AA160" s="23">
        <f>EXP(-LN(2)/25)*AA159+(1-EXP(-LN(2)/25))/(LN(2)/25)*Calculateur!V160*Calculateur!X160*VLOOKUP('Données projet'!$B$9,Paramètres!$A$1:$I$89,3,0)*0.475*44/12</f>
        <v>0.41313969780763832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5.324448500514281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>
        <f>AI160*VLOOKUP('Données projet'!$B$10,Paramètres!$A$1:$I$89,3,0)*VLOOKUP('Données projet'!$B$10,Paramètres!$A$1:$I$89,5,0)</f>
        <v>0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82.437379371146534</v>
      </c>
      <c r="AO160" s="62">
        <f t="shared" si="144"/>
        <v>384.46649239172427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5.4235311931729813</v>
      </c>
      <c r="AV160" s="23">
        <f>EXP(-LN(2)/25)*AV159+(1-EXP(-LN(2)/25))/(LN(2)/25)*Calculateur!AQ160*Calculateur!AS160*VLOOKUP('Données projet'!$B$10,Paramètres!$A$1:$I$89,3,0)*0.475*44/12</f>
        <v>0.4562278871495401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5.879759080322521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>
        <f>BD160*VLOOKUP('Données projet'!$B$11,Paramètres!$A$1:$I$89,3,0)*VLOOKUP('Données projet'!$B$11,Paramètres!$A$1:$I$89,5,0)</f>
        <v>0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83.883967208992033</v>
      </c>
      <c r="BJ160" s="62">
        <f t="shared" si="146"/>
        <v>391.78028845111544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5.5440541085768285</v>
      </c>
      <c r="BQ160" s="23">
        <f>EXP(-LN(2)/25)*BQ159+(1-EXP(-LN(2)/25))/(LN(2)/25)*Calculateur!BL160*Calculateur!BN160*VLOOKUP('Données projet'!$B$11,Paramètres!$A$1:$I$89,3,0)*0.475*44/12</f>
        <v>0.46636628464175228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6.0104203932185811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135.66666666666666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76.280749912424909</v>
      </c>
      <c r="T161" s="62">
        <f t="shared" si="142"/>
        <v>353.34276014239026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4.8150010326881434</v>
      </c>
      <c r="AA161" s="23">
        <f>EXP(-LN(2)/25)*AA160+(1-EXP(-LN(2)/25))/(LN(2)/25)*Calculateur!V161*Calculateur!X161*VLOOKUP('Données projet'!$B$9,Paramètres!$A$1:$I$89,3,0)*0.475*44/12</f>
        <v>0.40184237104501597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5.2168434037331597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>
        <f>AI161*VLOOKUP('Données projet'!$B$10,Paramètres!$A$1:$I$89,3,0)*VLOOKUP('Données projet'!$B$10,Paramètres!$A$1:$I$89,5,0)</f>
        <v>0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82.437379371146534</v>
      </c>
      <c r="AO161" s="62">
        <f t="shared" si="144"/>
        <v>384.46649239172427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5.3171790545022466</v>
      </c>
      <c r="AV161" s="23">
        <f>EXP(-LN(2)/25)*AV160+(1-EXP(-LN(2)/25))/(LN(2)/25)*Calculateur!AQ161*Calculateur!AS161*VLOOKUP('Données projet'!$B$10,Paramètres!$A$1:$I$89,3,0)*0.475*44/12</f>
        <v>0.44375231158345407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5.7609313660857007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>
        <f>BD161*VLOOKUP('Données projet'!$B$11,Paramètres!$A$1:$I$89,3,0)*VLOOKUP('Données projet'!$B$11,Paramètres!$A$1:$I$89,5,0)</f>
        <v>0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83.883967208992033</v>
      </c>
      <c r="BJ161" s="62">
        <f t="shared" si="146"/>
        <v>391.78028845111544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5.4353385890467436</v>
      </c>
      <c r="BQ161" s="23">
        <f>EXP(-LN(2)/25)*BQ160+(1-EXP(-LN(2)/25))/(LN(2)/25)*Calculateur!BL161*Calculateur!BN161*VLOOKUP('Données projet'!$B$11,Paramètres!$A$1:$I$89,3,0)*0.475*44/12</f>
        <v>0.45361347406308655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5.88895206310983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135.66666666666666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76.280749912424909</v>
      </c>
      <c r="T162" s="62">
        <f t="shared" si="142"/>
        <v>353.34276014239026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4.7205817992977677</v>
      </c>
      <c r="AA162" s="23">
        <f>EXP(-LN(2)/25)*AA161+(1-EXP(-LN(2)/25))/(LN(2)/25)*Calculateur!V162*Calculateur!X162*VLOOKUP('Données projet'!$B$9,Paramètres!$A$1:$I$89,3,0)*0.475*44/12</f>
        <v>0.39085397027681812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5.1114357695745856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>
        <f>AI162*VLOOKUP('Données projet'!$B$10,Paramètres!$A$1:$I$89,3,0)*VLOOKUP('Données projet'!$B$10,Paramètres!$A$1:$I$89,5,0)</f>
        <v>0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82.437379371146534</v>
      </c>
      <c r="AO162" s="62">
        <f t="shared" si="144"/>
        <v>384.46649239172427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5.2129124164024452</v>
      </c>
      <c r="AV162" s="23">
        <f>EXP(-LN(2)/25)*AV161+(1-EXP(-LN(2)/25))/(LN(2)/25)*Calculateur!AQ162*Calculateur!AS162*VLOOKUP('Données projet'!$B$10,Paramètres!$A$1:$I$89,3,0)*0.475*44/12</f>
        <v>0.43161788128728468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5.6445302976897302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>
        <f>BD162*VLOOKUP('Données projet'!$B$11,Paramètres!$A$1:$I$89,3,0)*VLOOKUP('Données projet'!$B$11,Paramètres!$A$1:$I$89,5,0)</f>
        <v>0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83.883967208992033</v>
      </c>
      <c r="BJ162" s="62">
        <f t="shared" si="146"/>
        <v>391.78028845111544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5.3287549145447244</v>
      </c>
      <c r="BQ162" s="23">
        <f>EXP(-LN(2)/25)*BQ161+(1-EXP(-LN(2)/25))/(LN(2)/25)*Calculateur!BL162*Calculateur!BN162*VLOOKUP('Données projet'!$B$11,Paramètres!$A$1:$I$89,3,0)*0.475*44/12</f>
        <v>0.44120938976033558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5.7699643043050601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135.66666666666666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76.280749912424909</v>
      </c>
      <c r="T163" s="62">
        <f t="shared" si="142"/>
        <v>353.34276014239026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4.6280140694841316</v>
      </c>
      <c r="AA163" s="23">
        <f>EXP(-LN(2)/25)*AA162+(1-EXP(-LN(2)/25))/(LN(2)/25)*Calculateur!V163*Calculateur!X163*VLOOKUP('Données projet'!$B$9,Paramètres!$A$1:$I$89,3,0)*0.475*44/12</f>
        <v>0.38016604790548153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5.008180117389613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>
        <f>AI163*VLOOKUP('Données projet'!$B$10,Paramètres!$A$1:$I$89,3,0)*VLOOKUP('Données projet'!$B$10,Paramètres!$A$1:$I$89,5,0)</f>
        <v>0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82.437379371146534</v>
      </c>
      <c r="AO163" s="62">
        <f t="shared" si="144"/>
        <v>384.46649239172427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5.1106903834794117</v>
      </c>
      <c r="AV163" s="23">
        <f>EXP(-LN(2)/25)*AV162+(1-EXP(-LN(2)/25))/(LN(2)/25)*Calculateur!AQ163*Calculateur!AS163*VLOOKUP('Données projet'!$B$10,Paramètres!$A$1:$I$89,3,0)*0.475*44/12</f>
        <v>0.41981526762568599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5.5305056511050976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>
        <f>BD163*VLOOKUP('Données projet'!$B$11,Paramètres!$A$1:$I$89,3,0)*VLOOKUP('Données projet'!$B$11,Paramètres!$A$1:$I$89,5,0)</f>
        <v>0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83.883967208992033</v>
      </c>
      <c r="BJ163" s="62">
        <f t="shared" si="146"/>
        <v>391.78028845111544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5.2242612808900679</v>
      </c>
      <c r="BQ163" s="23">
        <f>EXP(-LN(2)/25)*BQ162+(1-EXP(-LN(2)/25))/(LN(2)/25)*Calculateur!BL163*Calculateur!BN163*VLOOKUP('Données projet'!$B$11,Paramètres!$A$1:$I$89,3,0)*0.475*44/12</f>
        <v>0.4291444957951458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5.6534057766852133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135.66666666666666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76.280749912424909</v>
      </c>
      <c r="T164" s="62">
        <f t="shared" si="142"/>
        <v>353.34276014239026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4.5372615363914006</v>
      </c>
      <c r="AA164" s="23">
        <f>EXP(-LN(2)/25)*AA163+(1-EXP(-LN(2)/25))/(LN(2)/25)*Calculateur!V164*Calculateur!X164*VLOOKUP('Données projet'!$B$9,Paramètres!$A$1:$I$89,3,0)*0.475*44/12</f>
        <v>0.36977038733344259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4.9070319237248432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>
        <f>AI164*VLOOKUP('Données projet'!$B$10,Paramètres!$A$1:$I$89,3,0)*VLOOKUP('Données projet'!$B$10,Paramètres!$A$1:$I$89,5,0)</f>
        <v>0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82.437379371146534</v>
      </c>
      <c r="AO164" s="62">
        <f t="shared" si="144"/>
        <v>384.46649239172427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5.0104728622727155</v>
      </c>
      <c r="AV164" s="23">
        <f>EXP(-LN(2)/25)*AV163+(1-EXP(-LN(2)/25))/(LN(2)/25)*Calculateur!AQ164*Calculateur!AS164*VLOOKUP('Données projet'!$B$10,Paramètres!$A$1:$I$89,3,0)*0.475*44/12</f>
        <v>0.40833539705533617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5.4188082593280518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>
        <f>BD164*VLOOKUP('Données projet'!$B$11,Paramètres!$A$1:$I$89,3,0)*VLOOKUP('Données projet'!$B$11,Paramètres!$A$1:$I$89,5,0)</f>
        <v>0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83.883967208992033</v>
      </c>
      <c r="BJ164" s="62">
        <f t="shared" si="146"/>
        <v>391.78028845111544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5.1218167036565561</v>
      </c>
      <c r="BQ164" s="23">
        <f>EXP(-LN(2)/25)*BQ163+(1-EXP(-LN(2)/25))/(LN(2)/25)*Calculateur!BL164*Calculateur!BN164*VLOOKUP('Données projet'!$B$11,Paramètres!$A$1:$I$89,3,0)*0.475*44/12</f>
        <v>0.41740951698989931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5.5392262206464551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135.66666666666666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76.280749912424909</v>
      </c>
      <c r="T165" s="62">
        <f t="shared" si="142"/>
        <v>353.34276014239026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4.4482886051190391</v>
      </c>
      <c r="AA165" s="23">
        <f>EXP(-LN(2)/25)*AA164+(1-EXP(-LN(2)/25))/(LN(2)/25)*Calculateur!V165*Calculateur!X165*VLOOKUP('Données projet'!$B$9,Paramètres!$A$1:$I$89,3,0)*0.475*44/12</f>
        <v>0.35965899664643003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4.807947601765469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>
        <f>AI165*VLOOKUP('Données projet'!$B$10,Paramètres!$A$1:$I$89,3,0)*VLOOKUP('Données projet'!$B$10,Paramètres!$A$1:$I$89,5,0)</f>
        <v>0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82.437379371146534</v>
      </c>
      <c r="AO165" s="62">
        <f t="shared" si="144"/>
        <v>384.46649239172427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4.9122205455302304</v>
      </c>
      <c r="AV165" s="23">
        <f>EXP(-LN(2)/25)*AV164+(1-EXP(-LN(2)/25))/(LN(2)/25)*Calculateur!AQ165*Calculateur!AS165*VLOOKUP('Données projet'!$B$10,Paramètres!$A$1:$I$89,3,0)*0.475*44/12</f>
        <v>0.39716944414943273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5.309389989679663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>
        <f>BD165*VLOOKUP('Données projet'!$B$11,Paramètres!$A$1:$I$89,3,0)*VLOOKUP('Données projet'!$B$11,Paramètres!$A$1:$I$89,5,0)</f>
        <v>0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83.883967208992033</v>
      </c>
      <c r="BJ165" s="62">
        <f t="shared" si="146"/>
        <v>391.78028845111544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5.0213810020975709</v>
      </c>
      <c r="BQ165" s="23">
        <f>EXP(-LN(2)/25)*BQ164+(1-EXP(-LN(2)/25))/(LN(2)/25)*Calculateur!BL165*Calculateur!BN165*VLOOKUP('Données projet'!$B$11,Paramètres!$A$1:$I$89,3,0)*0.475*44/12</f>
        <v>0.40599543179719799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5.4273764338947688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135.66666666666666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76.280749912424909</v>
      </c>
      <c r="T166" s="62">
        <f t="shared" si="142"/>
        <v>353.34276014239026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4.3610603787607989</v>
      </c>
      <c r="AA166" s="23">
        <f>EXP(-LN(2)/25)*AA165+(1-EXP(-LN(2)/25))/(LN(2)/25)*Calculateur!V166*Calculateur!X166*VLOOKUP('Données projet'!$B$9,Paramètres!$A$1:$I$89,3,0)*0.475*44/12</f>
        <v>0.34982410246948875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4.7108844812302877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>
        <f>AI166*VLOOKUP('Données projet'!$B$10,Paramètres!$A$1:$I$89,3,0)*VLOOKUP('Données projet'!$B$10,Paramètres!$A$1:$I$89,5,0)</f>
        <v>0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82.437379371146534</v>
      </c>
      <c r="AO166" s="62">
        <f t="shared" si="144"/>
        <v>384.46649239172427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4.8158948967910691</v>
      </c>
      <c r="AV166" s="23">
        <f>EXP(-LN(2)/25)*AV165+(1-EXP(-LN(2)/25))/(LN(2)/25)*Calculateur!AQ166*Calculateur!AS166*VLOOKUP('Données projet'!$B$10,Paramètres!$A$1:$I$89,3,0)*0.475*44/12</f>
        <v>0.38630882481293316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5.2022037216040022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>
        <f>BD166*VLOOKUP('Données projet'!$B$11,Paramètres!$A$1:$I$89,3,0)*VLOOKUP('Données projet'!$B$11,Paramètres!$A$1:$I$89,5,0)</f>
        <v>0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83.883967208992033</v>
      </c>
      <c r="BJ166" s="62">
        <f t="shared" si="146"/>
        <v>391.78028845111544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4.9229147833864282</v>
      </c>
      <c r="BQ166" s="23">
        <f>EXP(-LN(2)/25)*BQ165+(1-EXP(-LN(2)/25))/(LN(2)/25)*Calculateur!BL166*Calculateur!BN166*VLOOKUP('Données projet'!$B$11,Paramètres!$A$1:$I$89,3,0)*0.475*44/12</f>
        <v>0.39489346536433179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5.3178082487507599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135.66666666666666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76.280749912424909</v>
      </c>
      <c r="T167" s="62">
        <f t="shared" si="142"/>
        <v>353.34276014239026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4.2755426447174791</v>
      </c>
      <c r="AA167" s="23">
        <f>EXP(-LN(2)/25)*AA166+(1-EXP(-LN(2)/25))/(LN(2)/25)*Calculateur!V167*Calculateur!X167*VLOOKUP('Données projet'!$B$9,Paramètres!$A$1:$I$89,3,0)*0.475*44/12</f>
        <v>0.34025814399101056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4.6158007887084898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>
        <f>AI167*VLOOKUP('Données projet'!$B$10,Paramètres!$A$1:$I$89,3,0)*VLOOKUP('Données projet'!$B$10,Paramètres!$A$1:$I$89,5,0)</f>
        <v>0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82.437379371146534</v>
      </c>
      <c r="AO167" s="62">
        <f t="shared" si="144"/>
        <v>384.46649239172427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4.7214581352708382</v>
      </c>
      <c r="AV167" s="23">
        <f>EXP(-LN(2)/25)*AV166+(1-EXP(-LN(2)/25))/(LN(2)/25)*Calculateur!AQ167*Calculateur!AS167*VLOOKUP('Données projet'!$B$10,Paramètres!$A$1:$I$89,3,0)*0.475*44/12</f>
        <v>0.37574518968332532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5.0972033249541635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>
        <f>BD167*VLOOKUP('Données projet'!$B$11,Paramètres!$A$1:$I$89,3,0)*VLOOKUP('Données projet'!$B$11,Paramètres!$A$1:$I$89,5,0)</f>
        <v>0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83.883967208992033</v>
      </c>
      <c r="BJ167" s="62">
        <f t="shared" si="146"/>
        <v>391.78028845111544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4.8263794271657483</v>
      </c>
      <c r="BQ167" s="23">
        <f>EXP(-LN(2)/25)*BQ166+(1-EXP(-LN(2)/25))/(LN(2)/25)*Calculateur!BL167*Calculateur!BN167*VLOOKUP('Données projet'!$B$11,Paramètres!$A$1:$I$89,3,0)*0.475*44/12</f>
        <v>0.38409508278739934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5.2104745099531478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135.66666666666666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76.280749912424909</v>
      </c>
      <c r="T168" s="62">
        <f t="shared" si="142"/>
        <v>353.34276014239026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4.1917018612780819</v>
      </c>
      <c r="AA168" s="23">
        <f>EXP(-LN(2)/25)*AA167+(1-EXP(-LN(2)/25))/(LN(2)/25)*Calculateur!V168*Calculateur!X168*VLOOKUP('Données projet'!$B$9,Paramètres!$A$1:$I$89,3,0)*0.475*44/12</f>
        <v>0.33095376715017827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4.52265562842826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>
        <f>AI168*VLOOKUP('Données projet'!$B$10,Paramètres!$A$1:$I$89,3,0)*VLOOKUP('Données projet'!$B$10,Paramètres!$A$1:$I$89,5,0)</f>
        <v>0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82.437379371146534</v>
      </c>
      <c r="AO168" s="62">
        <f t="shared" si="144"/>
        <v>384.46649239172427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4.6288732210432828</v>
      </c>
      <c r="AV168" s="23">
        <f>EXP(-LN(2)/25)*AV167+(1-EXP(-LN(2)/25))/(LN(2)/25)*Calculateur!AQ168*Calculateur!AS168*VLOOKUP('Données projet'!$B$10,Paramètres!$A$1:$I$89,3,0)*0.475*44/12</f>
        <v>0.36547041771185407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4.9943436387551365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>
        <f>BD168*VLOOKUP('Données projet'!$B$11,Paramètres!$A$1:$I$89,3,0)*VLOOKUP('Données projet'!$B$11,Paramètres!$A$1:$I$89,5,0)</f>
        <v>0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83.883967208992033</v>
      </c>
      <c r="BJ168" s="62">
        <f t="shared" si="146"/>
        <v>391.78028845111544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4.7317370703998023</v>
      </c>
      <c r="BQ168" s="23">
        <f>EXP(-LN(2)/25)*BQ167+(1-EXP(-LN(2)/25))/(LN(2)/25)*Calculateur!BL168*Calculateur!BN168*VLOOKUP('Données projet'!$B$11,Paramètres!$A$1:$I$89,3,0)*0.475*44/12</f>
        <v>0.37359198254989534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5.1053290529496973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135.66666666666666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76.280749912424909</v>
      </c>
      <c r="T169" s="62">
        <f t="shared" si="142"/>
        <v>353.34276014239026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4.1095051444641024</v>
      </c>
      <c r="AA169" s="23">
        <f>EXP(-LN(2)/25)*AA168+(1-EXP(-LN(2)/25))/(LN(2)/25)*Calculateur!V169*Calculateur!X169*VLOOKUP('Données projet'!$B$9,Paramètres!$A$1:$I$89,3,0)*0.475*44/12</f>
        <v>0.32190381898335446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4.4314089634474572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>
        <f>AI169*VLOOKUP('Données projet'!$B$10,Paramètres!$A$1:$I$89,3,0)*VLOOKUP('Données projet'!$B$10,Paramètres!$A$1:$I$89,5,0)</f>
        <v>0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82.437379371146534</v>
      </c>
      <c r="AO169" s="62">
        <f t="shared" si="144"/>
        <v>384.46649239172427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4.538103840512508</v>
      </c>
      <c r="AV169" s="23">
        <f>EXP(-LN(2)/25)*AV168+(1-EXP(-LN(2)/25))/(LN(2)/25)*Calculateur!AQ169*Calculateur!AS169*VLOOKUP('Données projet'!$B$10,Paramètres!$A$1:$I$89,3,0)*0.475*44/12</f>
        <v>0.35547660992026947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4.8935804504327773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>
        <f>BD169*VLOOKUP('Données projet'!$B$11,Paramètres!$A$1:$I$89,3,0)*VLOOKUP('Données projet'!$B$11,Paramètres!$A$1:$I$89,5,0)</f>
        <v>0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83.883967208992033</v>
      </c>
      <c r="BJ169" s="62">
        <f t="shared" si="146"/>
        <v>391.78028845111544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4.6389505925238987</v>
      </c>
      <c r="BQ169" s="23">
        <f>EXP(-LN(2)/25)*BQ168+(1-EXP(-LN(2)/25))/(LN(2)/25)*Calculateur!BL169*Calculateur!BN169*VLOOKUP('Données projet'!$B$11,Paramètres!$A$1:$I$89,3,0)*0.475*44/12</f>
        <v>0.36337609014071992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5.0023266826646182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135.66666666666666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76.280749912424909</v>
      </c>
      <c r="T170" s="62">
        <f t="shared" si="142"/>
        <v>353.34276014239026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4.0289202551317977</v>
      </c>
      <c r="AA170" s="23">
        <f>EXP(-LN(2)/25)*AA169+(1-EXP(-LN(2)/25))/(LN(2)/25)*Calculateur!V170*Calculateur!X170*VLOOKUP('Données projet'!$B$9,Paramètres!$A$1:$I$89,3,0)*0.475*44/12</f>
        <v>0.31310134212506852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4.3420215972568661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>
        <f>AI170*VLOOKUP('Données projet'!$B$10,Paramètres!$A$1:$I$89,3,0)*VLOOKUP('Données projet'!$B$10,Paramètres!$A$1:$I$89,5,0)</f>
        <v>0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82.437379371146534</v>
      </c>
      <c r="AO170" s="62">
        <f t="shared" si="144"/>
        <v>384.46649239172427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4.4491143921700864</v>
      </c>
      <c r="AV170" s="23">
        <f>EXP(-LN(2)/25)*AV169+(1-EXP(-LN(2)/25))/(LN(2)/25)*Calculateur!AQ170*Calculateur!AS170*VLOOKUP('Données projet'!$B$10,Paramètres!$A$1:$I$89,3,0)*0.475*44/12</f>
        <v>0.34575608332829721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4.7948704754983833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>
        <f>BD170*VLOOKUP('Données projet'!$B$11,Paramètres!$A$1:$I$89,3,0)*VLOOKUP('Données projet'!$B$11,Paramètres!$A$1:$I$89,5,0)</f>
        <v>0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83.883967208992033</v>
      </c>
      <c r="BJ170" s="62">
        <f t="shared" si="146"/>
        <v>391.78028845111544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4.5479836008849786</v>
      </c>
      <c r="BQ170" s="23">
        <f>EXP(-LN(2)/25)*BQ169+(1-EXP(-LN(2)/25))/(LN(2)/25)*Calculateur!BL170*Calculateur!BN170*VLOOKUP('Données projet'!$B$11,Paramètres!$A$1:$I$89,3,0)*0.475*44/12</f>
        <v>0.35343955184670384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4.9014231527316827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135.66666666666666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76.280749912424909</v>
      </c>
      <c r="T171" s="62">
        <f t="shared" si="142"/>
        <v>353.34276014239026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3.9499155863273709</v>
      </c>
      <c r="AA171" s="23">
        <f>EXP(-LN(2)/25)*AA170+(1-EXP(-LN(2)/25))/(LN(2)/25)*Calculateur!V171*Calculateur!X171*VLOOKUP('Données projet'!$B$9,Paramètres!$A$1:$I$89,3,0)*0.475*44/12</f>
        <v>0.30453956945937455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4.2544551557867454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>
        <f>AI171*VLOOKUP('Données projet'!$B$10,Paramètres!$A$1:$I$89,3,0)*VLOOKUP('Données projet'!$B$10,Paramètres!$A$1:$I$89,5,0)</f>
        <v>0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82.437379371146534</v>
      </c>
      <c r="AO171" s="62">
        <f t="shared" si="144"/>
        <v>384.46649239172427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4.3618699726314558</v>
      </c>
      <c r="AV171" s="23">
        <f>EXP(-LN(2)/25)*AV170+(1-EXP(-LN(2)/25))/(LN(2)/25)*Calculateur!AQ171*Calculateur!AS171*VLOOKUP('Données projet'!$B$10,Paramètres!$A$1:$I$89,3,0)*0.475*44/12</f>
        <v>0.33630136504716274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4.6981713376786187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>
        <f>BD171*VLOOKUP('Données projet'!$B$11,Paramètres!$A$1:$I$89,3,0)*VLOOKUP('Données projet'!$B$11,Paramètres!$A$1:$I$89,5,0)</f>
        <v>0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83.883967208992033</v>
      </c>
      <c r="BJ171" s="62">
        <f t="shared" si="146"/>
        <v>391.78028845111544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4.4588004164677111</v>
      </c>
      <c r="BQ171" s="23">
        <f>EXP(-LN(2)/25)*BQ170+(1-EXP(-LN(2)/25))/(LN(2)/25)*Calculateur!BL171*Calculateur!BN171*VLOOKUP('Données projet'!$B$11,Paramètres!$A$1:$I$89,3,0)*0.475*44/12</f>
        <v>0.34377472871487746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4.8025751451825887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135.66666666666666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76.280749912424909</v>
      </c>
      <c r="T172" s="62">
        <f t="shared" si="142"/>
        <v>353.34276014239026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3.8724601508901091</v>
      </c>
      <c r="AA172" s="23">
        <f>EXP(-LN(2)/25)*AA171+(1-EXP(-LN(2)/25))/(LN(2)/25)*Calculateur!V172*Calculateur!X172*VLOOKUP('Données projet'!$B$9,Paramètres!$A$1:$I$89,3,0)*0.475*44/12</f>
        <v>0.29621191891746801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4.1686720698075774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>
        <f>AI172*VLOOKUP('Données projet'!$B$10,Paramètres!$A$1:$I$89,3,0)*VLOOKUP('Données projet'!$B$10,Paramètres!$A$1:$I$89,5,0)</f>
        <v>0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82.437379371146534</v>
      </c>
      <c r="AO172" s="62">
        <f t="shared" si="144"/>
        <v>384.46649239172427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4.2763363629461359</v>
      </c>
      <c r="AV172" s="23">
        <f>EXP(-LN(2)/25)*AV171+(1-EXP(-LN(2)/25))/(LN(2)/25)*Calculateur!AQ172*Calculateur!AS172*VLOOKUP('Données projet'!$B$10,Paramètres!$A$1:$I$89,3,0)*0.475*44/12</f>
        <v>0.32710518653462789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4.6034415494807641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>
        <f>BD172*VLOOKUP('Données projet'!$B$11,Paramètres!$A$1:$I$89,3,0)*VLOOKUP('Données projet'!$B$11,Paramètres!$A$1:$I$89,5,0)</f>
        <v>0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83.883967208992033</v>
      </c>
      <c r="BJ172" s="62">
        <f t="shared" si="146"/>
        <v>391.78028845111544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4.3713660599004953</v>
      </c>
      <c r="BQ172" s="23">
        <f>EXP(-LN(2)/25)*BQ171+(1-EXP(-LN(2)/25))/(LN(2)/25)*Calculateur!BL172*Calculateur!BN172*VLOOKUP('Données projet'!$B$11,Paramètres!$A$1:$I$89,3,0)*0.475*44/12</f>
        <v>0.33437419067984187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4.7057402505803374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135.66666666666666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76.280749912424909</v>
      </c>
      <c r="T173" s="62">
        <f t="shared" si="142"/>
        <v>353.34276014239026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3.7965235692986212</v>
      </c>
      <c r="AA173" s="23">
        <f>EXP(-LN(2)/25)*AA172+(1-EXP(-LN(2)/25))/(LN(2)/25)*Calculateur!V173*Calculateur!X173*VLOOKUP('Données projet'!$B$9,Paramètres!$A$1:$I$89,3,0)*0.475*44/12</f>
        <v>0.28811198841756203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4.084635557716183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>
        <f>AI173*VLOOKUP('Données projet'!$B$10,Paramètres!$A$1:$I$89,3,0)*VLOOKUP('Données projet'!$B$10,Paramètres!$A$1:$I$89,5,0)</f>
        <v>0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82.437379371146534</v>
      </c>
      <c r="AO173" s="62">
        <f t="shared" si="144"/>
        <v>384.46649239172427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4.192480015176395</v>
      </c>
      <c r="AV173" s="23">
        <f>EXP(-LN(2)/25)*AV172+(1-EXP(-LN(2)/25))/(LN(2)/25)*Calculateur!AQ173*Calculateur!AS173*VLOOKUP('Données projet'!$B$10,Paramètres!$A$1:$I$89,3,0)*0.475*44/12</f>
        <v>0.31816047800712433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4.5106404931835193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>
        <f>BD173*VLOOKUP('Données projet'!$B$11,Paramètres!$A$1:$I$89,3,0)*VLOOKUP('Données projet'!$B$11,Paramètres!$A$1:$I$89,5,0)</f>
        <v>0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83.883967208992033</v>
      </c>
      <c r="BJ173" s="62">
        <f t="shared" si="146"/>
        <v>391.78028845111544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4.2856462377358708</v>
      </c>
      <c r="BQ173" s="23">
        <f>EXP(-LN(2)/25)*BQ172+(1-EXP(-LN(2)/25))/(LN(2)/25)*Calculateur!BL173*Calculateur!BN173*VLOOKUP('Données projet'!$B$11,Paramètres!$A$1:$I$89,3,0)*0.475*44/12</f>
        <v>0.32523071085172711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4.610876948587598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135.66666666666666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76.280749912424909</v>
      </c>
      <c r="T174" s="62">
        <f t="shared" si="142"/>
        <v>353.34276014239026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3.7220760577554008</v>
      </c>
      <c r="AA174" s="23">
        <f>EXP(-LN(2)/25)*AA173+(1-EXP(-LN(2)/25))/(LN(2)/25)*Calculateur!V174*Calculateur!X174*VLOOKUP('Données projet'!$B$9,Paramètres!$A$1:$I$89,3,0)*0.475*44/12</f>
        <v>0.28023355094313279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4.0023096086985337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>
        <f>AI174*VLOOKUP('Données projet'!$B$10,Paramètres!$A$1:$I$89,3,0)*VLOOKUP('Données projet'!$B$10,Paramètres!$A$1:$I$89,5,0)</f>
        <v>0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82.437379371146534</v>
      </c>
      <c r="AO174" s="62">
        <f t="shared" si="144"/>
        <v>384.46649239172427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4.1102680392390969</v>
      </c>
      <c r="AV174" s="23">
        <f>EXP(-LN(2)/25)*AV173+(1-EXP(-LN(2)/25))/(LN(2)/25)*Calculateur!AQ174*Calculateur!AS174*VLOOKUP('Données projet'!$B$10,Paramètres!$A$1:$I$89,3,0)*0.475*44/12</f>
        <v>0.30946036300468716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4.4197284022437842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>
        <f>BD174*VLOOKUP('Données projet'!$B$11,Paramètres!$A$1:$I$89,3,0)*VLOOKUP('Données projet'!$B$11,Paramètres!$A$1:$I$89,5,0)</f>
        <v>0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83.883967208992033</v>
      </c>
      <c r="BJ174" s="62">
        <f t="shared" si="146"/>
        <v>391.78028845111544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4.201607328999966</v>
      </c>
      <c r="BQ174" s="23">
        <f>EXP(-LN(2)/25)*BQ173+(1-EXP(-LN(2)/25))/(LN(2)/25)*Calculateur!BL174*Calculateur!BN174*VLOOKUP('Données projet'!$B$11,Paramètres!$A$1:$I$89,3,0)*0.475*44/12</f>
        <v>0.31633725996034689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4.5179445889603134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135.66666666666666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76.280749912424909</v>
      </c>
      <c r="T175" s="62">
        <f t="shared" si="142"/>
        <v>353.34276014239026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3.649088416505045</v>
      </c>
      <c r="AA175" s="23">
        <f>EXP(-LN(2)/25)*AA174+(1-EXP(-LN(2)/25))/(LN(2)/25)*Calculateur!V175*Calculateur!X175*VLOOKUP('Données projet'!$B$9,Paramètres!$A$1:$I$89,3,0)*0.475*44/12</f>
        <v>0.27257054975575085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3.9216589662607957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>
        <f>AI175*VLOOKUP('Données projet'!$B$10,Paramètres!$A$1:$I$89,3,0)*VLOOKUP('Données projet'!$B$10,Paramètres!$A$1:$I$89,5,0)</f>
        <v>0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82.437379371146534</v>
      </c>
      <c r="AO175" s="62">
        <f t="shared" si="144"/>
        <v>384.46649239172427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4.0296681900055749</v>
      </c>
      <c r="AV175" s="23">
        <f>EXP(-LN(2)/25)*AV174+(1-EXP(-LN(2)/25))/(LN(2)/25)*Calculateur!AQ175*Calculateur!AS175*VLOOKUP('Données projet'!$B$10,Paramètres!$A$1:$I$89,3,0)*0.475*44/12</f>
        <v>0.30099815310451078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4.330666343110086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>
        <f>BD175*VLOOKUP('Données projet'!$B$11,Paramètres!$A$1:$I$89,3,0)*VLOOKUP('Données projet'!$B$11,Paramètres!$A$1:$I$89,5,0)</f>
        <v>0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83.883967208992033</v>
      </c>
      <c r="BJ175" s="62">
        <f t="shared" si="146"/>
        <v>391.78028845111544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4.1192163720056989</v>
      </c>
      <c r="BQ175" s="23">
        <f>EXP(-LN(2)/25)*BQ174+(1-EXP(-LN(2)/25))/(LN(2)/25)*Calculateur!BL175*Calculateur!BN175*VLOOKUP('Données projet'!$B$11,Paramètres!$A$1:$I$89,3,0)*0.475*44/12</f>
        <v>0.30768700095127771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4.4269033729569767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135.66666666666666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76.280749912424909</v>
      </c>
      <c r="T176" s="62">
        <f t="shared" si="142"/>
        <v>353.34276014239026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3.5775320183815431</v>
      </c>
      <c r="AA176" s="23">
        <f>EXP(-LN(2)/25)*AA175+(1-EXP(-LN(2)/25))/(LN(2)/25)*Calculateur!V176*Calculateur!X176*VLOOKUP('Données projet'!$B$9,Paramètres!$A$1:$I$89,3,0)*0.475*44/12</f>
        <v>0.26511709373881759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3.8426491121203608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>
        <f>AI176*VLOOKUP('Données projet'!$B$10,Paramètres!$A$1:$I$89,3,0)*VLOOKUP('Données projet'!$B$10,Paramètres!$A$1:$I$89,5,0)</f>
        <v>0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82.437379371146534</v>
      </c>
      <c r="AO176" s="62">
        <f t="shared" si="144"/>
        <v>384.46649239172427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3.9506488546544682</v>
      </c>
      <c r="AV176" s="23">
        <f>EXP(-LN(2)/25)*AV175+(1-EXP(-LN(2)/25))/(LN(2)/25)*Calculateur!AQ176*Calculateur!AS176*VLOOKUP('Données projet'!$B$10,Paramètres!$A$1:$I$89,3,0)*0.475*44/12</f>
        <v>0.29276734277906302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4.2434161974335316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>
        <f>BD176*VLOOKUP('Données projet'!$B$11,Paramètres!$A$1:$I$89,3,0)*VLOOKUP('Données projet'!$B$11,Paramètres!$A$1:$I$89,5,0)</f>
        <v>0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83.883967208992033</v>
      </c>
      <c r="BJ176" s="62">
        <f t="shared" si="146"/>
        <v>391.78028845111544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4.0384410514245674</v>
      </c>
      <c r="BQ176" s="23">
        <f>EXP(-LN(2)/25)*BQ175+(1-EXP(-LN(2)/25))/(LN(2)/25)*Calculateur!BL176*Calculateur!BN176*VLOOKUP('Données projet'!$B$11,Paramètres!$A$1:$I$89,3,0)*0.475*44/12</f>
        <v>0.29927328372970885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4.337714335154276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135.66666666666666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76.280749912424909</v>
      </c>
      <c r="T177" s="62">
        <f t="shared" si="142"/>
        <v>353.34276014239026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3.50737879758015</v>
      </c>
      <c r="AA177" s="23">
        <f>EXP(-LN(2)/25)*AA176+(1-EXP(-LN(2)/25))/(LN(2)/25)*Calculateur!V177*Calculateur!X177*VLOOKUP('Données projet'!$B$9,Paramètres!$A$1:$I$89,3,0)*0.475*44/12</f>
        <v>0.25786745286862761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3.7652462504487776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>
        <f>AI177*VLOOKUP('Données projet'!$B$10,Paramètres!$A$1:$I$89,3,0)*VLOOKUP('Données projet'!$B$10,Paramètres!$A$1:$I$89,5,0)</f>
        <v>0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82.437379371146534</v>
      </c>
      <c r="AO177" s="62">
        <f t="shared" si="144"/>
        <v>384.46649239172427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3.8731790402725617</v>
      </c>
      <c r="AV177" s="23">
        <f>EXP(-LN(2)/25)*AV176+(1-EXP(-LN(2)/25))/(LN(2)/25)*Calculateur!AQ177*Calculateur!AS177*VLOOKUP('Données projet'!$B$10,Paramètres!$A$1:$I$89,3,0)*0.475*44/12</f>
        <v>0.28476160439480414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4.1579406446673657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>
        <f>BD177*VLOOKUP('Données projet'!$B$11,Paramètres!$A$1:$I$89,3,0)*VLOOKUP('Données projet'!$B$11,Paramètres!$A$1:$I$89,5,0)</f>
        <v>0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83.883967208992033</v>
      </c>
      <c r="BJ177" s="62">
        <f t="shared" si="146"/>
        <v>391.78028845111544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3.9592496856119515</v>
      </c>
      <c r="BQ177" s="23">
        <f>EXP(-LN(2)/25)*BQ176+(1-EXP(-LN(2)/25))/(LN(2)/25)*Calculateur!BL177*Calculateur!BN177*VLOOKUP('Données projet'!$B$11,Paramètres!$A$1:$I$89,3,0)*0.475*44/12</f>
        <v>0.29108964004802196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4.2503393256599731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135.66666666666666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76.280749912424909</v>
      </c>
      <c r="T178" s="62">
        <f t="shared" si="142"/>
        <v>353.34276014239026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3.4386012386494325</v>
      </c>
      <c r="AA178" s="23">
        <f>EXP(-LN(2)/25)*AA177+(1-EXP(-LN(2)/25))/(LN(2)/25)*Calculateur!V178*Calculateur!X178*VLOOKUP('Données projet'!$B$9,Paramètres!$A$1:$I$89,3,0)*0.475*44/12</f>
        <v>0.25081605380927502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3.6894172924587076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>
        <f>AI178*VLOOKUP('Données projet'!$B$10,Paramètres!$A$1:$I$89,3,0)*VLOOKUP('Données projet'!$B$10,Paramètres!$A$1:$I$89,5,0)</f>
        <v>0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82.437379371146534</v>
      </c>
      <c r="AO178" s="62">
        <f t="shared" si="144"/>
        <v>384.46649239172427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3.797228361698763</v>
      </c>
      <c r="AV178" s="23">
        <f>EXP(-LN(2)/25)*AV177+(1-EXP(-LN(2)/25))/(LN(2)/25)*Calculateur!AQ178*Calculateur!AS178*VLOOKUP('Données projet'!$B$10,Paramètres!$A$1:$I$89,3,0)*0.475*44/12</f>
        <v>0.27697478334766629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4.0742031450464289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>
        <f>BD178*VLOOKUP('Données projet'!$B$11,Paramètres!$A$1:$I$89,3,0)*VLOOKUP('Données projet'!$B$11,Paramètres!$A$1:$I$89,5,0)</f>
        <v>0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83.883967208992033</v>
      </c>
      <c r="BJ178" s="62">
        <f t="shared" si="146"/>
        <v>391.78028845111544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3.8816112141809573</v>
      </c>
      <c r="BQ178" s="23">
        <f>EXP(-LN(2)/25)*BQ177+(1-EXP(-LN(2)/25))/(LN(2)/25)*Calculateur!BL178*Calculateur!BN178*VLOOKUP('Données projet'!$B$11,Paramètres!$A$1:$I$89,3,0)*0.475*44/12</f>
        <v>0.2831297785331699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4.164740992714127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135.66666666666666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76.280749912424909</v>
      </c>
      <c r="T179" s="62">
        <f t="shared" si="142"/>
        <v>353.34276014239026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3.3711723656991777</v>
      </c>
      <c r="AA179" s="23">
        <f>EXP(-LN(2)/25)*AA178+(1-EXP(-LN(2)/25))/(LN(2)/25)*Calculateur!V179*Calculateur!X179*VLOOKUP('Données projet'!$B$9,Paramètres!$A$1:$I$89,3,0)*0.475*44/12</f>
        <v>0.24395747562801737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3.6151298413271951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>
        <f>AI179*VLOOKUP('Données projet'!$B$10,Paramètres!$A$1:$I$89,3,0)*VLOOKUP('Données projet'!$B$10,Paramètres!$A$1:$I$89,5,0)</f>
        <v>0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82.437379371146534</v>
      </c>
      <c r="AO179" s="62">
        <f t="shared" si="144"/>
        <v>384.46649239172427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3.722767029606457</v>
      </c>
      <c r="AV179" s="23">
        <f>EXP(-LN(2)/25)*AV178+(1-EXP(-LN(2)/25))/(LN(2)/25)*Calculateur!AQ179*Calculateur!AS179*VLOOKUP('Données projet'!$B$10,Paramètres!$A$1:$I$89,3,0)*0.475*44/12</f>
        <v>0.26940089333155354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3.9921679229380107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>
        <f>BD179*VLOOKUP('Données projet'!$B$11,Paramètres!$A$1:$I$89,3,0)*VLOOKUP('Données projet'!$B$11,Paramètres!$A$1:$I$89,5,0)</f>
        <v>0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83.883967208992033</v>
      </c>
      <c r="BJ179" s="62">
        <f t="shared" si="146"/>
        <v>391.78028845111544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3.8054951858199333</v>
      </c>
      <c r="BQ179" s="23">
        <f>EXP(-LN(2)/25)*BQ178+(1-EXP(-LN(2)/25))/(LN(2)/25)*Calculateur!BL179*Calculateur!BN179*VLOOKUP('Données projet'!$B$11,Paramètres!$A$1:$I$89,3,0)*0.475*44/12</f>
        <v>0.27538757985003243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4.0808827656699656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135.66666666666666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76.280749912424909</v>
      </c>
      <c r="T180" s="62">
        <f t="shared" si="142"/>
        <v>353.34276014239026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3.3050657318199259</v>
      </c>
      <c r="AA180" s="23">
        <f>EXP(-LN(2)/25)*AA179+(1-EXP(-LN(2)/25))/(LN(2)/25)*Calculateur!V180*Calculateur!X180*VLOOKUP('Données projet'!$B$9,Paramètres!$A$1:$I$89,3,0)*0.475*44/12</f>
        <v>0.23728644562780316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3.5423521774477291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>
        <f>AI180*VLOOKUP('Données projet'!$B$10,Paramètres!$A$1:$I$89,3,0)*VLOOKUP('Données projet'!$B$10,Paramètres!$A$1:$I$89,5,0)</f>
        <v>0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82.437379371146534</v>
      </c>
      <c r="AO180" s="62">
        <f t="shared" si="144"/>
        <v>384.46649239172427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3.6497658388195529</v>
      </c>
      <c r="AV180" s="23">
        <f>EXP(-LN(2)/25)*AV179+(1-EXP(-LN(2)/25))/(LN(2)/25)*Calculateur!AQ180*Calculateur!AS180*VLOOKUP('Données projet'!$B$10,Paramètres!$A$1:$I$89,3,0)*0.475*44/12</f>
        <v>0.26203411173622493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3.9117999505557779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>
        <f>BD180*VLOOKUP('Données projet'!$B$11,Paramètres!$A$1:$I$89,3,0)*VLOOKUP('Données projet'!$B$11,Paramètres!$A$1:$I$89,5,0)</f>
        <v>0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83.883967208992033</v>
      </c>
      <c r="BJ180" s="62">
        <f t="shared" si="146"/>
        <v>391.78028845111544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3.7308717463488761</v>
      </c>
      <c r="BQ180" s="23">
        <f>EXP(-LN(2)/25)*BQ179+(1-EXP(-LN(2)/25))/(LN(2)/25)*Calculateur!BL180*Calculateur!BN180*VLOOKUP('Données projet'!$B$11,Paramètres!$A$1:$I$89,3,0)*0.475*44/12</f>
        <v>0.26785709199702989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3.9987288383459059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135.66666666666666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76.280749912424909</v>
      </c>
      <c r="T181" s="62">
        <f t="shared" si="142"/>
        <v>353.34276014239026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3.2402554087099809</v>
      </c>
      <c r="AA181" s="23">
        <f>EXP(-LN(2)/25)*AA180+(1-EXP(-LN(2)/25))/(LN(2)/25)*Calculateur!V181*Calculateur!X181*VLOOKUP('Données projet'!$B$9,Paramètres!$A$1:$I$89,3,0)*0.475*44/12</f>
        <v>0.23079783529375902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3.4710532440037398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>
        <f>AI181*VLOOKUP('Données projet'!$B$10,Paramètres!$A$1:$I$89,3,0)*VLOOKUP('Données projet'!$B$10,Paramètres!$A$1:$I$89,5,0)</f>
        <v>0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82.437379371146534</v>
      </c>
      <c r="AO181" s="62">
        <f t="shared" si="144"/>
        <v>384.46649239172427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3.5781961568576501</v>
      </c>
      <c r="AV181" s="23">
        <f>EXP(-LN(2)/25)*AV180+(1-EXP(-LN(2)/25))/(LN(2)/25)*Calculateur!AQ181*Calculateur!AS181*VLOOKUP('Données projet'!$B$10,Paramètres!$A$1:$I$89,3,0)*0.475*44/12</f>
        <v>0.2548687751710228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3.8330649320286732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>
        <f>BD181*VLOOKUP('Données projet'!$B$11,Paramètres!$A$1:$I$89,3,0)*VLOOKUP('Données projet'!$B$11,Paramètres!$A$1:$I$89,5,0)</f>
        <v>0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83.883967208992033</v>
      </c>
      <c r="BJ181" s="62">
        <f t="shared" si="146"/>
        <v>391.78028845111544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3.6577116270100425</v>
      </c>
      <c r="BQ181" s="23">
        <f>EXP(-LN(2)/25)*BQ180+(1-EXP(-LN(2)/25))/(LN(2)/25)*Calculateur!BL181*Calculateur!BN181*VLOOKUP('Données projet'!$B$11,Paramètres!$A$1:$I$89,3,0)*0.475*44/12</f>
        <v>0.26053252573037883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3.9182441527404213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135.66666666666666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76.280749912424909</v>
      </c>
      <c r="T182" s="62">
        <f t="shared" si="142"/>
        <v>353.34276014239026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3.1767159765058279</v>
      </c>
      <c r="AA182" s="23">
        <f>EXP(-LN(2)/25)*AA181+(1-EXP(-LN(2)/25))/(LN(2)/25)*Calculateur!V182*Calculateur!X182*VLOOKUP('Données projet'!$B$9,Paramètres!$A$1:$I$89,3,0)*0.475*44/12</f>
        <v>0.22448665635052051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3.4012026328563483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>
        <f>AI182*VLOOKUP('Données projet'!$B$10,Paramètres!$A$1:$I$89,3,0)*VLOOKUP('Données projet'!$B$10,Paramètres!$A$1:$I$89,5,0)</f>
        <v>0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82.437379371146534</v>
      </c>
      <c r="AO182" s="62">
        <f t="shared" si="144"/>
        <v>384.46649239172427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3.5080299127058248</v>
      </c>
      <c r="AV182" s="23">
        <f>EXP(-LN(2)/25)*AV181+(1-EXP(-LN(2)/25))/(LN(2)/25)*Calculateur!AQ182*Calculateur!AS182*VLOOKUP('Données projet'!$B$10,Paramètres!$A$1:$I$89,3,0)*0.475*44/12</f>
        <v>0.24789937511100479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3.7559292878168296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>
        <f>BD182*VLOOKUP('Données projet'!$B$11,Paramètres!$A$1:$I$89,3,0)*VLOOKUP('Données projet'!$B$11,Paramètres!$A$1:$I$89,5,0)</f>
        <v>0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83.883967208992033</v>
      </c>
      <c r="BJ182" s="62">
        <f t="shared" si="146"/>
        <v>391.78028845111544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3.5859861329881766</v>
      </c>
      <c r="BQ182" s="23">
        <f>EXP(-LN(2)/25)*BQ181+(1-EXP(-LN(2)/25))/(LN(2)/25)*Calculateur!BL182*Calculateur!BN182*VLOOKUP('Données projet'!$B$11,Paramètres!$A$1:$I$89,3,0)*0.475*44/12</f>
        <v>0.25340825011347157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3.8393943831016482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135.66666666666666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76.280749912424909</v>
      </c>
      <c r="T183" s="62">
        <f t="shared" si="142"/>
        <v>353.34276014239026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3.1144225138119719</v>
      </c>
      <c r="AA183" s="23">
        <f>EXP(-LN(2)/25)*AA182+(1-EXP(-LN(2)/25))/(LN(2)/25)*Calculateur!V183*Calculateur!X183*VLOOKUP('Données projet'!$B$9,Paramètres!$A$1:$I$89,3,0)*0.475*44/12</f>
        <v>0.21834805692737533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3.3327705707393473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>
        <f>AI183*VLOOKUP('Données projet'!$B$10,Paramètres!$A$1:$I$89,3,0)*VLOOKUP('Données projet'!$B$10,Paramètres!$A$1:$I$89,5,0)</f>
        <v>0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82.437379371146534</v>
      </c>
      <c r="AO183" s="62">
        <f t="shared" si="144"/>
        <v>384.46649239172427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3.4392395858046338</v>
      </c>
      <c r="AV183" s="23">
        <f>EXP(-LN(2)/25)*AV182+(1-EXP(-LN(2)/25))/(LN(2)/25)*Calculateur!AQ183*Calculateur!AS183*VLOOKUP('Données projet'!$B$10,Paramètres!$A$1:$I$89,3,0)*0.475*44/12</f>
        <v>0.24112055366213281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3.6803601394667664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>
        <f>BD183*VLOOKUP('Données projet'!$B$11,Paramètres!$A$1:$I$89,3,0)*VLOOKUP('Données projet'!$B$11,Paramètres!$A$1:$I$89,5,0)</f>
        <v>0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83.883967208992033</v>
      </c>
      <c r="BJ183" s="62">
        <f t="shared" si="146"/>
        <v>391.78028845111544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3.5156671321558481</v>
      </c>
      <c r="BQ183" s="23">
        <f>EXP(-LN(2)/25)*BQ182+(1-EXP(-LN(2)/25))/(LN(2)/25)*Calculateur!BL183*Calculateur!BN183*VLOOKUP('Données projet'!$B$11,Paramètres!$A$1:$I$89,3,0)*0.475*44/12</f>
        <v>0.24647878818795799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3.7621459203438059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135.66666666666666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76.280749912424909</v>
      </c>
      <c r="T184" s="62">
        <f t="shared" si="142"/>
        <v>353.34276014239026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3.0533505879262814</v>
      </c>
      <c r="AA184" s="23">
        <f>EXP(-LN(2)/25)*AA183+(1-EXP(-LN(2)/25))/(LN(2)/25)*Calculateur!V184*Calculateur!X184*VLOOKUP('Données projet'!$B$9,Paramètres!$A$1:$I$89,3,0)*0.475*44/12</f>
        <v>0.21237731782827099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3.2657279057545523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>
        <f>AI184*VLOOKUP('Données projet'!$B$10,Paramètres!$A$1:$I$89,3,0)*VLOOKUP('Données projet'!$B$10,Paramètres!$A$1:$I$89,5,0)</f>
        <v>0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82.437379371146534</v>
      </c>
      <c r="AO184" s="62">
        <f t="shared" si="144"/>
        <v>384.46649239172427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3.371798195256019</v>
      </c>
      <c r="AV184" s="23">
        <f>EXP(-LN(2)/25)*AV183+(1-EXP(-LN(2)/25))/(LN(2)/25)*Calculateur!AQ184*Calculateur!AS184*VLOOKUP('Données projet'!$B$10,Paramètres!$A$1:$I$89,3,0)*0.475*44/12</f>
        <v>0.23452709944226297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3.6063252946982818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>
        <f>BD184*VLOOKUP('Données projet'!$B$11,Paramètres!$A$1:$I$89,3,0)*VLOOKUP('Données projet'!$B$11,Paramètres!$A$1:$I$89,5,0)</f>
        <v>0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83.883967208992033</v>
      </c>
      <c r="BJ184" s="62">
        <f t="shared" si="146"/>
        <v>391.78028845111544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3.4467270440394859</v>
      </c>
      <c r="BQ184" s="23">
        <f>EXP(-LN(2)/25)*BQ183+(1-EXP(-LN(2)/25))/(LN(2)/25)*Calculateur!BL184*Calculateur!BN184*VLOOKUP('Données projet'!$B$11,Paramètres!$A$1:$I$89,3,0)*0.475*44/12</f>
        <v>0.23973881276320214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3.686465856802688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135.66666666666666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76.280749912424909</v>
      </c>
      <c r="T185" s="62">
        <f t="shared" si="142"/>
        <v>353.34276014239026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2.9934762452570127</v>
      </c>
      <c r="AA185" s="23">
        <f>EXP(-LN(2)/25)*AA184+(1-EXP(-LN(2)/25))/(LN(2)/25)*Calculateur!V185*Calculateur!X185*VLOOKUP('Données projet'!$B$9,Paramètres!$A$1:$I$89,3,0)*0.475*44/12</f>
        <v>0.20656984890381916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3.200046094160832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>
        <f>AI185*VLOOKUP('Données projet'!$B$10,Paramètres!$A$1:$I$89,3,0)*VLOOKUP('Données projet'!$B$10,Paramètres!$A$1:$I$89,5,0)</f>
        <v>0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82.437379371146534</v>
      </c>
      <c r="AO185" s="62">
        <f t="shared" si="144"/>
        <v>384.46649239172427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3.3056792892408757</v>
      </c>
      <c r="AV185" s="23">
        <f>EXP(-LN(2)/25)*AV184+(1-EXP(-LN(2)/25))/(LN(2)/25)*Calculateur!AQ185*Calculateur!AS185*VLOOKUP('Données projet'!$B$10,Paramètres!$A$1:$I$89,3,0)*0.475*44/12</f>
        <v>0.22811394357477013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3.5337932328156461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>
        <f>BD185*VLOOKUP('Données projet'!$B$11,Paramètres!$A$1:$I$89,3,0)*VLOOKUP('Données projet'!$B$11,Paramètres!$A$1:$I$89,5,0)</f>
        <v>0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83.883967208992033</v>
      </c>
      <c r="BJ185" s="62">
        <f t="shared" si="146"/>
        <v>391.78028845111544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3.3791388290017839</v>
      </c>
      <c r="BQ185" s="23">
        <f>EXP(-LN(2)/25)*BQ184+(1-EXP(-LN(2)/25))/(LN(2)/25)*Calculateur!BL185*Calculateur!BN185*VLOOKUP('Données projet'!$B$11,Paramètres!$A$1:$I$89,3,0)*0.475*44/12</f>
        <v>0.23318314232087614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3.6123219713226602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135.66666666666666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76.280749912424909</v>
      </c>
      <c r="T186" s="62">
        <f t="shared" si="142"/>
        <v>353.34276014239026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2.9347760019277453</v>
      </c>
      <c r="AA186" s="23">
        <f>EXP(-LN(2)/25)*AA185+(1-EXP(-LN(2)/25))/(LN(2)/25)*Calculateur!V186*Calculateur!X186*VLOOKUP('Données projet'!$B$9,Paramètres!$A$1:$I$89,3,0)*0.475*44/12</f>
        <v>0.20092118552250798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3.1356971874502535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>
        <f>AI186*VLOOKUP('Données projet'!$B$10,Paramètres!$A$1:$I$89,3,0)*VLOOKUP('Données projet'!$B$10,Paramètres!$A$1:$I$89,5,0)</f>
        <v>0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82.437379371146534</v>
      </c>
      <c r="AO186" s="62">
        <f t="shared" si="144"/>
        <v>384.46649239172427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3.2408569346441389</v>
      </c>
      <c r="AV186" s="23">
        <f>EXP(-LN(2)/25)*AV185+(1-EXP(-LN(2)/25))/(LN(2)/25)*Calculateur!AQ186*Calculateur!AS186*VLOOKUP('Données projet'!$B$10,Paramètres!$A$1:$I$89,3,0)*0.475*44/12</f>
        <v>0.22187615579172712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3.462733090435866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>
        <f>BD186*VLOOKUP('Données projet'!$B$11,Paramètres!$A$1:$I$89,3,0)*VLOOKUP('Données projet'!$B$11,Paramètres!$A$1:$I$89,5,0)</f>
        <v>0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83.883967208992033</v>
      </c>
      <c r="BJ186" s="62">
        <f t="shared" si="146"/>
        <v>391.78028845111544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3.3128759776362307</v>
      </c>
      <c r="BQ186" s="23">
        <f>EXP(-LN(2)/25)*BQ185+(1-EXP(-LN(2)/25))/(LN(2)/25)*Calculateur!BL186*Calculateur!BN186*VLOOKUP('Données projet'!$B$11,Paramètres!$A$1:$I$89,3,0)*0.475*44/12</f>
        <v>0.22680673703154328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3.5396827146677738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135.66666666666666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76.280749912424909</v>
      </c>
      <c r="T187" s="62">
        <f t="shared" si="142"/>
        <v>353.34276014239026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2.8772268345665521</v>
      </c>
      <c r="AA187" s="23">
        <f>EXP(-LN(2)/25)*AA186+(1-EXP(-LN(2)/25))/(LN(2)/25)*Calculateur!V187*Calculateur!X187*VLOOKUP('Données projet'!$B$9,Paramètres!$A$1:$I$89,3,0)*0.475*44/12</f>
        <v>0.19542698513840906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3.0726538197049611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>
        <f>AI187*VLOOKUP('Données projet'!$B$10,Paramètres!$A$1:$I$89,3,0)*VLOOKUP('Données projet'!$B$10,Paramètres!$A$1:$I$89,5,0)</f>
        <v>0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82.437379371146534</v>
      </c>
      <c r="AO187" s="62">
        <f t="shared" si="144"/>
        <v>384.46649239172427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3.1773057068833119</v>
      </c>
      <c r="AV187" s="23">
        <f>EXP(-LN(2)/25)*AV186+(1-EXP(-LN(2)/25))/(LN(2)/25)*Calculateur!AQ187*Calculateur!AS187*VLOOKUP('Données projet'!$B$10,Paramètres!$A$1:$I$89,3,0)*0.475*44/12</f>
        <v>0.21580894064364242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3.3931146475269545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>
        <f>BD187*VLOOKUP('Données projet'!$B$11,Paramètres!$A$1:$I$89,3,0)*VLOOKUP('Données projet'!$B$11,Paramètres!$A$1:$I$89,5,0)</f>
        <v>0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83.883967208992033</v>
      </c>
      <c r="BJ187" s="62">
        <f t="shared" si="146"/>
        <v>391.78028845111544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3.2479125003696074</v>
      </c>
      <c r="BQ187" s="23">
        <f>EXP(-LN(2)/25)*BQ186+(1-EXP(-LN(2)/25))/(LN(2)/25)*Calculateur!BL187*Calculateur!BN187*VLOOKUP('Données projet'!$B$11,Paramètres!$A$1:$I$89,3,0)*0.475*44/12</f>
        <v>0.22060469488016779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3.4685171952497753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135.66666666666666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76.280749912424909</v>
      </c>
      <c r="T188" s="62">
        <f t="shared" si="142"/>
        <v>353.34276014239026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2.8208061712757857</v>
      </c>
      <c r="AA188" s="23">
        <f>EXP(-LN(2)/25)*AA187+(1-EXP(-LN(2)/25))/(LN(2)/25)*Calculateur!V188*Calculateur!X188*VLOOKUP('Données projet'!$B$9,Paramètres!$A$1:$I$89,3,0)*0.475*44/12</f>
        <v>0.19008302395274077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3.0108891952285264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>
        <f>AI188*VLOOKUP('Données projet'!$B$10,Paramètres!$A$1:$I$89,3,0)*VLOOKUP('Données projet'!$B$10,Paramètres!$A$1:$I$89,5,0)</f>
        <v>0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82.437379371146534</v>
      </c>
      <c r="AO188" s="62">
        <f t="shared" si="144"/>
        <v>384.46649239172427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3.1150006799364531</v>
      </c>
      <c r="AV188" s="23">
        <f>EXP(-LN(2)/25)*AV187+(1-EXP(-LN(2)/25))/(LN(2)/25)*Calculateur!AQ188*Calculateur!AS188*VLOOKUP('Données projet'!$B$10,Paramètres!$A$1:$I$89,3,0)*0.475*44/12</f>
        <v>0.20990763381284308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3.3249083137492961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>
        <f>BD188*VLOOKUP('Données projet'!$B$11,Paramètres!$A$1:$I$89,3,0)*VLOOKUP('Données projet'!$B$11,Paramètres!$A$1:$I$89,5,0)</f>
        <v>0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83.883967208992033</v>
      </c>
      <c r="BJ188" s="62">
        <f t="shared" si="146"/>
        <v>391.78028845111544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3.1842229172683743</v>
      </c>
      <c r="BQ188" s="23">
        <f>EXP(-LN(2)/25)*BQ187+(1-EXP(-LN(2)/25))/(LN(2)/25)*Calculateur!BL188*Calculateur!BN188*VLOOKUP('Données projet'!$B$11,Paramètres!$A$1:$I$89,3,0)*0.475*44/12</f>
        <v>0.2145722478975729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3.3987951651659474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135.66666666666666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76.280749912424909</v>
      </c>
      <c r="T189" s="62">
        <f t="shared" si="142"/>
        <v>353.34276014239026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2.7654918827789445</v>
      </c>
      <c r="AA189" s="23">
        <f>EXP(-LN(2)/25)*AA188+(1-EXP(-LN(2)/25))/(LN(2)/25)*Calculateur!V189*Calculateur!X189*VLOOKUP('Données projet'!$B$9,Paramètres!$A$1:$I$89,3,0)*0.475*44/12</f>
        <v>0.18488519366672129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2.9503770764456658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>
        <f>AI189*VLOOKUP('Données projet'!$B$10,Paramètres!$A$1:$I$89,3,0)*VLOOKUP('Données projet'!$B$10,Paramètres!$A$1:$I$89,5,0)</f>
        <v>0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82.437379371146534</v>
      </c>
      <c r="AO189" s="62">
        <f t="shared" si="144"/>
        <v>384.46649239172427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3.0539174165657084</v>
      </c>
      <c r="AV189" s="23">
        <f>EXP(-LN(2)/25)*AV188+(1-EXP(-LN(2)/25))/(LN(2)/25)*Calculateur!AQ189*Calculateur!AS189*VLOOKUP('Données projet'!$B$10,Paramètres!$A$1:$I$89,3,0)*0.475*44/12</f>
        <v>0.20416769852766817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3.2580851150933765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>
        <f>BD189*VLOOKUP('Données projet'!$B$11,Paramètres!$A$1:$I$89,3,0)*VLOOKUP('Données projet'!$B$11,Paramètres!$A$1:$I$89,5,0)</f>
        <v>0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83.883967208992033</v>
      </c>
      <c r="BJ189" s="62">
        <f t="shared" si="146"/>
        <v>391.78028845111544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3.1217822480449464</v>
      </c>
      <c r="BQ189" s="23">
        <f>EXP(-LN(2)/25)*BQ188+(1-EXP(-LN(2)/25))/(LN(2)/25)*Calculateur!BL189*Calculateur!BN189*VLOOKUP('Données projet'!$B$11,Paramètres!$A$1:$I$89,3,0)*0.475*44/12</f>
        <v>0.20870475849494965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3.3304870065398959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135.66666666666666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76.280749912424909</v>
      </c>
      <c r="T190" s="62">
        <f t="shared" si="142"/>
        <v>353.34276014239026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2.7112622737411418</v>
      </c>
      <c r="AA190" s="23">
        <f>EXP(-LN(2)/25)*AA189+(1-EXP(-LN(2)/25))/(LN(2)/25)*Calculateur!V190*Calculateur!X190*VLOOKUP('Données projet'!$B$9,Paramètres!$A$1:$I$89,3,0)*0.475*44/12</f>
        <v>0.17982949832321501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2.8910917720643567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>
        <f>AI190*VLOOKUP('Données projet'!$B$10,Paramètres!$A$1:$I$89,3,0)*VLOOKUP('Données projet'!$B$10,Paramètres!$A$1:$I$89,5,0)</f>
        <v>0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82.437379371146534</v>
      </c>
      <c r="AO190" s="62">
        <f t="shared" si="144"/>
        <v>384.46649239172427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2.9940319587325521</v>
      </c>
      <c r="AV190" s="23">
        <f>EXP(-LN(2)/25)*AV189+(1-EXP(-LN(2)/25))/(LN(2)/25)*Calculateur!AQ190*Calculateur!AS190*VLOOKUP('Données projet'!$B$10,Paramètres!$A$1:$I$89,3,0)*0.475*44/12</f>
        <v>0.19858472207471645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3.1926166808072685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>
        <f>BD190*VLOOKUP('Données projet'!$B$11,Paramètres!$A$1:$I$89,3,0)*VLOOKUP('Données projet'!$B$11,Paramètres!$A$1:$I$89,5,0)</f>
        <v>0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83.883967208992033</v>
      </c>
      <c r="BJ190" s="62">
        <f t="shared" si="146"/>
        <v>391.78028845111544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3.0605660022599421</v>
      </c>
      <c r="BQ190" s="23">
        <f>EXP(-LN(2)/25)*BQ189+(1-EXP(-LN(2)/25))/(LN(2)/25)*Calculateur!BL190*Calculateur!BN190*VLOOKUP('Données projet'!$B$11,Paramètres!$A$1:$I$89,3,0)*0.475*44/12</f>
        <v>0.202997715898599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3.2635637181585411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135.66666666666666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76.280749912424909</v>
      </c>
      <c r="T191" s="62">
        <f t="shared" si="142"/>
        <v>353.34276014239026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2.6580960742597752</v>
      </c>
      <c r="AA191" s="23">
        <f>EXP(-LN(2)/25)*AA190+(1-EXP(-LN(2)/25))/(LN(2)/25)*Calculateur!V191*Calculateur!X191*VLOOKUP('Données projet'!$B$9,Paramètres!$A$1:$I$89,3,0)*0.475*44/12</f>
        <v>0.17491205123474438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2.8330081254945196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>
        <f>AI191*VLOOKUP('Données projet'!$B$10,Paramètres!$A$1:$I$89,3,0)*VLOOKUP('Données projet'!$B$10,Paramètres!$A$1:$I$89,5,0)</f>
        <v>0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82.437379371146534</v>
      </c>
      <c r="AO191" s="62">
        <f t="shared" si="144"/>
        <v>384.46649239172427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2.9353208182009816</v>
      </c>
      <c r="AV191" s="23">
        <f>EXP(-LN(2)/25)*AV190+(1-EXP(-LN(2)/25))/(LN(2)/25)*Calculateur!AQ191*Calculateur!AS191*VLOOKUP('Données projet'!$B$10,Paramètres!$A$1:$I$89,3,0)*0.475*44/12</f>
        <v>0.19315441240646666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3.1284752306074481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>
        <f>BD191*VLOOKUP('Données projet'!$B$11,Paramètres!$A$1:$I$89,3,0)*VLOOKUP('Données projet'!$B$11,Paramètres!$A$1:$I$89,5,0)</f>
        <v>0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83.883967208992033</v>
      </c>
      <c r="BJ191" s="62">
        <f t="shared" si="146"/>
        <v>391.78028845111544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3.0005501697165586</v>
      </c>
      <c r="BQ191" s="23">
        <f>EXP(-LN(2)/25)*BQ190+(1-EXP(-LN(2)/25))/(LN(2)/25)*Calculateur!BL191*Calculateur!BN191*VLOOKUP('Données projet'!$B$11,Paramètres!$A$1:$I$89,3,0)*0.475*44/12</f>
        <v>0.19744673268216589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3.1979969023987245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135.66666666666666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76.280749912424909</v>
      </c>
      <c r="T192" s="62">
        <f t="shared" si="142"/>
        <v>353.34276014239026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2.6059724315220585</v>
      </c>
      <c r="AA192" s="23">
        <f>EXP(-LN(2)/25)*AA191+(1-EXP(-LN(2)/25))/(LN(2)/25)*Calculateur!V192*Calculateur!X192*VLOOKUP('Données projet'!$B$9,Paramètres!$A$1:$I$89,3,0)*0.475*44/12</f>
        <v>0.17012907199550528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2.7761015035175638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>
        <f>AI192*VLOOKUP('Données projet'!$B$10,Paramètres!$A$1:$I$89,3,0)*VLOOKUP('Données projet'!$B$10,Paramètres!$A$1:$I$89,5,0)</f>
        <v>0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82.437379371146534</v>
      </c>
      <c r="AO192" s="62">
        <f t="shared" si="144"/>
        <v>384.46649239172427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2.8777609673249751</v>
      </c>
      <c r="AV192" s="23">
        <f>EXP(-LN(2)/25)*AV191+(1-EXP(-LN(2)/25))/(LN(2)/25)*Calculateur!AQ192*Calculateur!AS192*VLOOKUP('Données projet'!$B$10,Paramètres!$A$1:$I$89,3,0)*0.475*44/12</f>
        <v>0.18787259484166274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3.0656335621666377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>
        <f>BD192*VLOOKUP('Données projet'!$B$11,Paramètres!$A$1:$I$89,3,0)*VLOOKUP('Données projet'!$B$11,Paramètres!$A$1:$I$89,5,0)</f>
        <v>0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83.883967208992033</v>
      </c>
      <c r="BJ192" s="62">
        <f t="shared" si="146"/>
        <v>391.78028845111544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2.9417112110433075</v>
      </c>
      <c r="BQ192" s="23">
        <f>EXP(-LN(2)/25)*BQ191+(1-EXP(-LN(2)/25))/(LN(2)/25)*Calculateur!BL192*Calculateur!BN192*VLOOKUP('Données projet'!$B$11,Paramètres!$A$1:$I$89,3,0)*0.475*44/12</f>
        <v>0.19204754139369967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3.1337587524370072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135.66666666666666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76.280749912424909</v>
      </c>
      <c r="T193" s="62">
        <f t="shared" si="142"/>
        <v>353.34276014239026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2.5548709016261455</v>
      </c>
      <c r="AA193" s="23">
        <f>EXP(-LN(2)/25)*AA192+(1-EXP(-LN(2)/25))/(LN(2)/25)*Calculateur!V193*Calculateur!X193*VLOOKUP('Données projet'!$B$9,Paramètres!$A$1:$I$89,3,0)*0.475*44/12</f>
        <v>0.16547688357508913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2.7203477852012345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>
        <f>AI193*VLOOKUP('Données projet'!$B$10,Paramètres!$A$1:$I$89,3,0)*VLOOKUP('Données projet'!$B$10,Paramètres!$A$1:$I$89,5,0)</f>
        <v>0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82.437379371146534</v>
      </c>
      <c r="AO193" s="62">
        <f t="shared" si="144"/>
        <v>384.46649239172427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2.8213298300166048</v>
      </c>
      <c r="AV193" s="23">
        <f>EXP(-LN(2)/25)*AV192+(1-EXP(-LN(2)/25))/(LN(2)/25)*Calculateur!AQ193*Calculateur!AS193*VLOOKUP('Données projet'!$B$10,Paramètres!$A$1:$I$89,3,0)*0.475*44/12</f>
        <v>0.18273520885592709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3.0040650388725316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>
        <f>BD193*VLOOKUP('Données projet'!$B$11,Paramètres!$A$1:$I$89,3,0)*VLOOKUP('Données projet'!$B$11,Paramètres!$A$1:$I$89,5,0)</f>
        <v>0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83.883967208992033</v>
      </c>
      <c r="BJ193" s="62">
        <f t="shared" si="146"/>
        <v>391.78028845111544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2.884026048461418</v>
      </c>
      <c r="BQ193" s="23">
        <f>EXP(-LN(2)/25)*BQ192+(1-EXP(-LN(2)/25))/(LN(2)/25)*Calculateur!BL193*Calculateur!BN193*VLOOKUP('Données projet'!$B$11,Paramètres!$A$1:$I$89,3,0)*0.475*44/12</f>
        <v>0.18679599127494767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3.0708220397363655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135.66666666666666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76.280749912424909</v>
      </c>
      <c r="T194" s="62">
        <f t="shared" si="142"/>
        <v>353.34276014239026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2.5047714415626356</v>
      </c>
      <c r="AA194" s="23">
        <f>EXP(-LN(2)/25)*AA193+(1-EXP(-LN(2)/25))/(LN(2)/25)*Calculateur!V194*Calculateur!X194*VLOOKUP('Données projet'!$B$9,Paramètres!$A$1:$I$89,3,0)*0.475*44/12</f>
        <v>0.16095190949167723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2.665723351054313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>
        <f>AI194*VLOOKUP('Données projet'!$B$10,Paramètres!$A$1:$I$89,3,0)*VLOOKUP('Données projet'!$B$10,Paramètres!$A$1:$I$89,5,0)</f>
        <v>0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82.437379371146534</v>
      </c>
      <c r="AO194" s="62">
        <f t="shared" si="144"/>
        <v>384.46649239172427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2.7660052728912565</v>
      </c>
      <c r="AV194" s="23">
        <f>EXP(-LN(2)/25)*AV193+(1-EXP(-LN(2)/25))/(LN(2)/25)*Calculateur!AQ194*Calculateur!AS194*VLOOKUP('Données projet'!$B$10,Paramètres!$A$1:$I$89,3,0)*0.475*44/12</f>
        <v>0.17773830496013476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2.9437435778513912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>
        <f>BD194*VLOOKUP('Données projet'!$B$11,Paramètres!$A$1:$I$89,3,0)*VLOOKUP('Données projet'!$B$11,Paramètres!$A$1:$I$89,5,0)</f>
        <v>0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83.883967208992033</v>
      </c>
      <c r="BJ194" s="62">
        <f t="shared" si="146"/>
        <v>391.78028845111544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2.8274720567332841</v>
      </c>
      <c r="BQ194" s="23">
        <f>EXP(-LN(2)/25)*BQ193+(1-EXP(-LN(2)/25))/(LN(2)/25)*Calculateur!BL194*Calculateur!BN194*VLOOKUP('Données projet'!$B$11,Paramètres!$A$1:$I$89,3,0)*0.475*44/12</f>
        <v>0.18168804507035996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3.0091601018036442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135.66666666666666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76.280749912424909</v>
      </c>
      <c r="T195" s="62">
        <f t="shared" si="142"/>
        <v>353.34276014239026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2.4556544013533181</v>
      </c>
      <c r="AA195" s="23">
        <f>EXP(-LN(2)/25)*AA194+(1-EXP(-LN(2)/25))/(LN(2)/25)*Calculateur!V195*Calculateur!X195*VLOOKUP('Données projet'!$B$9,Paramètres!$A$1:$I$89,3,0)*0.475*44/12</f>
        <v>0.15655067106253426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2.6122050724158523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>
        <f>AI195*VLOOKUP('Données projet'!$B$10,Paramètres!$A$1:$I$89,3,0)*VLOOKUP('Données projet'!$B$10,Paramètres!$A$1:$I$89,5,0)</f>
        <v>0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82.437379371146534</v>
      </c>
      <c r="AO195" s="62">
        <f t="shared" si="144"/>
        <v>384.46649239172427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2.7117655965864884</v>
      </c>
      <c r="AV195" s="23">
        <f>EXP(-LN(2)/25)*AV194+(1-EXP(-LN(2)/25))/(LN(2)/25)*Calculateur!AQ195*Calculateur!AS195*VLOOKUP('Données projet'!$B$10,Paramètres!$A$1:$I$89,3,0)*0.475*44/12</f>
        <v>0.17287804166414864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2.8846436382506369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>
        <f>BD195*VLOOKUP('Données projet'!$B$11,Paramètres!$A$1:$I$89,3,0)*VLOOKUP('Données projet'!$B$11,Paramètres!$A$1:$I$89,5,0)</f>
        <v>0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83.883967208992033</v>
      </c>
      <c r="BJ195" s="62">
        <f t="shared" si="146"/>
        <v>391.78028845111544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2.7720270542884102</v>
      </c>
      <c r="BQ195" s="23">
        <f>EXP(-LN(2)/25)*BQ194+(1-EXP(-LN(2)/25))/(LN(2)/25)*Calculateur!BL195*Calculateur!BN195*VLOOKUP('Données projet'!$B$11,Paramètres!$A$1:$I$89,3,0)*0.475*44/12</f>
        <v>0.17671977592335192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2.9487468302117623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135.66666666666666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76.280749912424909</v>
      </c>
      <c r="T196" s="62">
        <f t="shared" si="142"/>
        <v>353.34276014239026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2.4075005163440686</v>
      </c>
      <c r="AA196" s="23">
        <f>EXP(-LN(2)/25)*AA195+(1-EXP(-LN(2)/25))/(LN(2)/25)*Calculateur!V196*Calculateur!X196*VLOOKUP('Données projet'!$B$9,Paramètres!$A$1:$I$89,3,0)*0.475*44/12</f>
        <v>0.15226978472968727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2.559770301073756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>
        <f>AI196*VLOOKUP('Données projet'!$B$10,Paramètres!$A$1:$I$89,3,0)*VLOOKUP('Données projet'!$B$10,Paramètres!$A$1:$I$89,5,0)</f>
        <v>0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82.437379371146534</v>
      </c>
      <c r="AO196" s="62">
        <f t="shared" si="144"/>
        <v>384.46649239172427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2.6585895272511211</v>
      </c>
      <c r="AV196" s="23">
        <f>EXP(-LN(2)/25)*AV195+(1-EXP(-LN(2)/25))/(LN(2)/25)*Calculateur!AQ196*Calculateur!AS196*VLOOKUP('Données projet'!$B$10,Paramètres!$A$1:$I$89,3,0)*0.475*44/12</f>
        <v>0.1681506825235814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2.8267402097747025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>
        <f>BD196*VLOOKUP('Données projet'!$B$11,Paramètres!$A$1:$I$89,3,0)*VLOOKUP('Données projet'!$B$11,Paramètres!$A$1:$I$89,5,0)</f>
        <v>0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83.883967208992033</v>
      </c>
      <c r="BJ196" s="62">
        <f t="shared" si="146"/>
        <v>391.78028845111544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2.7176692945233678</v>
      </c>
      <c r="BQ196" s="23">
        <f>EXP(-LN(2)/25)*BQ195+(1-EXP(-LN(2)/25))/(LN(2)/25)*Calculateur!BL196*Calculateur!BN196*VLOOKUP('Données projet'!$B$11,Paramètres!$A$1:$I$89,3,0)*0.475*44/12</f>
        <v>0.17188736435743873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2.8895566588808066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135.66666666666666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76.280749912424909</v>
      </c>
      <c r="T197" s="62">
        <f t="shared" ref="T197:T203" si="204">$T$3</f>
        <v>353.34276014239026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2.3602908996488807</v>
      </c>
      <c r="AA197" s="23">
        <f>EXP(-LN(2)/25)*AA196+(1-EXP(-LN(2)/25))/(LN(2)/25)*Calculateur!V197*Calculateur!X197*VLOOKUP('Données projet'!$B$9,Paramètres!$A$1:$I$89,3,0)*0.475*44/12</f>
        <v>0.148105959458734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2.5083968591076147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>
        <f>AI197*VLOOKUP('Données projet'!$B$10,Paramètres!$A$1:$I$89,3,0)*VLOOKUP('Données projet'!$B$10,Paramètres!$A$1:$I$89,5,0)</f>
        <v>0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82.437379371146534</v>
      </c>
      <c r="AO197" s="62">
        <f t="shared" ref="AO197:AO203" si="205">$AO$3</f>
        <v>384.46649239172427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2.6064562082012204</v>
      </c>
      <c r="AV197" s="23">
        <f>EXP(-LN(2)/25)*AV196+(1-EXP(-LN(2)/25))/(LN(2)/25)*Calculateur!AQ197*Calculateur!AS197*VLOOKUP('Données projet'!$B$10,Paramètres!$A$1:$I$89,3,0)*0.475*44/12</f>
        <v>0.16355259326731397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2.7700088014685345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>
        <f>BD197*VLOOKUP('Données projet'!$B$11,Paramètres!$A$1:$I$89,3,0)*VLOOKUP('Données projet'!$B$11,Paramètres!$A$1:$I$89,5,0)</f>
        <v>0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83.883967208992033</v>
      </c>
      <c r="BJ197" s="62">
        <f t="shared" ref="BJ197:BJ203" si="206">$BJ$3</f>
        <v>391.78028845111544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2.6643774572723582</v>
      </c>
      <c r="BQ197" s="23">
        <f>EXP(-LN(2)/25)*BQ196+(1-EXP(-LN(2)/25))/(LN(2)/25)*Calculateur!BL197*Calculateur!BN197*VLOOKUP('Données projet'!$B$11,Paramètres!$A$1:$I$89,3,0)*0.475*44/12</f>
        <v>0.16718709533992093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2.8315645526122792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135.66666666666666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76.280749912424909</v>
      </c>
      <c r="T198" s="62">
        <f t="shared" si="204"/>
        <v>353.34276014239026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2.3140070347420627</v>
      </c>
      <c r="AA198" s="23">
        <f>EXP(-LN(2)/25)*AA197+(1-EXP(-LN(2)/25))/(LN(2)/25)*Calculateur!V198*Calculateur!X198*VLOOKUP('Données projet'!$B$9,Paramètres!$A$1:$I$89,3,0)*0.475*44/12</f>
        <v>0.14405599420878101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2.4580630289508436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>
        <f>AI198*VLOOKUP('Données projet'!$B$10,Paramètres!$A$1:$I$89,3,0)*VLOOKUP('Données projet'!$B$10,Paramètres!$A$1:$I$89,5,0)</f>
        <v>0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82.437379371146534</v>
      </c>
      <c r="AO198" s="62">
        <f t="shared" si="205"/>
        <v>384.46649239172427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2.5553451917397036</v>
      </c>
      <c r="AV198" s="23">
        <f>EXP(-LN(2)/25)*AV197+(1-EXP(-LN(2)/25))/(LN(2)/25)*Calculateur!AQ198*Calculateur!AS198*VLOOKUP('Données projet'!$B$10,Paramètres!$A$1:$I$89,3,0)*0.475*44/12</f>
        <v>0.15908023900356219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2.7144254307432658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>
        <f>BD198*VLOOKUP('Données projet'!$B$11,Paramètres!$A$1:$I$89,3,0)*VLOOKUP('Données projet'!$B$11,Paramètres!$A$1:$I$89,5,0)</f>
        <v>0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83.883967208992033</v>
      </c>
      <c r="BJ198" s="62">
        <f t="shared" si="206"/>
        <v>391.78028845111544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2.61213064044503</v>
      </c>
      <c r="BQ198" s="23">
        <f>EXP(-LN(2)/25)*BQ197+(1-EXP(-LN(2)/25))/(LN(2)/25)*Calculateur!BL198*Calculateur!BN198*VLOOKUP('Données projet'!$B$11,Paramètres!$A$1:$I$89,3,0)*0.475*44/12</f>
        <v>0.16261535542586356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2.7747459958708935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135.66666666666666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76.280749912424909</v>
      </c>
      <c r="T199" s="62">
        <f t="shared" si="204"/>
        <v>353.34276014239026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2.2686307681956972</v>
      </c>
      <c r="AA199" s="23">
        <f>EXP(-LN(2)/25)*AA198+(1-EXP(-LN(2)/25))/(LN(2)/25)*Calculateur!V199*Calculateur!X199*VLOOKUP('Données projet'!$B$9,Paramètres!$A$1:$I$89,3,0)*0.475*44/12</f>
        <v>0.1401167754715664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2.4087475436672636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>
        <f>AI199*VLOOKUP('Données projet'!$B$10,Paramètres!$A$1:$I$89,3,0)*VLOOKUP('Données projet'!$B$10,Paramètres!$A$1:$I$89,5,0)</f>
        <v>0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82.437379371146534</v>
      </c>
      <c r="AO199" s="62">
        <f t="shared" si="205"/>
        <v>384.46649239172427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2.5052364311363555</v>
      </c>
      <c r="AV199" s="23">
        <f>EXP(-LN(2)/25)*AV198+(1-EXP(-LN(2)/25))/(LN(2)/25)*Calculateur!AQ199*Calculateur!AS199*VLOOKUP('Données projet'!$B$10,Paramètres!$A$1:$I$89,3,0)*0.475*44/12</f>
        <v>0.15473018150234361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2.6599666126386992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>
        <f>BD199*VLOOKUP('Données projet'!$B$11,Paramètres!$A$1:$I$89,3,0)*VLOOKUP('Données projet'!$B$11,Paramètres!$A$1:$I$89,5,0)</f>
        <v>0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83.883967208992033</v>
      </c>
      <c r="BJ199" s="62">
        <f t="shared" si="206"/>
        <v>391.78028845111544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2.560908351828274</v>
      </c>
      <c r="BQ199" s="23">
        <f>EXP(-LN(2)/25)*BQ198+(1-EXP(-LN(2)/25))/(LN(2)/25)*Calculateur!BL199*Calculateur!BN199*VLOOKUP('Données projet'!$B$11,Paramètres!$A$1:$I$89,3,0)*0.475*44/12</f>
        <v>0.15816862998017345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2.7190769818084473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135.66666666666666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76.280749912424909</v>
      </c>
      <c r="T200" s="62">
        <f t="shared" si="204"/>
        <v>353.34276014239026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2.2241443025595165</v>
      </c>
      <c r="AA200" s="23">
        <f>EXP(-LN(2)/25)*AA199+(1-EXP(-LN(2)/25))/(LN(2)/25)*Calculateur!V200*Calculateur!X200*VLOOKUP('Données projet'!$B$9,Paramètres!$A$1:$I$89,3,0)*0.475*44/12</f>
        <v>0.13628527487787542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2.360429577437392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>
        <f>AI200*VLOOKUP('Données projet'!$B$10,Paramètres!$A$1:$I$89,3,0)*VLOOKUP('Données projet'!$B$10,Paramètres!$A$1:$I$89,5,0)</f>
        <v>0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82.437379371146534</v>
      </c>
      <c r="AO200" s="62">
        <f t="shared" si="205"/>
        <v>384.46649239172427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2.456110272765113</v>
      </c>
      <c r="AV200" s="23">
        <f>EXP(-LN(2)/25)*AV199+(1-EXP(-LN(2)/25))/(LN(2)/25)*Calculateur!AQ200*Calculateur!AS200*VLOOKUP('Données projet'!$B$10,Paramètres!$A$1:$I$89,3,0)*0.475*44/12</f>
        <v>0.15049907655225542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2.6066093493173685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>
        <f>BD200*VLOOKUP('Données projet'!$B$11,Paramètres!$A$1:$I$89,3,0)*VLOOKUP('Données projet'!$B$11,Paramètres!$A$1:$I$89,5,0)</f>
        <v>0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83.883967208992033</v>
      </c>
      <c r="BJ200" s="62">
        <f t="shared" si="206"/>
        <v>391.78028845111544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2.5106905010487814</v>
      </c>
      <c r="BQ200" s="23">
        <f>EXP(-LN(2)/25)*BQ199+(1-EXP(-LN(2)/25))/(LN(2)/25)*Calculateur!BL200*Calculateur!BN200*VLOOKUP('Données projet'!$B$11,Paramètres!$A$1:$I$89,3,0)*0.475*44/12</f>
        <v>0.15384350047563886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2.6645340015244203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135.66666666666666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76.280749912424909</v>
      </c>
      <c r="T201" s="62">
        <f t="shared" si="204"/>
        <v>353.34276014239026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2.1805301893803963</v>
      </c>
      <c r="AA201" s="23">
        <f>EXP(-LN(2)/25)*AA200+(1-EXP(-LN(2)/25))/(LN(2)/25)*Calculateur!V201*Calculateur!X201*VLOOKUP('Données projet'!$B$9,Paramètres!$A$1:$I$89,3,0)*0.475*44/12</f>
        <v>0.13255854686940879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2.3130887362498052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>
        <f>AI201*VLOOKUP('Données projet'!$B$10,Paramètres!$A$1:$I$89,3,0)*VLOOKUP('Données projet'!$B$10,Paramètres!$A$1:$I$89,5,0)</f>
        <v>0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82.437379371146534</v>
      </c>
      <c r="AO201" s="62">
        <f t="shared" si="205"/>
        <v>384.46649239172427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2.4079474483955323</v>
      </c>
      <c r="AV201" s="23">
        <f>EXP(-LN(2)/25)*AV200+(1-EXP(-LN(2)/25))/(LN(2)/25)*Calculateur!AQ201*Calculateur!AS201*VLOOKUP('Données projet'!$B$10,Paramètres!$A$1:$I$89,3,0)*0.475*44/12</f>
        <v>0.14638367138953154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2.554331119785064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>
        <f>BD201*VLOOKUP('Données projet'!$B$11,Paramètres!$A$1:$I$89,3,0)*VLOOKUP('Données projet'!$B$11,Paramètres!$A$1:$I$89,5,0)</f>
        <v>0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83.883967208992033</v>
      </c>
      <c r="BJ201" s="62">
        <f t="shared" si="206"/>
        <v>391.78028845111544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2.4614573916932101</v>
      </c>
      <c r="BQ201" s="23">
        <f>EXP(-LN(2)/25)*BQ200+(1-EXP(-LN(2)/25))/(LN(2)/25)*Calculateur!BL201*Calculateur!BN201*VLOOKUP('Données projet'!$B$11,Paramètres!$A$1:$I$89,3,0)*0.475*44/12</f>
        <v>0.14963664186485442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2.6110940335580644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135.66666666666666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76.280749912424909</v>
      </c>
      <c r="T202" s="62">
        <f t="shared" si="204"/>
        <v>353.34276014239026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2.1377713223587365</v>
      </c>
      <c r="AA202" s="23">
        <f>EXP(-LN(2)/25)*AA201+(1-EXP(-LN(2)/25))/(LN(2)/25)*Calculateur!V202*Calculateur!X202*VLOOKUP('Données projet'!$B$9,Paramètres!$A$1:$I$89,3,0)*0.475*44/12</f>
        <v>0.12893372643431381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2.2667050487930505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>
        <f>AI202*VLOOKUP('Données projet'!$B$10,Paramètres!$A$1:$I$89,3,0)*VLOOKUP('Données projet'!$B$10,Paramètres!$A$1:$I$89,5,0)</f>
        <v>0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82.437379371146534</v>
      </c>
      <c r="AO202" s="62">
        <f t="shared" si="205"/>
        <v>384.46649239172427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2.3607290676354169</v>
      </c>
      <c r="AV202" s="23">
        <f>EXP(-LN(2)/25)*AV201+(1-EXP(-LN(2)/25))/(LN(2)/25)*Calculateur!AQ202*Calculateur!AS202*VLOOKUP('Données projet'!$B$10,Paramètres!$A$1:$I$89,3,0)*0.475*44/12</f>
        <v>0.1423808021974021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2.5031098698328189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>
        <f>BD202*VLOOKUP('Données projet'!$B$11,Paramètres!$A$1:$I$89,3,0)*VLOOKUP('Données projet'!$B$11,Paramètres!$A$1:$I$89,5,0)</f>
        <v>0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83.883967208992033</v>
      </c>
      <c r="BJ202" s="62">
        <f t="shared" si="206"/>
        <v>391.78028845111544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2.4131897135828702</v>
      </c>
      <c r="BQ202" s="23">
        <f>EXP(-LN(2)/25)*BQ201+(1-EXP(-LN(2)/25))/(LN(2)/25)*Calculateur!BL202*Calculateur!BN202*VLOOKUP('Données projet'!$B$11,Paramètres!$A$1:$I$89,3,0)*0.475*44/12</f>
        <v>0.14554482002401098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2.5587345336068812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135.66666666666666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76.280749912424909</v>
      </c>
      <c r="T203" s="62">
        <f t="shared" si="204"/>
        <v>353.34276014239026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2.0958509306390378</v>
      </c>
      <c r="AA203" s="23">
        <f>EXP(-LN(2)/25)*AA202+(1-EXP(-LN(2)/25))/(LN(2)/25)*Calculateur!V203*Calculateur!X203*VLOOKUP('Données projet'!$B$9,Paramètres!$A$1:$I$89,3,0)*0.475*44/12</f>
        <v>0.12540802690463751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2.2212589575436752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>
        <f>AI203*VLOOKUP('Données projet'!$B$10,Paramètres!$A$1:$I$89,3,0)*VLOOKUP('Données projet'!$B$10,Paramètres!$A$1:$I$89,5,0)</f>
        <v>0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82.437379371146534</v>
      </c>
      <c r="AO203" s="62">
        <f t="shared" si="205"/>
        <v>384.46649239172427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2.3144366105216392</v>
      </c>
      <c r="AV203" s="23">
        <f>EXP(-LN(2)/25)*AV202+(1-EXP(-LN(2)/25))/(LN(2)/25)*Calculateur!AQ203*Calculateur!AS203*VLOOKUP('Données projet'!$B$10,Paramètres!$A$1:$I$89,3,0)*0.475*44/12</f>
        <v>0.13848739167383317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2.4529240021954726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>
        <f>BD203*VLOOKUP('Données projet'!$B$11,Paramètres!$A$1:$I$89,3,0)*VLOOKUP('Données projet'!$B$11,Paramètres!$A$1:$I$89,5,0)</f>
        <v>0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83.883967208992033</v>
      </c>
      <c r="BJ203" s="62">
        <f t="shared" si="206"/>
        <v>391.78028845111544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2.3658685351998971</v>
      </c>
      <c r="BQ203" s="23">
        <f>EXP(-LN(2)/25)*BQ202+(1-EXP(-LN(2)/25))/(LN(2)/25)*Calculateur!BL203*Calculateur!BN203*VLOOKUP('Données projet'!$B$11,Paramètres!$A$1:$I$89,3,0)*0.475*44/12</f>
        <v>0.14156488926658495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2.5074334244664822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1.3240951821769202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1.3240951821769202</v>
      </c>
      <c r="BA205" s="88">
        <f>EXP(LN('Données projet'!B88)/'Données projet'!A88)</f>
        <v>1.3240951821769202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35" workbookViewId="0">
      <selection activeCell="D49" sqref="D49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M26" sqref="M2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Peuplier Koster</v>
      </c>
      <c r="B6" s="155">
        <f>'Données projet'!D9</f>
        <v>1.978</v>
      </c>
      <c r="C6" s="156">
        <f ca="1">IF(OR('Données projet'!B9="",'Données projet'!C9="",'Données projet'!C9=0%),0,Calculateur!S3)</f>
        <v>76.280749912424909</v>
      </c>
      <c r="D6" s="156">
        <f>IF(OR('Données projet'!B9="",'Données projet'!C9="",'Données projet'!C9=0%),0,Calculateur!T3)</f>
        <v>353.34276014239026</v>
      </c>
      <c r="E6" s="156">
        <f ca="1">MIN(C6,D6)</f>
        <v>76.280749912424909</v>
      </c>
      <c r="F6" s="156">
        <f ca="1">E6*B6</f>
        <v>150.88332332677646</v>
      </c>
      <c r="G6" s="156">
        <f ca="1">F6*(100%-'Données projet'!$C$24)*(100%-'Données projet'!$C$25)*(100%-'Données projet'!$C$26)*(100%-'Données projet'!$C$27)</f>
        <v>135.79499099409881</v>
      </c>
      <c r="H6" s="157">
        <f>IF(OR('Données projet'!B9="",'Données projet'!C9="",'Données projet'!C9=0%),0,AVERAGE(Calculateur!$AC$3:$AC$33)*B6)</f>
        <v>58.474852344230612</v>
      </c>
      <c r="I6" s="158">
        <f>H6*(100%-'Données projet'!$C$24)*(100%-'Données projet'!$C$25)*(100%-'Données projet'!$C$26)*(100%-'Données projet'!$C$27)</f>
        <v>52.627367109807551</v>
      </c>
      <c r="J6" s="159">
        <f>IF(OR('Données projet'!B9="",'Données projet'!C9="",'Données projet'!C9=0%),0,SUM(Calculateur!$V$3:$V$33)*VLOOKUP('Données projet'!$B$9,Paramètres!$A$1:$I$89,9,0)*B6)</f>
        <v>559.04609600000003</v>
      </c>
      <c r="K6" s="160">
        <f>J6*(100%-'Données projet'!$C$24)*(100%-'Données projet'!$C$25)*(100%-'Données projet'!$C$26)*(100%-'Données projet'!$C$27)</f>
        <v>503.14148640000002</v>
      </c>
      <c r="L6" s="161">
        <f ca="1">G6+I6+K6</f>
        <v>691.56384450390635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Peuplier Soligo</v>
      </c>
      <c r="B7" s="163">
        <f>'Données projet'!D10</f>
        <v>1.419</v>
      </c>
      <c r="C7" s="156">
        <f ca="1">IF(OR('Données projet'!B10="",'Données projet'!C10="",'Données projet'!C10=0%),0,Calculateur!AN3)</f>
        <v>82.437379371146534</v>
      </c>
      <c r="D7" s="156">
        <f>IF(OR('Données projet'!B10="",'Données projet'!C10="",'Données projet'!C10=0%),0,Calculateur!AO3)</f>
        <v>384.46649239172427</v>
      </c>
      <c r="E7" s="156">
        <f t="shared" ref="E7:E15" ca="1" si="0">MIN(C7,D7)</f>
        <v>82.437379371146534</v>
      </c>
      <c r="F7" s="156">
        <f t="shared" ref="F7:F15" ca="1" si="1">E7*B7</f>
        <v>116.97864132765693</v>
      </c>
      <c r="G7" s="156">
        <f ca="1">F7*(100%-'Données projet'!$C$24)*(100%-'Données projet'!$C$25)*(100%-'Données projet'!$C$26)*(100%-'Données projet'!$C$27)</f>
        <v>105.28077719489124</v>
      </c>
      <c r="H7" s="164">
        <f>IF(OR('Données projet'!B10="",'Données projet'!C10="",'Données projet'!C10=0%),0,AVERAGE(Calculateur!$AX$3:$AX$33)*B7)</f>
        <v>46.3244362396279</v>
      </c>
      <c r="I7" s="158">
        <f>H7*(100%-'Données projet'!$C$24)*(100%-'Données projet'!$C$25)*(100%-'Données projet'!$C$26)*(100%-'Données projet'!$C$27)</f>
        <v>41.691992615665114</v>
      </c>
      <c r="J7" s="159">
        <f>IF(OR('Données projet'!B10="",'Données projet'!C10="",'Données projet'!C10=0%),0,SUM(Calculateur!$AQ$3:$AQ$33)*VLOOKUP('Données projet'!$B$10,Paramètres!$A$1:$I$89,9,0)*B7)</f>
        <v>401.05480800000004</v>
      </c>
      <c r="K7" s="160">
        <f>J7*(100%-'Données projet'!$C$24)*(100%-'Données projet'!$C$25)*(100%-'Données projet'!$C$26)*(100%-'Données projet'!$C$27)</f>
        <v>360.94932720000003</v>
      </c>
      <c r="L7" s="161">
        <f t="shared" ref="L7:L15" ca="1" si="2">G7+I7+K7</f>
        <v>507.9220970105564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Peuplier Taro</v>
      </c>
      <c r="B8" s="163">
        <f>'Données projet'!D11</f>
        <v>0.90299999999999991</v>
      </c>
      <c r="C8" s="156">
        <f ca="1">IF(OR('Données projet'!B11="",'Données projet'!C11="",'Données projet'!C11=0%),0,Calculateur!BI3)</f>
        <v>83.883967208992033</v>
      </c>
      <c r="D8" s="156">
        <f>IF(OR('Données projet'!B11="",'Données projet'!C11="",'Données projet'!C11=0%),0,Calculateur!BJ3)</f>
        <v>391.78028845111544</v>
      </c>
      <c r="E8" s="156">
        <f t="shared" ca="1" si="0"/>
        <v>83.883967208992033</v>
      </c>
      <c r="F8" s="156">
        <f t="shared" ca="1" si="1"/>
        <v>75.747222389719795</v>
      </c>
      <c r="G8" s="156">
        <f ca="1">F8*(100%-'Données projet'!$C$24)*(100%-'Données projet'!$C$25)*(100%-'Données projet'!$C$26)*(100%-'Données projet'!$C$27)</f>
        <v>68.172500150747823</v>
      </c>
      <c r="H8" s="164">
        <f>IF(OR('Données projet'!B11="",'Données projet'!C11="",'Données projet'!C11=0%),0,AVERAGE(Calculateur!$BS$3:$BS$33)*B8)</f>
        <v>30.134279735677133</v>
      </c>
      <c r="I8" s="158">
        <f>H8*(100%-'Données projet'!$C$24)*(100%-'Données projet'!$C$25)*(100%-'Données projet'!$C$26)*(100%-'Données projet'!$C$27)</f>
        <v>27.120851762109421</v>
      </c>
      <c r="J8" s="159">
        <f>IF(OR('Données projet'!B11="",'Données projet'!C11="",'Données projet'!C11=0%),0,SUM(Calculateur!$BL$3:$BL$33)*VLOOKUP('Données projet'!$B$11,Paramètres!$A$1:$I$89,9,0)*B8)</f>
        <v>255.21669599999998</v>
      </c>
      <c r="K8" s="160">
        <f>J8*(100%-'Données projet'!$C$24)*(100%-'Données projet'!$C$25)*(100%-'Données projet'!$C$26)*(100%-'Données projet'!$C$27)</f>
        <v>229.69502639999999</v>
      </c>
      <c r="L8" s="161">
        <f t="shared" ca="1" si="2"/>
        <v>324.98837831285721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343.6091870441532</v>
      </c>
      <c r="G16" s="175">
        <f t="shared" ca="1" si="3"/>
        <v>309.24826833973788</v>
      </c>
      <c r="H16" s="176">
        <f t="shared" si="3"/>
        <v>134.93356831953565</v>
      </c>
      <c r="I16" s="176">
        <f t="shared" si="3"/>
        <v>121.44021148758209</v>
      </c>
      <c r="J16" s="177">
        <f t="shared" si="3"/>
        <v>1215.3176000000001</v>
      </c>
      <c r="K16" s="177">
        <f t="shared" si="3"/>
        <v>1093.78584</v>
      </c>
      <c r="L16" s="178">
        <f t="shared" ca="1" si="3"/>
        <v>1524.47431982732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Peuplier Koster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Peuplier Soligo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Peuplier Taro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4" zoomScale="90" zoomScaleNormal="90" workbookViewId="0">
      <selection activeCell="I20" sqref="I20:I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Peuplier Koster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5688.9000348724994</v>
      </c>
      <c r="U10" s="190">
        <f>'Données projet'!D9</f>
        <v>1.978</v>
      </c>
      <c r="V10" s="189">
        <f>U10*T10</f>
        <v>11252.644268977803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Peuplier Soligo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5688.9000348724994</v>
      </c>
      <c r="U11" s="190">
        <f>'Données projet'!D10</f>
        <v>1.419</v>
      </c>
      <c r="V11" s="189">
        <f t="shared" ref="V11" si="0">U11*T11</f>
        <v>8072.5491494840771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Peuplier Taro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5688.9000348724994</v>
      </c>
      <c r="U12" s="190">
        <f>'Données projet'!D11</f>
        <v>0.90299999999999991</v>
      </c>
      <c r="V12" s="189">
        <f t="shared" ref="V12:V19" si="1">U12*T12</f>
        <v>5137.0767314898667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Peuplier Koster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>
        <v>0</v>
      </c>
      <c r="I20" s="204">
        <f>13140/4.3</f>
        <v>3055.8139534883721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f>(861/4.3)+(2154/4.3)</f>
        <v>701.16279069767438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>
        <f>2800/4.3</f>
        <v>651.1627906976745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20</v>
      </c>
      <c r="B23" s="193">
        <f>'Données projet'!D36</f>
        <v>274.39999999999998</v>
      </c>
      <c r="C23" s="206">
        <v>50</v>
      </c>
      <c r="D23" s="194">
        <f>B23*C23</f>
        <v>13719.999999999998</v>
      </c>
      <c r="E23" s="206"/>
      <c r="F23" s="261"/>
      <c r="H23" s="203">
        <v>3</v>
      </c>
      <c r="I23" s="204">
        <f>861/4.3</f>
        <v>200.23255813953489</v>
      </c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3705.6557784101242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0</v>
      </c>
      <c r="B24" s="193">
        <f>'Données projet'!D37</f>
        <v>0</v>
      </c>
      <c r="C24" s="206"/>
      <c r="D24" s="194">
        <f t="shared" ref="D24:D42" si="2">B24*C24</f>
        <v>0</v>
      </c>
      <c r="E24" s="206"/>
      <c r="F24" s="264"/>
      <c r="H24" s="203">
        <v>4</v>
      </c>
      <c r="I24" s="204">
        <f t="shared" ref="I24:I25" si="3">861/4.3</f>
        <v>200.23255813953489</v>
      </c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22286.626894262856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0</v>
      </c>
      <c r="B25" s="193">
        <f>'Données projet'!D38</f>
        <v>0</v>
      </c>
      <c r="C25" s="206"/>
      <c r="D25" s="194">
        <f t="shared" si="2"/>
        <v>0</v>
      </c>
      <c r="E25" s="206"/>
      <c r="F25" s="264"/>
      <c r="G25" s="1"/>
      <c r="H25" s="203">
        <v>5</v>
      </c>
      <c r="I25" s="204">
        <f t="shared" si="3"/>
        <v>200.23255813953489</v>
      </c>
      <c r="K25" s="225"/>
      <c r="L25" s="271" t="s">
        <v>285</v>
      </c>
      <c r="M25" s="271"/>
      <c r="N25" s="271"/>
      <c r="O25" s="271"/>
      <c r="P25" s="205">
        <v>370</v>
      </c>
      <c r="Q25" s="265"/>
      <c r="R25" s="25"/>
      <c r="S25" s="198" t="s">
        <v>266</v>
      </c>
      <c r="T25" s="342">
        <f ca="1">T23-T24</f>
        <v>-18580.971115852732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est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5182.936487037874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4">$P$25/(1+$M$4)^O33</f>
        <v>370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4"/>
        <v>354.06698564593302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4"/>
        <v>338.82008195783072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4"/>
        <v>324.22974350031643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4"/>
        <v>310.26769712948953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4"/>
        <v>296.9068872052531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4"/>
        <v>284.1214231629217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4"/>
        <v>271.88652934250882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4"/>
        <v>260.17849697847743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4"/>
        <v>248.97463825691619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4"/>
        <v>238.253242351116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4"/>
        <v>227.99353335035025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Peuplier Soligo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4"/>
        <v>218.17563000033522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4"/>
        <v>208.78050717735425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4"/>
        <v>199.7899590213917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4"/>
        <v>191.18656365683412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4"/>
        <v>182.95364943237723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4"/>
        <v>175.07526261471506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4"/>
        <v>167.53613647341157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4"/>
        <v>160.32166169704456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4"/>
        <v>153.4178580832963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20</v>
      </c>
      <c r="B54" s="193">
        <f>'Données projet'!D62</f>
        <v>274.39999999999998</v>
      </c>
      <c r="C54" s="292">
        <v>50</v>
      </c>
      <c r="D54" s="191">
        <f>B54*C54</f>
        <v>13719.999999999998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 t="str">
        <f>IF(O53+1&lt;=MIN('Données projet'!$E$9:$E$18),O53+1,"STOP")</f>
        <v>STOP</v>
      </c>
      <c r="P54" s="197" t="e">
        <f t="shared" si="4"/>
        <v>#VALUE!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92"/>
      <c r="D55" s="191">
        <f t="shared" ref="D55:D73" si="5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 t="e">
        <f>IF(O54+1&lt;=MIN('Données projet'!$E$9:$E$18),O54+1,"STOP")</f>
        <v>#VALUE!</v>
      </c>
      <c r="P55" s="197" t="e">
        <f t="shared" si="4"/>
        <v>#VALUE!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92"/>
      <c r="D56" s="191">
        <f t="shared" si="5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 t="e">
        <f>IF(O55+1&lt;=MIN('Données projet'!$E$9:$E$18),O55+1,"STOP")</f>
        <v>#VALUE!</v>
      </c>
      <c r="P56" s="197" t="e">
        <f t="shared" si="4"/>
        <v>#VALUE!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92"/>
      <c r="D57" s="191">
        <f t="shared" si="5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 t="e">
        <f>IF(O56+1&lt;=MIN('Données projet'!$E$9:$E$18),O56+1,"STOP")</f>
        <v>#VALUE!</v>
      </c>
      <c r="P57" s="197" t="e">
        <f t="shared" si="4"/>
        <v>#VALUE!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92"/>
      <c r="D58" s="191">
        <f t="shared" si="5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 t="e">
        <f>IF(O57+1&lt;=MIN('Données projet'!$E$9:$E$18),O57+1,"STOP")</f>
        <v>#VALUE!</v>
      </c>
      <c r="P58" s="197" t="e">
        <f t="shared" si="4"/>
        <v>#VALUE!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92"/>
      <c r="D59" s="191">
        <f t="shared" si="5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 t="e">
        <f>IF(O58+1&lt;=MIN('Données projet'!$E$9:$E$18),O58+1,"STOP")</f>
        <v>#VALUE!</v>
      </c>
      <c r="P59" s="197" t="e">
        <f t="shared" si="4"/>
        <v>#VALUE!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92"/>
      <c r="D60" s="191">
        <f t="shared" si="5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 t="e">
        <f>IF(O59+1&lt;=MIN('Données projet'!$E$9:$E$18),O59+1,"STOP")</f>
        <v>#VALUE!</v>
      </c>
      <c r="P60" s="197" t="e">
        <f t="shared" si="4"/>
        <v>#VALUE!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5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 t="e">
        <f>IF(O60+1&lt;=MIN('Données projet'!$E$9:$E$18),O60+1,"STOP")</f>
        <v>#VALUE!</v>
      </c>
      <c r="P61" s="197" t="e">
        <f t="shared" si="4"/>
        <v>#VALUE!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5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 t="e">
        <f>IF(O61+1&lt;=MIN('Données projet'!$E$9:$E$18),O61+1,"STOP")</f>
        <v>#VALUE!</v>
      </c>
      <c r="P62" s="197" t="e">
        <f t="shared" si="4"/>
        <v>#VALUE!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5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 t="e">
        <f>IF(O62+1&lt;=MIN('Données projet'!$E$9:$E$18),O62+1,"STOP")</f>
        <v>#VALUE!</v>
      </c>
      <c r="P63" s="197" t="e">
        <f t="shared" si="4"/>
        <v>#VALUE!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5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e">
        <f>IF(O63+1&lt;=MIN('Données projet'!$E$9:$E$18),O63+1,"STOP")</f>
        <v>#VALUE!</v>
      </c>
      <c r="P64" s="197" t="e">
        <f t="shared" si="4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5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6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5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6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5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6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5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6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5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6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5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6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5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6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5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6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5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6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6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6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Peuplier Taro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6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6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6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6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6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6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6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6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6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20</v>
      </c>
      <c r="B85" s="193">
        <f>'Données projet'!D88</f>
        <v>274.39999999999998</v>
      </c>
      <c r="C85" s="204">
        <v>50</v>
      </c>
      <c r="D85" s="191">
        <f>B85*C85</f>
        <v>13719.999999999998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6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7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6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7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6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7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6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7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6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7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6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7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6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7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6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7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6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7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6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7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6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7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6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7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8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7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8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7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8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7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8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7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8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7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8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7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8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7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8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8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8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8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8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8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8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8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8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8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8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8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8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9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8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9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8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9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8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9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8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9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8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9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8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9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8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9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8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9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8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9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8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9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8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9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8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9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10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9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10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9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10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9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10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9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9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9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1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1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1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1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1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1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1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1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1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1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1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1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1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1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1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1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1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1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1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2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2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2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2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2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2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2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2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2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2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2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2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2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2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2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2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2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2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2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3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3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3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3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3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3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3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3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3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3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3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3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3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3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3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3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3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3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3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4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4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4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4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4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4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4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4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4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4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4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4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4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4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4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4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4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4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4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5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5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5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5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5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5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5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5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5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5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5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5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5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5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5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5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5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5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5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6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6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6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6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6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6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6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6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6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6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6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6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6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6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6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6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6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6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6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2025-01-30T08:22:56Z</dcterms:modified>
</cp:coreProperties>
</file>