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anneyf\Downloads\"/>
    </mc:Choice>
  </mc:AlternateContent>
  <xr:revisionPtr revIDLastSave="0" documentId="13_ncr:1_{13C020C3-8E42-4C55-95FD-1B2728E4B2B3}" xr6:coauthVersionLast="47" xr6:coauthVersionMax="47" xr10:uidLastSave="{00000000-0000-0000-0000-000000000000}"/>
  <bookViews>
    <workbookView xWindow="-2892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6" l="1"/>
  <c r="I23" i="6"/>
  <c r="I21" i="6"/>
  <c r="I20" i="6"/>
  <c r="E203" i="6"/>
  <c r="E172" i="6"/>
  <c r="E141" i="6"/>
  <c r="E110" i="6"/>
  <c r="E79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HH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EA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EC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C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HH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X155" i="2"/>
  <c r="EW155" i="2"/>
  <c r="ED154" i="2"/>
  <c r="EA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X156" i="2"/>
  <c r="FS156" i="2"/>
  <c r="ED155" i="2"/>
  <c r="EB156" i="2"/>
  <c r="DH156" i="2"/>
  <c r="AB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FS160" i="2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FS161" i="2"/>
  <c r="EX161" i="2"/>
  <c r="ED160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EY161" i="2"/>
  <c r="EW162" i="2"/>
  <c r="DI161" i="2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Y163" i="2"/>
  <c r="FR164" i="2"/>
  <c r="EX164" i="2"/>
  <c r="DI163" i="2"/>
  <c r="EV164" i="2"/>
  <c r="DH164" i="2"/>
  <c r="FS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A167" i="2"/>
  <c r="DG167" i="2"/>
  <c r="EX167" i="2"/>
  <c r="EC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Y168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A172" i="2"/>
  <c r="HI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EB175" i="2"/>
  <c r="FS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FS178" i="2"/>
  <c r="EW178" i="2"/>
  <c r="EA178" i="2"/>
  <c r="HH178" i="2"/>
  <c r="EB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DF179" i="2"/>
  <c r="ED178" i="2"/>
  <c r="EA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EY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B185" i="2"/>
  <c r="EA185" i="2"/>
  <c r="EW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A186" i="2"/>
  <c r="FS186" i="2"/>
  <c r="FR186" i="2"/>
  <c r="HH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D189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B192" i="2"/>
  <c r="EW192" i="2"/>
  <c r="HG192" i="2"/>
  <c r="EA192" i="2"/>
  <c r="ED192" i="2" s="1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EX193" i="2"/>
  <c r="DI192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DH195" i="2"/>
  <c r="EB195" i="2"/>
  <c r="FQ195" i="2"/>
  <c r="EY194" i="2"/>
  <c r="EA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V199" i="2"/>
  <c r="EY198" i="2"/>
  <c r="EW199" i="2"/>
  <c r="HH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Y200" i="2"/>
  <c r="DI200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D201" i="2"/>
  <c r="EY201" i="2"/>
  <c r="EX202" i="2"/>
  <c r="HH202" i="2"/>
  <c r="EW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43" i="2" a="1"/>
  <c r="DN43" i="2" s="1"/>
  <c r="DN41" i="2" a="1"/>
  <c r="DN41" i="2" s="1"/>
  <c r="DN129" i="2" a="1"/>
  <c r="DN129" i="2" s="1"/>
  <c r="DN170" i="2" a="1"/>
  <c r="DN170" i="2" s="1"/>
  <c r="DN192" i="2" a="1"/>
  <c r="DN192" i="2" s="1"/>
  <c r="DN150" i="2" a="1"/>
  <c r="DN150" i="2" s="1"/>
  <c r="DN114" i="2" a="1"/>
  <c r="DN114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CS56" i="2" a="1"/>
  <c r="CS56" i="2" s="1"/>
  <c r="DN38" i="2" a="1"/>
  <c r="DN38" i="2" s="1"/>
  <c r="DN135" i="2" a="1"/>
  <c r="DN135" i="2" s="1"/>
  <c r="DN110" i="2" a="1"/>
  <c r="DN110" i="2" s="1"/>
  <c r="DN55" i="2" a="1"/>
  <c r="DN55" i="2" s="1"/>
  <c r="DN6" i="2" a="1"/>
  <c r="DN6" i="2" s="1"/>
  <c r="DO6" i="2" s="1"/>
  <c r="DN46" i="2" a="1"/>
  <c r="DN46" i="2" s="1"/>
  <c r="DN30" i="2" a="1"/>
  <c r="DN30" i="2" s="1"/>
  <c r="BX107" i="2" a="1"/>
  <c r="BX107" i="2" s="1"/>
  <c r="FD82" i="2" a="1"/>
  <c r="FD82" i="2" s="1"/>
  <c r="DN187" i="2" a="1"/>
  <c r="DN187" i="2" s="1"/>
  <c r="HJ202" i="2"/>
  <c r="AX200" i="2"/>
  <c r="AH92" i="2" l="1" a="1"/>
  <c r="AH92" i="2" s="1"/>
  <c r="AH90" i="2" a="1"/>
  <c r="AH90" i="2" s="1"/>
  <c r="AH151" i="2" a="1"/>
  <c r="AH151" i="2" s="1"/>
  <c r="FY47" i="2" a="1"/>
  <c r="FY47" i="2" s="1"/>
  <c r="FY178" i="2" a="1"/>
  <c r="FY178" i="2" s="1"/>
  <c r="FY196" i="2" a="1"/>
  <c r="FY196" i="2" s="1"/>
  <c r="FY55" i="2" a="1"/>
  <c r="FY55" i="2" s="1"/>
  <c r="FY82" i="2" a="1"/>
  <c r="FY82" i="2" s="1"/>
  <c r="FY116" i="2" a="1"/>
  <c r="FY116" i="2" s="1"/>
  <c r="FY92" i="2" a="1"/>
  <c r="FY92" i="2" s="1"/>
  <c r="FY143" i="2" a="1"/>
  <c r="FY143" i="2" s="1"/>
  <c r="FY66" i="2" a="1"/>
  <c r="FY66" i="2" s="1"/>
  <c r="FY72" i="2" a="1"/>
  <c r="FY72" i="2" s="1"/>
  <c r="FY120" i="2" a="1"/>
  <c r="FY120" i="2" s="1"/>
  <c r="FY133" i="2" a="1"/>
  <c r="FY133" i="2" s="1"/>
  <c r="FY191" i="2" a="1"/>
  <c r="FY191" i="2" s="1"/>
  <c r="FY140" i="2" a="1"/>
  <c r="FY140" i="2" s="1"/>
  <c r="FY142" i="2" a="1"/>
  <c r="FY142" i="2" s="1"/>
  <c r="FY124" i="2" a="1"/>
  <c r="FY124" i="2" s="1"/>
  <c r="FY111" i="2" a="1"/>
  <c r="FY111" i="2" s="1"/>
  <c r="FY165" i="2" a="1"/>
  <c r="FY165" i="2" s="1"/>
  <c r="FY80" i="2" a="1"/>
  <c r="FY80" i="2" s="1"/>
  <c r="FY169" i="2" a="1"/>
  <c r="FY169" i="2" s="1"/>
  <c r="FY73" i="2" a="1"/>
  <c r="FY73" i="2" s="1"/>
  <c r="FY146" i="2" a="1"/>
  <c r="FY146" i="2" s="1"/>
  <c r="FY30" i="2" a="1"/>
  <c r="FY30" i="2" s="1"/>
  <c r="FY34" i="2" a="1"/>
  <c r="FY34" i="2" s="1"/>
  <c r="FY174" i="2" a="1"/>
  <c r="FY174" i="2" s="1"/>
  <c r="FY110" i="2" a="1"/>
  <c r="FY110" i="2" s="1"/>
  <c r="FY32" i="2" a="1"/>
  <c r="FY32" i="2" s="1"/>
  <c r="FY42" i="2" a="1"/>
  <c r="FY42" i="2" s="1"/>
  <c r="FY164" i="2" a="1"/>
  <c r="FY164" i="2" s="1"/>
  <c r="FY99" i="2" a="1"/>
  <c r="FY99" i="2" s="1"/>
  <c r="FY153" i="2" a="1"/>
  <c r="FY153" i="2" s="1"/>
  <c r="FY22" i="2" a="1"/>
  <c r="FY22" i="2" s="1"/>
  <c r="FY86" i="2" a="1"/>
  <c r="FY86" i="2" s="1"/>
  <c r="FY149" i="2" a="1"/>
  <c r="FY149" i="2" s="1"/>
  <c r="FY126" i="2" a="1"/>
  <c r="FY126" i="2" s="1"/>
  <c r="FY173" i="2" a="1"/>
  <c r="FY173" i="2" s="1"/>
  <c r="FY71" i="2" a="1"/>
  <c r="FY71" i="2" s="1"/>
  <c r="FY90" i="2" a="1"/>
  <c r="FY90" i="2" s="1"/>
  <c r="FY58" i="2" a="1"/>
  <c r="FY58" i="2" s="1"/>
  <c r="FY24" i="2" a="1"/>
  <c r="FY24" i="2" s="1"/>
  <c r="FY188" i="2" a="1"/>
  <c r="FY188" i="2" s="1"/>
  <c r="FY159" i="2" a="1"/>
  <c r="FY159" i="2" s="1"/>
  <c r="FY18" i="2" a="1"/>
  <c r="FY18" i="2" s="1"/>
  <c r="FY57" i="2" a="1"/>
  <c r="FY57" i="2" s="1"/>
  <c r="FY121" i="2" a="1"/>
  <c r="FY121" i="2" s="1"/>
  <c r="FY182" i="2" a="1"/>
  <c r="FY182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0" i="2" a="1"/>
  <c r="FY50" i="2" s="1"/>
  <c r="FY167" i="2" a="1"/>
  <c r="FY167" i="2" s="1"/>
  <c r="FY115" i="2" a="1"/>
  <c r="FY115" i="2" s="1"/>
  <c r="FY104" i="2" a="1"/>
  <c r="FY104" i="2" s="1"/>
  <c r="FY190" i="2" a="1"/>
  <c r="FY190" i="2" s="1"/>
  <c r="FY78" i="2" a="1"/>
  <c r="FY78" i="2" s="1"/>
  <c r="FY186" i="2" a="1"/>
  <c r="FY186" i="2" s="1"/>
  <c r="FY69" i="2" a="1"/>
  <c r="FY69" i="2" s="1"/>
  <c r="FY35" i="2" a="1"/>
  <c r="FY35" i="2" s="1"/>
  <c r="FY79" i="2" a="1"/>
  <c r="FY79" i="2" s="1"/>
  <c r="EI153" i="2" a="1"/>
  <c r="EI153" i="2" s="1"/>
  <c r="EI109" i="2" a="1"/>
  <c r="EI109" i="2" s="1"/>
  <c r="EI128" i="2" a="1"/>
  <c r="EI128" i="2" s="1"/>
  <c r="FY54" i="2" a="1"/>
  <c r="FY54" i="2" s="1"/>
  <c r="FY109" i="2" a="1"/>
  <c r="FY109" i="2" s="1"/>
  <c r="BC83" i="2" a="1"/>
  <c r="BC83" i="2" s="1"/>
  <c r="BC164" i="2" a="1"/>
  <c r="BC164" i="2" s="1"/>
  <c r="BC82" i="2" a="1"/>
  <c r="BC82" i="2" s="1"/>
  <c r="BP203" i="2"/>
  <c r="AH199" i="2" a="1"/>
  <c r="AH199" i="2" s="1"/>
  <c r="AH163" i="2" a="1"/>
  <c r="AH163" i="2" s="1"/>
  <c r="AH62" i="2" a="1"/>
  <c r="AH62" i="2" s="1"/>
  <c r="AH166" i="2" a="1"/>
  <c r="AH166" i="2" s="1"/>
  <c r="AH19" i="2" a="1"/>
  <c r="AH19" i="2" s="1"/>
  <c r="CS66" i="2" a="1"/>
  <c r="CS66" i="2" s="1"/>
  <c r="CS185" i="2" a="1"/>
  <c r="CS185" i="2" s="1"/>
  <c r="CS77" i="2" a="1"/>
  <c r="CS77" i="2" s="1"/>
  <c r="CS161" i="2" a="1"/>
  <c r="CS161" i="2" s="1"/>
  <c r="CS105" i="2" a="1"/>
  <c r="CS105" i="2" s="1"/>
  <c r="CS72" i="2" a="1"/>
  <c r="CS72" i="2" s="1"/>
  <c r="CS134" i="2" a="1"/>
  <c r="CS134" i="2" s="1"/>
  <c r="CS137" i="2" a="1"/>
  <c r="CS137" i="2" s="1"/>
  <c r="CS129" i="2" a="1"/>
  <c r="CS129" i="2" s="1"/>
  <c r="CS24" i="2" a="1"/>
  <c r="CS24" i="2" s="1"/>
  <c r="CS114" i="2" a="1"/>
  <c r="CS114" i="2" s="1"/>
  <c r="CS116" i="2" a="1"/>
  <c r="CS116" i="2" s="1"/>
  <c r="CS52" i="2" a="1"/>
  <c r="CS52" i="2" s="1"/>
  <c r="EI37" i="2" a="1"/>
  <c r="EI37" i="2" s="1"/>
  <c r="EI166" i="2" a="1"/>
  <c r="EI166" i="2" s="1"/>
  <c r="EI34" i="2" a="1"/>
  <c r="EI34" i="2" s="1"/>
  <c r="EI139" i="2" a="1"/>
  <c r="EI139" i="2" s="1"/>
  <c r="EI67" i="2" a="1"/>
  <c r="EI67" i="2" s="1"/>
  <c r="EI71" i="2" a="1"/>
  <c r="EI71" i="2" s="1"/>
  <c r="EI162" i="2" a="1"/>
  <c r="EI162" i="2" s="1"/>
  <c r="EI20" i="2" a="1"/>
  <c r="EI20" i="2" s="1"/>
  <c r="EI35" i="2" a="1"/>
  <c r="EI35" i="2" s="1"/>
  <c r="EI170" i="2" a="1"/>
  <c r="EI170" i="2" s="1"/>
  <c r="EI57" i="2" a="1"/>
  <c r="EI57" i="2" s="1"/>
  <c r="EI195" i="2" a="1"/>
  <c r="EI195" i="2" s="1"/>
  <c r="EI150" i="2" a="1"/>
  <c r="EI150" i="2" s="1"/>
  <c r="EI142" i="2" a="1"/>
  <c r="EI142" i="2" s="1"/>
  <c r="EI178" i="2" a="1"/>
  <c r="EI178" i="2" s="1"/>
  <c r="EI165" i="2" a="1"/>
  <c r="EI165" i="2" s="1"/>
  <c r="EI16" i="2" a="1"/>
  <c r="EI16" i="2" s="1"/>
  <c r="EI36" i="2" a="1"/>
  <c r="EI36" i="2" s="1"/>
  <c r="EI29" i="2" a="1"/>
  <c r="EI29" i="2" s="1"/>
  <c r="EI38" i="2" a="1"/>
  <c r="EI38" i="2" s="1"/>
  <c r="EI198" i="2" a="1"/>
  <c r="EI198" i="2" s="1"/>
  <c r="EI145" i="2" a="1"/>
  <c r="EI145" i="2" s="1"/>
  <c r="EI113" i="2" a="1"/>
  <c r="EI113" i="2" s="1"/>
  <c r="EI87" i="2" a="1"/>
  <c r="EI87" i="2" s="1"/>
  <c r="EI106" i="2" a="1"/>
  <c r="EI106" i="2" s="1"/>
  <c r="DN66" i="2" a="1"/>
  <c r="DN66" i="2" s="1"/>
  <c r="DN167" i="2" a="1"/>
  <c r="DN167" i="2" s="1"/>
  <c r="DN45" i="2" a="1"/>
  <c r="DN45" i="2" s="1"/>
  <c r="DN86" i="2" a="1"/>
  <c r="DN86" i="2" s="1"/>
  <c r="DN25" i="2" a="1"/>
  <c r="DN25" i="2" s="1"/>
  <c r="DN31" i="2" a="1"/>
  <c r="DN31" i="2" s="1"/>
  <c r="DN50" i="2" a="1"/>
  <c r="DN50" i="2" s="1"/>
  <c r="DN137" i="2" a="1"/>
  <c r="DN137" i="2" s="1"/>
  <c r="DN80" i="2" a="1"/>
  <c r="DN80" i="2" s="1"/>
  <c r="DN133" i="2" a="1"/>
  <c r="DN133" i="2" s="1"/>
  <c r="DN162" i="2" a="1"/>
  <c r="DN162" i="2" s="1"/>
  <c r="DN123" i="2" a="1"/>
  <c r="DN123" i="2" s="1"/>
  <c r="DN177" i="2" a="1"/>
  <c r="DN177" i="2" s="1"/>
  <c r="DN184" i="2" a="1"/>
  <c r="DN184" i="2" s="1"/>
  <c r="DN186" i="2" a="1"/>
  <c r="DN186" i="2" s="1"/>
  <c r="DN113" i="2" a="1"/>
  <c r="DN113" i="2" s="1"/>
  <c r="DN190" i="2" a="1"/>
  <c r="DN190" i="2" s="1"/>
  <c r="DN65" i="2" a="1"/>
  <c r="DN65" i="2" s="1"/>
  <c r="DN49" i="2" a="1"/>
  <c r="DN49" i="2" s="1"/>
  <c r="DN168" i="2" a="1"/>
  <c r="DN168" i="2" s="1"/>
  <c r="DN115" i="2" a="1"/>
  <c r="DN115" i="2" s="1"/>
  <c r="DN152" i="2" a="1"/>
  <c r="DN152" i="2" s="1"/>
  <c r="DN124" i="2" a="1"/>
  <c r="DN124" i="2" s="1"/>
  <c r="DN103" i="2" a="1"/>
  <c r="DN103" i="2" s="1"/>
  <c r="DN176" i="2" a="1"/>
  <c r="DN176" i="2" s="1"/>
  <c r="DN188" i="2" a="1"/>
  <c r="DN188" i="2" s="1"/>
  <c r="DN16" i="2" a="1"/>
  <c r="DN16" i="2" s="1"/>
  <c r="DN132" i="2" a="1"/>
  <c r="DN132" i="2" s="1"/>
  <c r="DN70" i="2" a="1"/>
  <c r="DN70" i="2" s="1"/>
  <c r="DN164" i="2" a="1"/>
  <c r="DN164" i="2" s="1"/>
  <c r="DN63" i="2" a="1"/>
  <c r="DN63" i="2" s="1"/>
  <c r="DN153" i="2" a="1"/>
  <c r="DN153" i="2" s="1"/>
  <c r="DN29" i="2" a="1"/>
  <c r="DN29" i="2" s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DI203" i="2"/>
  <c r="EY203" i="2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GE44" i="2" l="1"/>
  <c r="GE55" i="2"/>
  <c r="GE104" i="2"/>
  <c r="GE66" i="2"/>
  <c r="GE23" i="2"/>
  <c r="GE132" i="2"/>
  <c r="GE112" i="2"/>
  <c r="GE19" i="2"/>
  <c r="GE160" i="2"/>
  <c r="GE192" i="2"/>
  <c r="GE90" i="2"/>
  <c r="GE163" i="2"/>
  <c r="GE96" i="2"/>
  <c r="GE60" i="2"/>
  <c r="GE18" i="2"/>
  <c r="GE168" i="2"/>
  <c r="GE127" i="2"/>
  <c r="GE139" i="2"/>
  <c r="GE29" i="2"/>
  <c r="GE15" i="2"/>
  <c r="GE174" i="2"/>
  <c r="GE52" i="2"/>
  <c r="GE77" i="2"/>
  <c r="GE93" i="2"/>
  <c r="GE105" i="2"/>
  <c r="GE195" i="2"/>
  <c r="GE11" i="2"/>
  <c r="GE4" i="2"/>
  <c r="GE114" i="2"/>
  <c r="GE202" i="2"/>
  <c r="GE186" i="2"/>
  <c r="GE170" i="2"/>
  <c r="GE31" i="2"/>
  <c r="GE80" i="2"/>
  <c r="GE107" i="2"/>
  <c r="GE54" i="2"/>
  <c r="GE194" i="2"/>
  <c r="GE165" i="2"/>
  <c r="GE47" i="2"/>
  <c r="GE27" i="2"/>
  <c r="GE67" i="2"/>
  <c r="GE8" i="2"/>
  <c r="GE30" i="2"/>
  <c r="GE100" i="2"/>
  <c r="GE102" i="2"/>
  <c r="GE40" i="2"/>
  <c r="GE198" i="2"/>
  <c r="GE203" i="2"/>
  <c r="GE106" i="2"/>
  <c r="GE157" i="2"/>
  <c r="GE184" i="2"/>
  <c r="GE180" i="2"/>
  <c r="GE193" i="2"/>
  <c r="GE201" i="2"/>
  <c r="GE92" i="2"/>
  <c r="GE164" i="2"/>
  <c r="GE166" i="2"/>
  <c r="GE84" i="2"/>
  <c r="GE137" i="2"/>
  <c r="GE149" i="2"/>
  <c r="GE129" i="2"/>
  <c r="GE187" i="2"/>
  <c r="GE162" i="2"/>
  <c r="GE103" i="2"/>
  <c r="GE97" i="2"/>
  <c r="GE117" i="2"/>
  <c r="GE56" i="2"/>
  <c r="GE63" i="2"/>
  <c r="GE126" i="2"/>
  <c r="GE190" i="2"/>
  <c r="GE20" i="2"/>
  <c r="GE49" i="2"/>
  <c r="GE57" i="2"/>
  <c r="GE65" i="2"/>
  <c r="GE199" i="2"/>
  <c r="GE179" i="2"/>
  <c r="GE138" i="2"/>
  <c r="GE61" i="2"/>
  <c r="GE87" i="2"/>
  <c r="GE122" i="2"/>
  <c r="GE152" i="2"/>
  <c r="GE156" i="2"/>
  <c r="GE133" i="2"/>
  <c r="GE183" i="2"/>
  <c r="GE141" i="2"/>
  <c r="GE108" i="2"/>
  <c r="GE173" i="2"/>
  <c r="GE51" i="2"/>
  <c r="GE72" i="2"/>
  <c r="GE33" i="2"/>
  <c r="GE135" i="2"/>
  <c r="GE34" i="2"/>
  <c r="GE7" i="2"/>
  <c r="GE159" i="2"/>
  <c r="GE145" i="2"/>
  <c r="GE128" i="2"/>
  <c r="GE130" i="2"/>
  <c r="GE22" i="2"/>
  <c r="GE70" i="2"/>
  <c r="GE181" i="2"/>
  <c r="GE143" i="2"/>
  <c r="GE42" i="2"/>
  <c r="GE175" i="2"/>
  <c r="GE89" i="2"/>
  <c r="GE171" i="2"/>
  <c r="GE111" i="2"/>
  <c r="GE45" i="2"/>
  <c r="GE134" i="2"/>
  <c r="GE176" i="2"/>
  <c r="GE147" i="2"/>
  <c r="GE115" i="2"/>
  <c r="GE185" i="2"/>
  <c r="GE153" i="2"/>
  <c r="GE32" i="2"/>
  <c r="GE74" i="2"/>
  <c r="GE158" i="2"/>
  <c r="GE73" i="2"/>
  <c r="GE191" i="2"/>
  <c r="GE136" i="2"/>
  <c r="GE146" i="2"/>
  <c r="GE36" i="2"/>
  <c r="GE64" i="2"/>
  <c r="GE94" i="2"/>
  <c r="GE189" i="2"/>
  <c r="GE13" i="2"/>
  <c r="GE109" i="2"/>
  <c r="GE95" i="2"/>
  <c r="GE83" i="2"/>
  <c r="GE79" i="2"/>
  <c r="GE6" i="2"/>
  <c r="GE53" i="2"/>
  <c r="GE169" i="2"/>
  <c r="GE69" i="2"/>
  <c r="GE196" i="2"/>
  <c r="GE144" i="2"/>
  <c r="GE113" i="2"/>
  <c r="GE124" i="2"/>
  <c r="GE197" i="2"/>
  <c r="GE177" i="2"/>
  <c r="GE39" i="2"/>
  <c r="GE178" i="2"/>
  <c r="GE86" i="2"/>
  <c r="GE14" i="2"/>
  <c r="GE41" i="2"/>
  <c r="GE182" i="2"/>
  <c r="GE119" i="2"/>
  <c r="GE76" i="2"/>
  <c r="GE25" i="2"/>
  <c r="GE150" i="2"/>
  <c r="GE17" i="2"/>
  <c r="GE148" i="2"/>
  <c r="GE78" i="2"/>
  <c r="GE125" i="2"/>
  <c r="GE99" i="2"/>
  <c r="GE118" i="2"/>
  <c r="GE71" i="2"/>
  <c r="GE101" i="2"/>
  <c r="GE28" i="2"/>
  <c r="GE98" i="2"/>
  <c r="GE131" i="2"/>
  <c r="GE140" i="2"/>
  <c r="GE85" i="2"/>
  <c r="GE48" i="2"/>
  <c r="GE3" i="2"/>
  <c r="C14" i="4" s="1"/>
  <c r="E14" i="4" s="1"/>
  <c r="F14" i="4" s="1"/>
  <c r="G14" i="4" s="1"/>
  <c r="L14" i="4" s="1"/>
  <c r="GE37" i="2"/>
  <c r="GE91" i="2"/>
  <c r="GE43" i="2"/>
  <c r="GE59" i="2"/>
  <c r="GE12" i="2"/>
  <c r="GE121" i="2"/>
  <c r="GE68" i="2"/>
  <c r="GE21" i="2"/>
  <c r="GE167" i="2"/>
  <c r="GE26" i="2"/>
  <c r="GE62" i="2"/>
  <c r="GE75" i="2"/>
  <c r="GE161" i="2"/>
  <c r="GE172" i="2"/>
  <c r="GE123" i="2"/>
  <c r="GE116" i="2"/>
  <c r="GE58" i="2"/>
  <c r="GE38" i="2"/>
  <c r="GE5" i="2"/>
  <c r="GE120" i="2"/>
  <c r="GE46" i="2"/>
  <c r="GE155" i="2"/>
  <c r="GE81" i="2"/>
  <c r="GE200" i="2"/>
  <c r="GE154" i="2"/>
  <c r="GE35" i="2"/>
  <c r="GE24" i="2"/>
  <c r="GE50" i="2"/>
  <c r="GE16" i="2"/>
  <c r="GE9" i="2"/>
  <c r="GE151" i="2"/>
  <c r="GE110" i="2"/>
  <c r="GE188" i="2"/>
  <c r="GE10" i="2"/>
  <c r="GE142" i="2"/>
  <c r="GE88" i="2"/>
  <c r="GE82" i="2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EO127" i="2" l="1"/>
  <c r="EO52" i="2"/>
  <c r="EO138" i="2"/>
  <c r="EO60" i="2"/>
  <c r="EO104" i="2"/>
  <c r="EO44" i="2"/>
  <c r="EO85" i="2"/>
  <c r="EO164" i="2"/>
  <c r="EO74" i="2"/>
  <c r="EO170" i="2"/>
  <c r="EO185" i="2"/>
  <c r="EO200" i="2"/>
  <c r="EO141" i="2"/>
  <c r="EO181" i="2"/>
  <c r="EO88" i="2"/>
  <c r="EO120" i="2"/>
  <c r="EO78" i="2"/>
  <c r="EO36" i="2"/>
  <c r="EO3" i="2"/>
  <c r="C12" i="4" s="1"/>
  <c r="E12" i="4" s="1"/>
  <c r="F12" i="4" s="1"/>
  <c r="G12" i="4" s="1"/>
  <c r="L12" i="4" s="1"/>
  <c r="EO35" i="2"/>
  <c r="EO203" i="2"/>
  <c r="EO194" i="2"/>
  <c r="EO192" i="2"/>
  <c r="EO58" i="2"/>
  <c r="EO15" i="2"/>
  <c r="EO31" i="2"/>
  <c r="EO178" i="2"/>
  <c r="EO61" i="2"/>
  <c r="EO67" i="2"/>
  <c r="EO195" i="2"/>
  <c r="EO105" i="2"/>
  <c r="EO22" i="2"/>
  <c r="EO34" i="2"/>
  <c r="EO155" i="2"/>
  <c r="EO188" i="2"/>
  <c r="EO108" i="2"/>
  <c r="EO139" i="2"/>
  <c r="EO87" i="2"/>
  <c r="EO177" i="2"/>
  <c r="EO110" i="2"/>
  <c r="EO174" i="2"/>
  <c r="EO99" i="2"/>
  <c r="EO57" i="2"/>
  <c r="EO11" i="2"/>
  <c r="EO18" i="2"/>
  <c r="EO80" i="2"/>
  <c r="EO98" i="2"/>
  <c r="EO20" i="2"/>
  <c r="EO193" i="2"/>
  <c r="EO162" i="2"/>
  <c r="EO124" i="2"/>
  <c r="EO157" i="2"/>
  <c r="EO197" i="2"/>
  <c r="EO171" i="2"/>
  <c r="EO41" i="2"/>
  <c r="EO69" i="2"/>
  <c r="EO119" i="2"/>
  <c r="EO75" i="2"/>
  <c r="EO63" i="2"/>
  <c r="EO115" i="2"/>
  <c r="EO86" i="2"/>
  <c r="EO147" i="2"/>
  <c r="EO146" i="2"/>
  <c r="EO183" i="2"/>
  <c r="EO198" i="2"/>
  <c r="EO182" i="2"/>
  <c r="EO12" i="2"/>
  <c r="EO68" i="2"/>
  <c r="EO158" i="2"/>
  <c r="EO101" i="2"/>
  <c r="EO46" i="2"/>
  <c r="EO107" i="2"/>
  <c r="EO159" i="2"/>
  <c r="EO187" i="2"/>
  <c r="EO43" i="2"/>
  <c r="EO10" i="2"/>
  <c r="EO102" i="2"/>
  <c r="EO32" i="2"/>
  <c r="EO72" i="2"/>
  <c r="EO165" i="2"/>
  <c r="EO189" i="2"/>
  <c r="EO26" i="2"/>
  <c r="EO161" i="2"/>
  <c r="EO9" i="2"/>
  <c r="EO76" i="2"/>
  <c r="EO23" i="2"/>
  <c r="EO100" i="2"/>
  <c r="EO135" i="2"/>
  <c r="EO79" i="2"/>
  <c r="EO144" i="2"/>
  <c r="EO180" i="2"/>
  <c r="EO50" i="2"/>
  <c r="EO125" i="2"/>
  <c r="EO45" i="2"/>
  <c r="EO55" i="2"/>
  <c r="EO83" i="2"/>
  <c r="EO53" i="2"/>
  <c r="EO97" i="2"/>
  <c r="EO47" i="2"/>
  <c r="EO156" i="2"/>
  <c r="EO42" i="2"/>
  <c r="EO113" i="2"/>
  <c r="EO64" i="2"/>
  <c r="EO175" i="2"/>
  <c r="EO143" i="2"/>
  <c r="EO173" i="2"/>
  <c r="EO148" i="2"/>
  <c r="EO131" i="2"/>
  <c r="EO16" i="2"/>
  <c r="EO109" i="2"/>
  <c r="EO19" i="2"/>
  <c r="EO25" i="2"/>
  <c r="EO94" i="2"/>
  <c r="EO114" i="2"/>
  <c r="EO184" i="2"/>
  <c r="EO190" i="2"/>
  <c r="EO39" i="2"/>
  <c r="EO154" i="2"/>
  <c r="EO134" i="2"/>
  <c r="EO201" i="2"/>
  <c r="EO166" i="2"/>
  <c r="EO56" i="2"/>
  <c r="EO191" i="2"/>
  <c r="EO96" i="2"/>
  <c r="EO7" i="2"/>
  <c r="EO169" i="2"/>
  <c r="EO33" i="2"/>
  <c r="EO202" i="2"/>
  <c r="EO77" i="2"/>
  <c r="EO103" i="2"/>
  <c r="EO199" i="2"/>
  <c r="EO82" i="2"/>
  <c r="EO93" i="2"/>
  <c r="EO153" i="2"/>
  <c r="EO24" i="2"/>
  <c r="EO51" i="2"/>
  <c r="EO179" i="2"/>
  <c r="EO27" i="2"/>
  <c r="EO196" i="2"/>
  <c r="EO112" i="2"/>
  <c r="EO186" i="2"/>
  <c r="EO118" i="2"/>
  <c r="EO140" i="2"/>
  <c r="EO66" i="2"/>
  <c r="EO62" i="2"/>
  <c r="EO13" i="2"/>
  <c r="EO106" i="2"/>
  <c r="EO136" i="2"/>
  <c r="EO30" i="2"/>
  <c r="EO137" i="2"/>
  <c r="EO149" i="2"/>
  <c r="EO48" i="2"/>
  <c r="EO89" i="2"/>
  <c r="EO40" i="2"/>
  <c r="EO145" i="2"/>
  <c r="EO129" i="2"/>
  <c r="EO133" i="2"/>
  <c r="EO70" i="2"/>
  <c r="EO150" i="2"/>
  <c r="EO121" i="2"/>
  <c r="EO167" i="2"/>
  <c r="EO73" i="2"/>
  <c r="EO54" i="2"/>
  <c r="EO151" i="2"/>
  <c r="EO152" i="2"/>
  <c r="EO5" i="2"/>
  <c r="EO21" i="2"/>
  <c r="EO92" i="2"/>
  <c r="EO128" i="2"/>
  <c r="EO28" i="2"/>
  <c r="EO65" i="2"/>
  <c r="EO172" i="2"/>
  <c r="EO37" i="2"/>
  <c r="EO6" i="2"/>
  <c r="EO126" i="2"/>
  <c r="EO163" i="2"/>
  <c r="EO81" i="2"/>
  <c r="EO116" i="2"/>
  <c r="EO132" i="2"/>
  <c r="EO122" i="2"/>
  <c r="EO130" i="2"/>
  <c r="EO17" i="2"/>
  <c r="EO91" i="2"/>
  <c r="EO14" i="2"/>
  <c r="EO29" i="2"/>
  <c r="EO71" i="2"/>
  <c r="EO84" i="2"/>
  <c r="EO49" i="2"/>
  <c r="EO160" i="2"/>
  <c r="EO176" i="2"/>
  <c r="EO90" i="2"/>
  <c r="EO95" i="2"/>
  <c r="EO123" i="2"/>
  <c r="EO111" i="2"/>
  <c r="EO8" i="2"/>
  <c r="EO59" i="2"/>
  <c r="EO117" i="2"/>
  <c r="EO168" i="2"/>
  <c r="EO4" i="2"/>
  <c r="EO142" i="2"/>
  <c r="EO38" i="2"/>
  <c r="FJ137" i="2"/>
  <c r="FJ43" i="2"/>
  <c r="FJ89" i="2"/>
  <c r="FJ99" i="2"/>
  <c r="FJ203" i="2"/>
  <c r="FJ162" i="2"/>
  <c r="FJ16" i="2"/>
  <c r="FJ79" i="2"/>
  <c r="FJ101" i="2"/>
  <c r="FJ165" i="2"/>
  <c r="FJ40" i="2"/>
  <c r="FJ158" i="2"/>
  <c r="FJ14" i="2"/>
  <c r="FJ146" i="2"/>
  <c r="FJ8" i="2"/>
  <c r="FJ19" i="2"/>
  <c r="FJ7" i="2"/>
  <c r="FJ116" i="2"/>
  <c r="FJ143" i="2"/>
  <c r="FJ34" i="2"/>
  <c r="FJ188" i="2"/>
  <c r="FJ26" i="2"/>
  <c r="FJ105" i="2"/>
  <c r="FJ190" i="2"/>
  <c r="FJ63" i="2"/>
  <c r="FJ62" i="2"/>
  <c r="FJ115" i="2"/>
  <c r="FJ33" i="2"/>
  <c r="FJ194" i="2"/>
  <c r="FJ68" i="2"/>
  <c r="FJ189" i="2"/>
  <c r="FJ167" i="2"/>
  <c r="FJ107" i="2"/>
  <c r="FJ177" i="2"/>
  <c r="FJ124" i="2"/>
  <c r="FJ56" i="2"/>
  <c r="FJ11" i="2"/>
  <c r="FJ64" i="2"/>
  <c r="FJ197" i="2"/>
  <c r="FJ173" i="2"/>
  <c r="FJ102" i="2"/>
  <c r="FJ182" i="2"/>
  <c r="FJ114" i="2"/>
  <c r="FJ159" i="2"/>
  <c r="FJ138" i="2"/>
  <c r="FJ32" i="2"/>
  <c r="FJ154" i="2"/>
  <c r="FJ147" i="2"/>
  <c r="FJ61" i="2"/>
  <c r="FJ121" i="2"/>
  <c r="FJ66" i="2"/>
  <c r="FJ112" i="2"/>
  <c r="FJ76" i="2"/>
  <c r="FJ178" i="2"/>
  <c r="FJ87" i="2"/>
  <c r="FJ171" i="2"/>
  <c r="FJ199" i="2"/>
  <c r="FJ183" i="2"/>
  <c r="FJ88" i="2"/>
  <c r="FJ166" i="2"/>
  <c r="FJ18" i="2"/>
  <c r="FJ181" i="2"/>
  <c r="FJ20" i="2"/>
  <c r="FJ163" i="2"/>
  <c r="FJ12" i="2"/>
  <c r="FJ191" i="2"/>
  <c r="FJ74" i="2"/>
  <c r="FJ51" i="2"/>
  <c r="FJ109" i="2"/>
  <c r="FJ198" i="2"/>
  <c r="FJ95" i="2"/>
  <c r="FJ149" i="2"/>
  <c r="FJ195" i="2"/>
  <c r="FJ81" i="2"/>
  <c r="FJ126" i="2"/>
  <c r="FJ97" i="2"/>
  <c r="FJ130" i="2"/>
  <c r="FJ131" i="2"/>
  <c r="FJ60" i="2"/>
  <c r="FJ10" i="2"/>
  <c r="FJ193" i="2"/>
  <c r="FJ172" i="2"/>
  <c r="FJ128" i="2"/>
  <c r="FJ23" i="2"/>
  <c r="FJ55" i="2"/>
  <c r="FJ4" i="2"/>
  <c r="FJ59" i="2"/>
  <c r="FJ156" i="2"/>
  <c r="FJ127" i="2"/>
  <c r="FJ78" i="2"/>
  <c r="FJ71" i="2"/>
  <c r="FJ135" i="2"/>
  <c r="FJ31" i="2"/>
  <c r="FJ3" i="2"/>
  <c r="C13" i="4" s="1"/>
  <c r="E13" i="4" s="1"/>
  <c r="F13" i="4" s="1"/>
  <c r="G13" i="4" s="1"/>
  <c r="L13" i="4" s="1"/>
  <c r="FJ58" i="2"/>
  <c r="FJ132" i="2"/>
  <c r="FJ24" i="2"/>
  <c r="FJ36" i="2"/>
  <c r="FJ106" i="2"/>
  <c r="FJ17" i="2"/>
  <c r="FJ25" i="2"/>
  <c r="FJ176" i="2"/>
  <c r="FJ22" i="2"/>
  <c r="FJ70" i="2"/>
  <c r="FJ47" i="2"/>
  <c r="FJ136" i="2"/>
  <c r="FJ5" i="2"/>
  <c r="FJ98" i="2"/>
  <c r="FJ187" i="2"/>
  <c r="FJ90" i="2"/>
  <c r="FJ184" i="2"/>
  <c r="FJ150" i="2"/>
  <c r="FJ169" i="2"/>
  <c r="FJ133" i="2"/>
  <c r="FJ174" i="2"/>
  <c r="FJ157" i="2"/>
  <c r="FJ84" i="2"/>
  <c r="FJ108" i="2"/>
  <c r="FJ37" i="2"/>
  <c r="FJ192" i="2"/>
  <c r="FJ141" i="2"/>
  <c r="FJ104" i="2"/>
  <c r="FJ82" i="2"/>
  <c r="FJ80" i="2"/>
  <c r="FJ53" i="2"/>
  <c r="FJ185" i="2"/>
  <c r="FJ6" i="2"/>
  <c r="FJ155" i="2"/>
  <c r="FJ13" i="2"/>
  <c r="FJ75" i="2"/>
  <c r="FJ67" i="2"/>
  <c r="FJ144" i="2"/>
  <c r="FJ15" i="2"/>
  <c r="FJ134" i="2"/>
  <c r="FJ72" i="2"/>
  <c r="FJ27" i="2"/>
  <c r="FJ42" i="2"/>
  <c r="FJ77" i="2"/>
  <c r="FJ196" i="2"/>
  <c r="FJ148" i="2"/>
  <c r="FJ186" i="2"/>
  <c r="FJ48" i="2"/>
  <c r="FJ153" i="2"/>
  <c r="FJ44" i="2"/>
  <c r="FJ21" i="2"/>
  <c r="FJ65" i="2"/>
  <c r="FJ103" i="2"/>
  <c r="FJ117" i="2"/>
  <c r="FJ123" i="2"/>
  <c r="FJ175" i="2"/>
  <c r="FJ41" i="2"/>
  <c r="FJ35" i="2"/>
  <c r="FJ201" i="2"/>
  <c r="FJ49" i="2"/>
  <c r="FJ119" i="2"/>
  <c r="FJ9" i="2"/>
  <c r="FJ29" i="2"/>
  <c r="FJ45" i="2"/>
  <c r="FJ92" i="2"/>
  <c r="FJ142" i="2"/>
  <c r="FJ30" i="2"/>
  <c r="FJ164" i="2"/>
  <c r="FJ69" i="2"/>
  <c r="FJ145" i="2"/>
  <c r="FJ111" i="2"/>
  <c r="FJ122" i="2"/>
  <c r="FJ85" i="2"/>
  <c r="FJ140" i="2"/>
  <c r="FJ50" i="2"/>
  <c r="FJ152" i="2"/>
  <c r="FJ38" i="2"/>
  <c r="FJ120" i="2"/>
  <c r="FJ100" i="2"/>
  <c r="FJ110" i="2"/>
  <c r="FJ179" i="2"/>
  <c r="FJ46" i="2"/>
  <c r="FJ168" i="2"/>
  <c r="FJ202" i="2"/>
  <c r="FJ83" i="2"/>
  <c r="FJ28" i="2"/>
  <c r="FJ161" i="2"/>
  <c r="FJ93" i="2"/>
  <c r="FJ180" i="2"/>
  <c r="FJ125" i="2"/>
  <c r="FJ73" i="2"/>
  <c r="FJ139" i="2"/>
  <c r="FJ94" i="2"/>
  <c r="FJ200" i="2"/>
  <c r="FJ113" i="2"/>
  <c r="FJ91" i="2"/>
  <c r="FJ160" i="2"/>
  <c r="FJ52" i="2"/>
  <c r="FJ39" i="2"/>
  <c r="FJ170" i="2"/>
  <c r="FJ54" i="2"/>
  <c r="FJ86" i="2"/>
  <c r="FJ151" i="2"/>
  <c r="FJ129" i="2"/>
  <c r="FJ57" i="2"/>
  <c r="FJ96" i="2"/>
  <c r="FJ118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47" i="2" l="1"/>
  <c r="BI106" i="2"/>
  <c r="BI40" i="2"/>
  <c r="BI7" i="2"/>
  <c r="BI25" i="2"/>
  <c r="BI195" i="2"/>
  <c r="BI23" i="2"/>
  <c r="BI84" i="2"/>
  <c r="BI26" i="2"/>
  <c r="BI65" i="2"/>
  <c r="BI130" i="2"/>
  <c r="BI78" i="2"/>
  <c r="BI33" i="2"/>
  <c r="BI146" i="2"/>
  <c r="BI150" i="2"/>
  <c r="BI79" i="2"/>
  <c r="BI60" i="2"/>
  <c r="BI151" i="2"/>
  <c r="BI157" i="2"/>
  <c r="BI142" i="2"/>
  <c r="BI48" i="2"/>
  <c r="BI104" i="2"/>
  <c r="BI192" i="2"/>
  <c r="BI9" i="2"/>
  <c r="BI38" i="2"/>
  <c r="BI64" i="2"/>
  <c r="BI95" i="2"/>
  <c r="BI202" i="2"/>
  <c r="BI184" i="2"/>
  <c r="BI105" i="2"/>
  <c r="BI164" i="2"/>
  <c r="BI52" i="2"/>
  <c r="BI183" i="2"/>
  <c r="BI103" i="2"/>
  <c r="BI45" i="2"/>
  <c r="BI186" i="2"/>
  <c r="BI91" i="2"/>
  <c r="BI133" i="2"/>
  <c r="BI158" i="2"/>
  <c r="BI85" i="2"/>
  <c r="BI153" i="2"/>
  <c r="BI110" i="2"/>
  <c r="BI116" i="2"/>
  <c r="BI99" i="2"/>
  <c r="BI148" i="2"/>
  <c r="BI68" i="2"/>
  <c r="BI58" i="2"/>
  <c r="BI66" i="2"/>
  <c r="BI155" i="2"/>
  <c r="BI18" i="2"/>
  <c r="BI136" i="2"/>
  <c r="BI187" i="2"/>
  <c r="BI180" i="2"/>
  <c r="BI134" i="2"/>
  <c r="BI174" i="2"/>
  <c r="BI111" i="2"/>
  <c r="BI118" i="2"/>
  <c r="BI109" i="2"/>
  <c r="BI24" i="2"/>
  <c r="BI73" i="2"/>
  <c r="BI125" i="2"/>
  <c r="BI62" i="2"/>
  <c r="BI117" i="2"/>
  <c r="BI98" i="2"/>
  <c r="BI115" i="2"/>
  <c r="BI29" i="2"/>
  <c r="BI144" i="2"/>
  <c r="BI152" i="2"/>
  <c r="BI34" i="2"/>
  <c r="BI149" i="2"/>
  <c r="BI16" i="2"/>
  <c r="BI175" i="2"/>
  <c r="BI101" i="2"/>
  <c r="BI63" i="2"/>
  <c r="BI75" i="2"/>
  <c r="BI173" i="2"/>
  <c r="BI20" i="2"/>
  <c r="BI57" i="2"/>
  <c r="BI32" i="2"/>
  <c r="BI15" i="2"/>
  <c r="BI88" i="2"/>
  <c r="BI89" i="2"/>
  <c r="BI49" i="2"/>
  <c r="BI160" i="2"/>
  <c r="BI17" i="2"/>
  <c r="BI143" i="2"/>
  <c r="BI44" i="2"/>
  <c r="BI128" i="2"/>
  <c r="BI46" i="2"/>
  <c r="BI131" i="2"/>
  <c r="BI8" i="2"/>
  <c r="BI138" i="2"/>
  <c r="BI124" i="2"/>
  <c r="BI37" i="2"/>
  <c r="BI140" i="2"/>
  <c r="BI169" i="2"/>
  <c r="BI70" i="2"/>
  <c r="BI181" i="2"/>
  <c r="BI190" i="2"/>
  <c r="BI135" i="2"/>
  <c r="BI163" i="2"/>
  <c r="BI81" i="2"/>
  <c r="BI141" i="2"/>
  <c r="BI72" i="2"/>
  <c r="BI185" i="2"/>
  <c r="BI189" i="2"/>
  <c r="BI147" i="2"/>
  <c r="BI10" i="2"/>
  <c r="BI132" i="2"/>
  <c r="BI177" i="2"/>
  <c r="BI54" i="2"/>
  <c r="BI21" i="2"/>
  <c r="BI36" i="2"/>
  <c r="BI39" i="2"/>
  <c r="BI82" i="2"/>
  <c r="BI51" i="2"/>
  <c r="BI168" i="2"/>
  <c r="BI194" i="2"/>
  <c r="BI74" i="2"/>
  <c r="BI100" i="2"/>
  <c r="BI170" i="2"/>
  <c r="BI30" i="2"/>
  <c r="BI122" i="2"/>
  <c r="BI137" i="2"/>
  <c r="BI102" i="2"/>
  <c r="BI71" i="2"/>
  <c r="BI188" i="2"/>
  <c r="BI83" i="2"/>
  <c r="BI127" i="2"/>
  <c r="BI201" i="2"/>
  <c r="BI92" i="2"/>
  <c r="BI159" i="2"/>
  <c r="BI6" i="2"/>
  <c r="BI139" i="2"/>
  <c r="BI59" i="2"/>
  <c r="BI112" i="2"/>
  <c r="BI22" i="2"/>
  <c r="BI53" i="2"/>
  <c r="BI12" i="2"/>
  <c r="BI14" i="2"/>
  <c r="BI86" i="2"/>
  <c r="BI43" i="2"/>
  <c r="BI179" i="2"/>
  <c r="BI120" i="2"/>
  <c r="BI119" i="2"/>
  <c r="BI182" i="2"/>
  <c r="BI27" i="2"/>
  <c r="BI165" i="2"/>
  <c r="BI31" i="2"/>
  <c r="BI35" i="2"/>
  <c r="BI56" i="2"/>
  <c r="BI178" i="2"/>
  <c r="BI77" i="2"/>
  <c r="BI3" i="2"/>
  <c r="C8" i="4" s="1"/>
  <c r="E8" i="4" s="1"/>
  <c r="F8" i="4" s="1"/>
  <c r="G8" i="4" s="1"/>
  <c r="L8" i="4" s="1"/>
  <c r="BI87" i="2"/>
  <c r="BI69" i="2"/>
  <c r="BI172" i="2"/>
  <c r="BI108" i="2"/>
  <c r="BI154" i="2"/>
  <c r="BI94" i="2"/>
  <c r="BI5" i="2"/>
  <c r="BI107" i="2"/>
  <c r="BI129" i="2"/>
  <c r="BI80" i="2"/>
  <c r="BI176" i="2"/>
  <c r="BI156" i="2"/>
  <c r="BI50" i="2"/>
  <c r="BI162" i="2"/>
  <c r="BI145" i="2"/>
  <c r="BI196" i="2"/>
  <c r="BI61" i="2"/>
  <c r="BI13" i="2"/>
  <c r="BI167" i="2"/>
  <c r="BI19" i="2"/>
  <c r="BI97" i="2"/>
  <c r="BI126" i="2"/>
  <c r="BI197" i="2"/>
  <c r="BI121" i="2"/>
  <c r="BI76" i="2"/>
  <c r="BI113" i="2"/>
  <c r="BI96" i="2"/>
  <c r="BI199" i="2"/>
  <c r="BI193" i="2"/>
  <c r="BI28" i="2"/>
  <c r="BI41" i="2"/>
  <c r="BI114" i="2"/>
  <c r="BI67" i="2"/>
  <c r="BI4" i="2"/>
  <c r="BI166" i="2"/>
  <c r="BI123" i="2"/>
  <c r="BI55" i="2"/>
  <c r="BI200" i="2"/>
  <c r="BI11" i="2"/>
  <c r="BI198" i="2"/>
  <c r="BI93" i="2"/>
  <c r="BI191" i="2"/>
  <c r="BI171" i="2"/>
  <c r="BI161" i="2"/>
  <c r="BI42" i="2"/>
  <c r="BI203" i="2"/>
  <c r="BI90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<sst xmlns="http://schemas.openxmlformats.org/spreadsheetml/2006/main" count="1176" uniqueCount="324">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</sst>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1.9134944177750821</c:v>
                </c:pt>
                <c:pt idx="2">
                  <c:v>2.5193447938967153</c:v>
                </c:pt>
                <c:pt idx="3">
                  <c:v>3.3178119643651525</c:v>
                </c:pt>
                <c:pt idx="4">
                  <c:v>4.3703718770661864</c:v>
                </c:pt>
                <c:pt idx="5">
                  <c:v>5.7581922481965391</c:v>
                </c:pt>
                <c:pt idx="6">
                  <c:v>7.5884612822811972</c:v>
                </c:pt>
                <c:pt idx="7">
                  <c:v>10.002756634482845</c:v>
                </c:pt>
                <c:pt idx="8">
                  <c:v>13.188114194820793</c:v>
                </c:pt>
                <c:pt idx="9">
                  <c:v>17.391670050888376</c:v>
                </c:pt>
                <c:pt idx="10">
                  <c:v>22.940032210106224</c:v>
                </c:pt>
                <c:pt idx="11">
                  <c:v>30.264913942025682</c:v>
                </c:pt>
                <c:pt idx="12">
                  <c:v>39.937057916497047</c:v>
                </c:pt>
                <c:pt idx="13">
                  <c:v>52.711139427388581</c:v>
                </c:pt>
                <c:pt idx="14">
                  <c:v>69.585210645445571</c:v>
                </c:pt>
                <c:pt idx="15">
                  <c:v>91.879406000953239</c:v>
                </c:pt>
                <c:pt idx="16">
                  <c:v>121.34016427394583</c:v>
                </c:pt>
                <c:pt idx="17">
                  <c:v>160.27825891364779</c:v>
                </c:pt>
                <c:pt idx="18">
                  <c:v>211.75162792193737</c:v>
                </c:pt>
                <c:pt idx="19">
                  <c:v>279.80757515319931</c:v>
                </c:pt>
                <c:pt idx="20">
                  <c:v>369.80366387000657</c:v>
                </c:pt>
                <c:pt idx="21">
                  <c:v>356.45087943088532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469.87771773906974</c:v>
                </c:pt>
                <c:pt idx="25">
                  <c:v>507.5484747180808</c:v>
                </c:pt>
                <c:pt idx="26">
                  <c:v>475.56786051841215</c:v>
                </c:pt>
                <c:pt idx="27">
                  <c:v>514.64938862406336</c:v>
                </c:pt>
                <c:pt idx="28">
                  <c:v>553.66829141515609</c:v>
                </c:pt>
                <c:pt idx="29">
                  <c:v>592.62959437384325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1.8181341265753002</c:v>
                </c:pt>
                <c:pt idx="2">
                  <c:v>2.2743106215670248</c:v>
                </c:pt>
                <c:pt idx="3">
                  <c:v>2.8453959434087075</c:v>
                </c:pt>
                <c:pt idx="4">
                  <c:v>3.5604428348241446</c:v>
                </c:pt>
                <c:pt idx="5">
                  <c:v>4.4558750746090627</c:v>
                </c:pt>
                <c:pt idx="6">
                  <c:v>5.5773636344907445</c:v>
                </c:pt>
                <c:pt idx="7">
                  <c:v>6.9821817968037978</c:v>
                </c:pt>
                <c:pt idx="8">
                  <c:v>8.7421618394872009</c:v>
                </c:pt>
                <c:pt idx="9">
                  <c:v>10.947407358279287</c:v>
                </c:pt>
                <c:pt idx="10">
                  <c:v>13.710954851717311</c:v>
                </c:pt>
                <c:pt idx="11">
                  <c:v>17.174627928222961</c:v>
                </c:pt>
                <c:pt idx="12">
                  <c:v>21.516390030249696</c:v>
                </c:pt>
                <c:pt idx="13">
                  <c:v>26.95958021000617</c:v>
                </c:pt>
                <c:pt idx="14">
                  <c:v>33.784515389560262</c:v>
                </c:pt>
                <c:pt idx="15">
                  <c:v>42.343066923912453</c:v>
                </c:pt>
                <c:pt idx="16">
                  <c:v>53.076975739445423</c:v>
                </c:pt>
                <c:pt idx="17">
                  <c:v>66.540867124348125</c:v>
                </c:pt>
                <c:pt idx="18">
                  <c:v>83.431173827072755</c:v>
                </c:pt>
                <c:pt idx="19">
                  <c:v>104.62248759610861</c:v>
                </c:pt>
                <c:pt idx="20">
                  <c:v>131.21325118848048</c:v>
                </c:pt>
                <c:pt idx="21">
                  <c:v>164.58319598155325</c:v>
                </c:pt>
                <c:pt idx="22">
                  <c:v>206.46555082498423</c:v>
                </c:pt>
                <c:pt idx="23">
                  <c:v>259.03782863162985</c:v>
                </c:pt>
                <c:pt idx="24">
                  <c:v>325.03597993436773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98.037650703348916</c:v>
                </c:pt>
                <c:pt idx="22">
                  <c:v>104.69560377467076</c:v>
                </c:pt>
                <c:pt idx="23">
                  <c:v>111.34310257460952</c:v>
                </c:pt>
                <c:pt idx="24">
                  <c:v>117.9808606024704</c:v>
                </c:pt>
                <c:pt idx="25">
                  <c:v>124.60950431583007</c:v>
                </c:pt>
                <c:pt idx="26">
                  <c:v>131.22958792096287</c:v>
                </c:pt>
                <c:pt idx="27">
                  <c:v>137.84160501390227</c:v>
                </c:pt>
                <c:pt idx="28">
                  <c:v>144.44599786495399</c:v>
                </c:pt>
                <c:pt idx="29">
                  <c:v>151.04316491199833</c:v>
                </c:pt>
                <c:pt idx="30">
                  <c:v>157.63346687299858</c:v>
                </c:pt>
                <c:pt idx="31">
                  <c:v>115.77785737197428</c:v>
                </c:pt>
                <c:pt idx="32">
                  <c:v>122.94677025652986</c:v>
                </c:pt>
                <c:pt idx="33">
                  <c:v>130.10552217830408</c:v>
                </c:pt>
                <c:pt idx="34">
                  <c:v>137.25475210550675</c:v>
                </c:pt>
                <c:pt idx="35">
                  <c:v>144.39502686294227</c:v>
                </c:pt>
                <c:pt idx="36">
                  <c:v>151.52685252328274</c:v>
                </c:pt>
                <c:pt idx="37">
                  <c:v>158.65068353627362</c:v>
                </c:pt>
                <c:pt idx="38">
                  <c:v>165.7669301286771</c:v>
                </c:pt>
                <c:pt idx="39">
                  <c:v>172.8759643642932</c:v>
                </c:pt>
                <c:pt idx="40">
                  <c:v>179.97812515299572</c:v>
                </c:pt>
                <c:pt idx="41">
                  <c:v>136.23399433545885</c:v>
                </c:pt>
                <c:pt idx="42">
                  <c:v>143.37551610986995</c:v>
                </c:pt>
                <c:pt idx="43">
                  <c:v>150.50851984377374</c:v>
                </c:pt>
                <c:pt idx="44">
                  <c:v>157.63346687299858</c:v>
                </c:pt>
                <c:pt idx="45">
                  <c:v>164.75077334312189</c:v>
                </c:pt>
                <c:pt idx="46">
                  <c:v>171.8608164412426</c:v>
                </c:pt>
                <c:pt idx="47">
                  <c:v>178.96393954042514</c:v>
                </c:pt>
                <c:pt idx="48">
                  <c:v>186.06045648309293</c:v>
                </c:pt>
                <c:pt idx="49">
                  <c:v>193.15065517554149</c:v>
                </c:pt>
                <c:pt idx="50">
                  <c:v>200.23480062612771</c:v>
                </c:pt>
                <c:pt idx="51">
                  <c:v>155.59856479059445</c:v>
                </c:pt>
                <c:pt idx="52">
                  <c:v>163.73446838162982</c:v>
                </c:pt>
                <c:pt idx="53">
                  <c:v>171.8608164412426</c:v>
                </c:pt>
                <c:pt idx="54">
                  <c:v>179.97812515299572</c:v>
                </c:pt>
                <c:pt idx="55">
                  <c:v>188.08686026278497</c:v>
                </c:pt>
                <c:pt idx="56">
                  <c:v>196.18744401776064</c:v>
                </c:pt>
                <c:pt idx="57">
                  <c:v>204.28026089728533</c:v>
                </c:pt>
                <c:pt idx="58">
                  <c:v>212.3656623867605</c:v>
                </c:pt>
                <c:pt idx="59">
                  <c:v>220.44397098530524</c:v>
                </c:pt>
                <c:pt idx="60">
                  <c:v>228.51548359441395</c:v>
                </c:pt>
                <c:pt idx="61">
                  <c:v>181.49915276507213</c:v>
                </c:pt>
                <c:pt idx="62">
                  <c:v>189.09987078266826</c:v>
                </c:pt>
                <c:pt idx="63">
                  <c:v>196.69346881409535</c:v>
                </c:pt>
                <c:pt idx="64">
                  <c:v>204.28026089728533</c:v>
                </c:pt>
                <c:pt idx="65">
                  <c:v>211.86053580433205</c:v>
                </c:pt>
                <c:pt idx="66">
                  <c:v>219.43455992571219</c:v>
                </c:pt>
                <c:pt idx="67">
                  <c:v>227.00257973489428</c:v>
                </c:pt>
                <c:pt idx="68">
                  <c:v>234.56482390663425</c:v>
                </c:pt>
                <c:pt idx="69">
                  <c:v>242.12150514745761</c:v>
                </c:pt>
                <c:pt idx="70">
                  <c:v>249.67282178538531</c:v>
                </c:pt>
                <c:pt idx="71">
                  <c:v>202.96569164608286</c:v>
                </c:pt>
                <c:pt idx="72">
                  <c:v>210.74915945166401</c:v>
                </c:pt>
                <c:pt idx="73">
                  <c:v>218.52599874468251</c:v>
                </c:pt>
                <c:pt idx="74">
                  <c:v>226.2964789965678</c:v>
                </c:pt>
                <c:pt idx="75">
                  <c:v>234.06084963689582</c:v>
                </c:pt>
                <c:pt idx="76">
                  <c:v>241.81934217417572</c:v>
                </c:pt>
                <c:pt idx="77">
                  <c:v>249.5721720298944</c:v>
                </c:pt>
                <c:pt idx="78">
                  <c:v>257.31954013248065</c:v>
                </c:pt>
                <c:pt idx="79">
                  <c:v>265.06163430905303</c:v>
                </c:pt>
                <c:pt idx="80">
                  <c:v>272.79863050588659</c:v>
                </c:pt>
                <c:pt idx="81">
                  <c:v>225.79209043046674</c:v>
                </c:pt>
                <c:pt idx="82">
                  <c:v>234.16164647127155</c:v>
                </c:pt>
                <c:pt idx="83">
                  <c:v>242.52437576473486</c:v>
                </c:pt>
                <c:pt idx="84">
                  <c:v>250.88054716684198</c:v>
                </c:pt>
                <c:pt idx="85">
                  <c:v>259.23041014141285</c:v>
                </c:pt>
                <c:pt idx="86">
                  <c:v>267.57419675218836</c:v>
                </c:pt>
                <c:pt idx="87">
                  <c:v>275.9121233931935</c:v>
                </c:pt>
                <c:pt idx="88">
                  <c:v>284.24439229880414</c:v>
                </c:pt>
                <c:pt idx="89">
                  <c:v>292.57119286733285</c:v>
                </c:pt>
                <c:pt idx="90">
                  <c:v>300.89270282593066</c:v>
                </c:pt>
                <c:pt idx="91">
                  <c:v>251.98751293567338</c:v>
                </c:pt>
                <c:pt idx="92">
                  <c:v>260.33655762585141</c:v>
                </c:pt>
                <c:pt idx="93">
                  <c:v>268.67955549686087</c:v>
                </c:pt>
                <c:pt idx="94">
                  <c:v>277.01672098370415</c:v>
                </c:pt>
                <c:pt idx="95">
                  <c:v>285.34825454721067</c:v>
                </c:pt>
                <c:pt idx="96">
                  <c:v>293.67434397510965</c:v>
                </c:pt>
                <c:pt idx="97">
                  <c:v>301.99516552771871</c:v>
                </c:pt>
                <c:pt idx="98">
                  <c:v>310.31088495066075</c:v>
                </c:pt>
                <c:pt idx="99">
                  <c:v>318.62165837327257</c:v>
                </c:pt>
                <c:pt idx="100">
                  <c:v>326.92763310831191</c:v>
                </c:pt>
                <c:pt idx="101">
                  <c:v>277.51877807553313</c:v>
                </c:pt>
                <c:pt idx="102">
                  <c:v>286.25134343805456</c:v>
                </c:pt>
                <c:pt idx="103">
                  <c:v>294.97794877206235</c:v>
                </c:pt>
                <c:pt idx="104">
                  <c:v>303.69879541443919</c:v>
                </c:pt>
                <c:pt idx="105">
                  <c:v>312.41407218540223</c:v>
                </c:pt>
                <c:pt idx="106">
                  <c:v>321.12395650175074</c:v>
                </c:pt>
                <c:pt idx="107">
                  <c:v>329.8286153629407</c:v>
                </c:pt>
                <c:pt idx="108">
                  <c:v>338.52820622756047</c:v>
                </c:pt>
                <c:pt idx="109">
                  <c:v>347.2228777949494</c:v>
                </c:pt>
                <c:pt idx="110">
                  <c:v>355.91277070439497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2.108474572518316</c:v>
                </c:pt>
                <c:pt idx="2">
                  <c:v>2.8670085021075149</c:v>
                </c:pt>
                <c:pt idx="3">
                  <c:v>3.8995836938128075</c:v>
                </c:pt>
                <c:pt idx="4">
                  <c:v>5.3055980481022571</c:v>
                </c:pt>
                <c:pt idx="5">
                  <c:v>7.2206353449995211</c:v>
                </c:pt>
                <c:pt idx="6">
                  <c:v>9.8296836619511652</c:v>
                </c:pt>
                <c:pt idx="7">
                  <c:v>13.38519747861622</c:v>
                </c:pt>
                <c:pt idx="8">
                  <c:v>18.23178342374937</c:v>
                </c:pt>
                <c:pt idx="9">
                  <c:v>24.839945406389592</c:v>
                </c:pt>
                <c:pt idx="10">
                  <c:v>33.852222834482681</c:v>
                </c:pt>
                <c:pt idx="11">
                  <c:v>46.146285377623315</c:v>
                </c:pt>
                <c:pt idx="12">
                  <c:v>62.921232121831004</c:v>
                </c:pt>
                <c:pt idx="13">
                  <c:v>83.125805197857886</c:v>
                </c:pt>
                <c:pt idx="14">
                  <c:v>103.20556924537884</c:v>
                </c:pt>
                <c:pt idx="15">
                  <c:v>123.18839787166746</c:v>
                </c:pt>
                <c:pt idx="16">
                  <c:v>143.09228790376088</c:v>
                </c:pt>
                <c:pt idx="17">
                  <c:v>142.76655885346182</c:v>
                </c:pt>
                <c:pt idx="18">
                  <c:v>174.93402927835265</c:v>
                </c:pt>
                <c:pt idx="19">
                  <c:v>206.96216292372014</c:v>
                </c:pt>
                <c:pt idx="20">
                  <c:v>238.87559954497763</c:v>
                </c:pt>
                <c:pt idx="21">
                  <c:v>182.06242044637693</c:v>
                </c:pt>
                <c:pt idx="22">
                  <c:v>207.9308195045044</c:v>
                </c:pt>
                <c:pt idx="23">
                  <c:v>233.72485302763633</c:v>
                </c:pt>
                <c:pt idx="24">
                  <c:v>259.45388286365005</c:v>
                </c:pt>
                <c:pt idx="25">
                  <c:v>229.5379645972439</c:v>
                </c:pt>
                <c:pt idx="26">
                  <c:v>254.95565122562834</c:v>
                </c:pt>
                <c:pt idx="27">
                  <c:v>280.31597953415428</c:v>
                </c:pt>
                <c:pt idx="28">
                  <c:v>305.62486594574432</c:v>
                </c:pt>
                <c:pt idx="29">
                  <c:v>272.7242242833733</c:v>
                </c:pt>
                <c:pt idx="30">
                  <c:v>292.38918258804711</c:v>
                </c:pt>
                <c:pt idx="31">
                  <c:v>312.02461684041356</c:v>
                </c:pt>
                <c:pt idx="32">
                  <c:v>331.63264563812885</c:v>
                </c:pt>
                <c:pt idx="33">
                  <c:v>351.21511662636493</c:v>
                </c:pt>
                <c:pt idx="34">
                  <c:v>370.77365464076291</c:v>
                </c:pt>
                <c:pt idx="35">
                  <c:v>323.74997875439948</c:v>
                </c:pt>
                <c:pt idx="36">
                  <c:v>353.34217677452347</c:v>
                </c:pt>
                <c:pt idx="37">
                  <c:v>382.88007441660244</c:v>
                </c:pt>
                <c:pt idx="38">
                  <c:v>412.36844503553056</c:v>
                </c:pt>
                <c:pt idx="39">
                  <c:v>441.81132396532462</c:v>
                </c:pt>
                <c:pt idx="40">
                  <c:v>471.21216521688075</c:v>
                </c:pt>
                <c:pt idx="41">
                  <c:v>403.88741034371895</c:v>
                </c:pt>
                <c:pt idx="42">
                  <c:v>417.87909386741279</c:v>
                </c:pt>
                <c:pt idx="43">
                  <c:v>431.86068387305687</c:v>
                </c:pt>
                <c:pt idx="44">
                  <c:v>445.83255313087494</c:v>
                </c:pt>
                <c:pt idx="45">
                  <c:v>459.79504914411217</c:v>
                </c:pt>
                <c:pt idx="46">
                  <c:v>473.74849659300236</c:v>
                </c:pt>
                <c:pt idx="47">
                  <c:v>456.30528575759053</c:v>
                </c:pt>
                <c:pt idx="48">
                  <c:v>465.50435362197771</c:v>
                </c:pt>
                <c:pt idx="49">
                  <c:v>474.69954624952533</c:v>
                </c:pt>
                <c:pt idx="50">
                  <c:v>483.89094931012505</c:v>
                </c:pt>
                <c:pt idx="51">
                  <c:v>493.07864495283178</c:v>
                </c:pt>
                <c:pt idx="52">
                  <c:v>502.26271201488458</c:v>
                </c:pt>
                <c:pt idx="53">
                  <c:v>511.44322621464363</c:v>
                </c:pt>
                <c:pt idx="54">
                  <c:v>520.62026032995107</c:v>
                </c:pt>
                <c:pt idx="55">
                  <c:v>502.89596414017234</c:v>
                </c:pt>
                <c:pt idx="56">
                  <c:v>506.69512340906527</c:v>
                </c:pt>
                <c:pt idx="57">
                  <c:v>510.49368045075335</c:v>
                </c:pt>
                <c:pt idx="58">
                  <c:v>514.29164038230522</c:v>
                </c:pt>
                <c:pt idx="59">
                  <c:v>518.08900823898568</c:v>
                </c:pt>
                <c:pt idx="60">
                  <c:v>521.88578897616765</c:v>
                </c:pt>
                <c:pt idx="61">
                  <c:v>525.68198747118436</c:v>
                </c:pt>
                <c:pt idx="62">
                  <c:v>529.47760852512613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415.40447321133934</c:v>
                </c:pt>
                <c:pt idx="77">
                  <c:v>421.71977019610921</c:v>
                </c:pt>
                <c:pt idx="78">
                  <c:v>428.03303100123208</c:v>
                </c:pt>
                <c:pt idx="79">
                  <c:v>434.34428991912688</c:v>
                </c:pt>
                <c:pt idx="80">
                  <c:v>440.65358016358783</c:v>
                </c:pt>
                <c:pt idx="81">
                  <c:v>422.09119450330417</c:v>
                </c:pt>
                <c:pt idx="82">
                  <c:v>427.66171846396475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427.29039899318792</c:v>
                </c:pt>
                <c:pt idx="87">
                  <c:v>432.4882431239887</c:v>
                </c:pt>
                <c:pt idx="88">
                  <c:v>437.68474556682276</c:v>
                </c:pt>
                <c:pt idx="89">
                  <c:v>442.87992451288659</c:v>
                </c:pt>
                <c:pt idx="90">
                  <c:v>448.07379769140448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2.0078204006093454</c:v>
                </c:pt>
                <c:pt idx="2">
                  <c:v>2.599584462434867</c:v>
                </c:pt>
                <c:pt idx="3">
                  <c:v>3.3664668410228042</c:v>
                </c:pt>
                <c:pt idx="4">
                  <c:v>4.3604872386698723</c:v>
                </c:pt>
                <c:pt idx="5">
                  <c:v>5.6491730114405536</c:v>
                </c:pt>
                <c:pt idx="6">
                  <c:v>7.3201973988275313</c:v>
                </c:pt>
                <c:pt idx="7">
                  <c:v>9.4874092176840534</c:v>
                </c:pt>
                <c:pt idx="8">
                  <c:v>12.298672614544188</c:v>
                </c:pt>
                <c:pt idx="9">
                  <c:v>15.946061713233563</c:v>
                </c:pt>
                <c:pt idx="10">
                  <c:v>20.679119397466433</c:v>
                </c:pt>
                <c:pt idx="11">
                  <c:v>26.822103589400299</c:v>
                </c:pt>
                <c:pt idx="12">
                  <c:v>34.796423290800711</c:v>
                </c:pt>
                <c:pt idx="13">
                  <c:v>46.234119941610061</c:v>
                </c:pt>
                <c:pt idx="14">
                  <c:v>57.595727469096431</c:v>
                </c:pt>
                <c:pt idx="15">
                  <c:v>68.898503230689343</c:v>
                </c:pt>
                <c:pt idx="16">
                  <c:v>80.153509810179131</c:v>
                </c:pt>
                <c:pt idx="17">
                  <c:v>82.795684713351179</c:v>
                </c:pt>
                <c:pt idx="18">
                  <c:v>95.976042454744359</c:v>
                </c:pt>
                <c:pt idx="19">
                  <c:v>109.11127889310849</c:v>
                </c:pt>
                <c:pt idx="20">
                  <c:v>122.20760219903367</c:v>
                </c:pt>
                <c:pt idx="21">
                  <c:v>118.28248521778211</c:v>
                </c:pt>
                <c:pt idx="22">
                  <c:v>132.65988081821206</c:v>
                </c:pt>
                <c:pt idx="23">
                  <c:v>146.99966348541213</c:v>
                </c:pt>
                <c:pt idx="24">
                  <c:v>161.30602268756169</c:v>
                </c:pt>
                <c:pt idx="25">
                  <c:v>149.92856259907052</c:v>
                </c:pt>
                <c:pt idx="26">
                  <c:v>164.55317012699555</c:v>
                </c:pt>
                <c:pt idx="27">
                  <c:v>179.14706633212708</c:v>
                </c:pt>
                <c:pt idx="28">
                  <c:v>193.71310674706146</c:v>
                </c:pt>
                <c:pt idx="29">
                  <c:v>179.0390690118401</c:v>
                </c:pt>
                <c:pt idx="30">
                  <c:v>194.14429388357817</c:v>
                </c:pt>
                <c:pt idx="31">
                  <c:v>209.22219955438302</c:v>
                </c:pt>
                <c:pt idx="32">
                  <c:v>224.27503265620331</c:v>
                </c:pt>
                <c:pt idx="33">
                  <c:v>239.30471336312061</c:v>
                </c:pt>
                <c:pt idx="34">
                  <c:v>254.31290079767018</c:v>
                </c:pt>
                <c:pt idx="35">
                  <c:v>218.25677877090325</c:v>
                </c:pt>
                <c:pt idx="36">
                  <c:v>231.14851118928985</c:v>
                </c:pt>
                <c:pt idx="37">
                  <c:v>244.02381613322609</c:v>
                </c:pt>
                <c:pt idx="38">
                  <c:v>256.88368281077408</c:v>
                </c:pt>
                <c:pt idx="39">
                  <c:v>269.728993242081</c:v>
                </c:pt>
                <c:pt idx="40">
                  <c:v>282.5605385349478</c:v>
                </c:pt>
                <c:pt idx="41">
                  <c:v>252.17013304454611</c:v>
                </c:pt>
                <c:pt idx="42">
                  <c:v>261.59527644833923</c:v>
                </c:pt>
                <c:pt idx="43">
                  <c:v>271.01275486164383</c:v>
                </c:pt>
                <c:pt idx="44">
                  <c:v>280.42287240988907</c:v>
                </c:pt>
                <c:pt idx="45">
                  <c:v>289.82591112395897</c:v>
                </c:pt>
                <c:pt idx="46">
                  <c:v>299.2221332257389</c:v>
                </c:pt>
                <c:pt idx="47">
                  <c:v>276.3068331591748</c:v>
                </c:pt>
                <c:pt idx="48">
                  <c:v>282.88115712017401</c:v>
                </c:pt>
                <c:pt idx="49">
                  <c:v>289.45205847098617</c:v>
                </c:pt>
                <c:pt idx="50">
                  <c:v>296.01962596813172</c:v>
                </c:pt>
                <c:pt idx="51">
                  <c:v>302.58394410348018</c:v>
                </c:pt>
                <c:pt idx="52">
                  <c:v>309.14509339930686</c:v>
                </c:pt>
                <c:pt idx="53">
                  <c:v>315.70315067697044</c:v>
                </c:pt>
                <c:pt idx="54">
                  <c:v>322.25818930207646</c:v>
                </c:pt>
                <c:pt idx="55">
                  <c:v>296.82032489091381</c:v>
                </c:pt>
                <c:pt idx="56">
                  <c:v>299.54234179499872</c:v>
                </c:pt>
                <c:pt idx="57">
                  <c:v>302.26380761935292</c:v>
                </c:pt>
                <c:pt idx="58">
                  <c:v>304.98472803598753</c:v>
                </c:pt>
                <c:pt idx="59">
                  <c:v>307.70510860725182</c:v>
                </c:pt>
                <c:pt idx="60">
                  <c:v>310.4249547889259</c:v>
                </c:pt>
                <c:pt idx="61">
                  <c:v>313.1442719332012</c:v>
                </c:pt>
                <c:pt idx="62">
                  <c:v>315.8630652915503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14.96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0.35</v>
      </c>
      <c r="D9" s="33">
        <f t="shared" ref="D9:D18" si="0">C9*$C$5</f>
        <v>5.2359999999999998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18</v>
      </c>
      <c r="C10" s="32">
        <v>0.14000000000000001</v>
      </c>
      <c r="D10" s="33">
        <f t="shared" si="0"/>
        <v>2.0944000000000003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164</v>
      </c>
      <c r="C11" s="32">
        <v>0.14000000000000001</v>
      </c>
      <c r="D11" s="33">
        <f t="shared" si="0"/>
        <v>2.0944000000000003</v>
      </c>
      <c r="E11" s="34">
        <v>110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35</v>
      </c>
      <c r="C12" s="32">
        <v>0.14000000000000001</v>
      </c>
      <c r="D12" s="33">
        <f t="shared" si="0"/>
        <v>2.0944000000000003</v>
      </c>
      <c r="E12" s="34">
        <v>82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138</v>
      </c>
      <c r="C13" s="32">
        <v>0.11</v>
      </c>
      <c r="D13" s="33">
        <f t="shared" si="0"/>
        <v>1.6456000000000002</v>
      </c>
      <c r="E13" s="34">
        <v>62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13</v>
      </c>
      <c r="C14" s="32">
        <v>0.08</v>
      </c>
      <c r="D14" s="33">
        <f t="shared" si="0"/>
        <v>1.1968000000000001</v>
      </c>
      <c r="E14" s="34">
        <v>90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36</v>
      </c>
      <c r="C15" s="32">
        <v>0.04</v>
      </c>
      <c r="D15" s="33">
        <f t="shared" si="0"/>
        <v>0.59840000000000004</v>
      </c>
      <c r="E15" s="34">
        <v>62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14.96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303</v>
      </c>
      <c r="C36" s="60">
        <v>1</v>
      </c>
      <c r="D36" s="60">
        <v>43</v>
      </c>
      <c r="E36" s="51"/>
      <c r="F36" s="51">
        <v>0.6</v>
      </c>
      <c r="G36" s="51">
        <v>0.4</v>
      </c>
      <c r="H36" s="51"/>
      <c r="I36" s="49">
        <f>IFERROR(B36/A36,"")</f>
        <v>15.15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419</v>
      </c>
      <c r="C37" s="60">
        <v>2</v>
      </c>
      <c r="D37" s="60">
        <v>60</v>
      </c>
      <c r="E37" s="51"/>
      <c r="F37" s="51">
        <v>0.6</v>
      </c>
      <c r="G37" s="51">
        <v>0.4</v>
      </c>
      <c r="H37" s="51"/>
      <c r="I37" s="53">
        <f t="shared" ref="I37:I55" si="1">IF(A37&lt;&gt;0,(B37-(B36-D36))/(A37-A36),"")</f>
        <v>31.8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524</v>
      </c>
      <c r="C38" s="60">
        <v>3</v>
      </c>
      <c r="D38" s="60">
        <v>90</v>
      </c>
      <c r="E38" s="51">
        <v>0.2</v>
      </c>
      <c r="F38" s="51">
        <v>0.6</v>
      </c>
      <c r="G38" s="51">
        <v>0.2</v>
      </c>
      <c r="H38" s="51"/>
      <c r="I38" s="53">
        <f t="shared" si="1"/>
        <v>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576</v>
      </c>
      <c r="C39" s="60">
        <v>4</v>
      </c>
      <c r="D39" s="60">
        <v>72</v>
      </c>
      <c r="E39" s="51"/>
      <c r="F39" s="51"/>
      <c r="G39" s="51"/>
      <c r="H39" s="51"/>
      <c r="I39" s="49">
        <f t="shared" si="1"/>
        <v>28.4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639</v>
      </c>
      <c r="C40" s="60">
        <v>5</v>
      </c>
      <c r="D40" s="60">
        <v>77</v>
      </c>
      <c r="E40" s="51"/>
      <c r="F40" s="51"/>
      <c r="G40" s="51"/>
      <c r="H40" s="51"/>
      <c r="I40" s="49">
        <f t="shared" si="1"/>
        <v>27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686</v>
      </c>
      <c r="C41" s="60">
        <v>6</v>
      </c>
      <c r="D41" s="60">
        <v>64</v>
      </c>
      <c r="E41" s="51"/>
      <c r="F41" s="51"/>
      <c r="G41" s="51"/>
      <c r="H41" s="51"/>
      <c r="I41" s="53">
        <f t="shared" si="1"/>
        <v>24.8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724</v>
      </c>
      <c r="C42" s="60">
        <v>7</v>
      </c>
      <c r="D42" s="60">
        <v>62</v>
      </c>
      <c r="E42" s="51"/>
      <c r="F42" s="51"/>
      <c r="G42" s="51"/>
      <c r="H42" s="51"/>
      <c r="I42" s="53">
        <f t="shared" si="1"/>
        <v>20.399999999999999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739</v>
      </c>
      <c r="C43" s="60">
        <v>8</v>
      </c>
      <c r="D43" s="60">
        <v>46</v>
      </c>
      <c r="E43" s="51"/>
      <c r="F43" s="51"/>
      <c r="G43" s="51"/>
      <c r="H43" s="51"/>
      <c r="I43" s="49">
        <f t="shared" si="1"/>
        <v>15.4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754</v>
      </c>
      <c r="C44" s="60">
        <v>9</v>
      </c>
      <c r="D44" s="60">
        <v>35</v>
      </c>
      <c r="E44" s="51"/>
      <c r="F44" s="51"/>
      <c r="G44" s="51"/>
      <c r="H44" s="51"/>
      <c r="I44" s="49">
        <f t="shared" si="1"/>
        <v>12.2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v>769</v>
      </c>
      <c r="C45" s="60">
        <v>10</v>
      </c>
      <c r="D45" s="60">
        <v>769</v>
      </c>
      <c r="E45" s="51"/>
      <c r="F45" s="51"/>
      <c r="G45" s="51"/>
      <c r="H45" s="51"/>
      <c r="I45" s="49">
        <f t="shared" si="1"/>
        <v>10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v>335</v>
      </c>
      <c r="C62" s="60">
        <v>1</v>
      </c>
      <c r="D62" s="60">
        <v>54</v>
      </c>
      <c r="E62" s="51"/>
      <c r="F62" s="51">
        <v>0.6</v>
      </c>
      <c r="G62" s="51">
        <v>0.4</v>
      </c>
      <c r="H62" s="51"/>
      <c r="I62" s="53">
        <f>IFERROR(B62/A62,"")</f>
        <v>13.4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421</v>
      </c>
      <c r="C63" s="60">
        <v>2</v>
      </c>
      <c r="D63" s="60">
        <v>54</v>
      </c>
      <c r="E63" s="51">
        <v>0.2</v>
      </c>
      <c r="F63" s="51">
        <v>0.6</v>
      </c>
      <c r="G63" s="51">
        <v>0.2</v>
      </c>
      <c r="H63" s="51"/>
      <c r="I63" s="49">
        <f>IF(A63&lt;&gt;0,(B63-(B62-D62))/(A63-A62),"")</f>
        <v>28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35</v>
      </c>
      <c r="B64" s="60">
        <v>505</v>
      </c>
      <c r="C64" s="60">
        <v>3</v>
      </c>
      <c r="D64" s="60">
        <v>69</v>
      </c>
      <c r="E64" s="51"/>
      <c r="F64" s="51"/>
      <c r="G64" s="51"/>
      <c r="H64" s="51"/>
      <c r="I64" s="49">
        <f>IF(A64&lt;&gt;0,(B64-(B63-D63))/(A64-A63),"")</f>
        <v>27.6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40</v>
      </c>
      <c r="B65" s="60">
        <v>564</v>
      </c>
      <c r="C65" s="60">
        <v>4</v>
      </c>
      <c r="D65" s="60">
        <v>72</v>
      </c>
      <c r="E65" s="51"/>
      <c r="F65" s="51"/>
      <c r="G65" s="51"/>
      <c r="H65" s="51"/>
      <c r="I65" s="49">
        <f>IF(A65&lt;&gt;0,(B65-(B64-D64))/(A65-A64),"")</f>
        <v>25.6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45</v>
      </c>
      <c r="B66" s="60">
        <v>606</v>
      </c>
      <c r="C66" s="60">
        <v>5</v>
      </c>
      <c r="D66" s="60">
        <v>66</v>
      </c>
      <c r="E66" s="51"/>
      <c r="F66" s="51"/>
      <c r="G66" s="51"/>
      <c r="H66" s="51"/>
      <c r="I66" s="49">
        <f t="shared" ref="I66:I81" si="2">IF(A66&lt;&gt;0,(B66-(B65-D65))/(A66-A65),"")</f>
        <v>22.8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50</v>
      </c>
      <c r="B67" s="60">
        <v>629</v>
      </c>
      <c r="C67" s="60">
        <v>6</v>
      </c>
      <c r="D67" s="60">
        <v>48</v>
      </c>
      <c r="E67" s="51"/>
      <c r="F67" s="51"/>
      <c r="G67" s="51"/>
      <c r="H67" s="51"/>
      <c r="I67" s="49">
        <f t="shared" si="2"/>
        <v>17.8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55</v>
      </c>
      <c r="B68" s="60">
        <v>650</v>
      </c>
      <c r="C68" s="60">
        <v>7</v>
      </c>
      <c r="D68" s="60">
        <v>35</v>
      </c>
      <c r="E68" s="51"/>
      <c r="F68" s="51"/>
      <c r="G68" s="51"/>
      <c r="H68" s="51"/>
      <c r="I68" s="49">
        <f t="shared" si="2"/>
        <v>13.8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60</v>
      </c>
      <c r="B69" s="50">
        <v>666</v>
      </c>
      <c r="C69" s="50">
        <v>8</v>
      </c>
      <c r="D69" s="50">
        <v>666</v>
      </c>
      <c r="E69" s="51"/>
      <c r="F69" s="51"/>
      <c r="G69" s="51"/>
      <c r="H69" s="51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115</v>
      </c>
      <c r="C88" s="60">
        <v>1</v>
      </c>
      <c r="D88" s="60">
        <v>28.75</v>
      </c>
      <c r="E88" s="51">
        <v>0.2</v>
      </c>
      <c r="F88" s="51">
        <v>0.2</v>
      </c>
      <c r="G88" s="51">
        <v>0.6</v>
      </c>
      <c r="H88" s="87"/>
      <c r="I88" s="53">
        <f>IFERROR(B88/A88,"")</f>
        <v>5.75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151</v>
      </c>
      <c r="C89" s="60">
        <v>2</v>
      </c>
      <c r="D89" s="60">
        <v>48</v>
      </c>
      <c r="E89" s="51">
        <v>0.3</v>
      </c>
      <c r="F89" s="51">
        <v>0.4</v>
      </c>
      <c r="G89" s="51">
        <v>0.3</v>
      </c>
      <c r="H89" s="87"/>
      <c r="I89" s="53">
        <f t="shared" ref="I89:I107" si="3">IF(A89&lt;&gt;0,(B89-(B88-D88))/(A89-A88),"")</f>
        <v>6.4749999999999996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173</v>
      </c>
      <c r="C90" s="60">
        <v>3</v>
      </c>
      <c r="D90" s="60">
        <v>50</v>
      </c>
      <c r="E90" s="87"/>
      <c r="F90" s="87"/>
      <c r="G90" s="87"/>
      <c r="H90" s="87"/>
      <c r="I90" s="53">
        <f t="shared" si="3"/>
        <v>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193</v>
      </c>
      <c r="C91" s="60">
        <v>4</v>
      </c>
      <c r="D91" s="60">
        <v>52</v>
      </c>
      <c r="E91" s="87"/>
      <c r="F91" s="87"/>
      <c r="G91" s="87"/>
      <c r="H91" s="87"/>
      <c r="I91" s="53">
        <f t="shared" si="3"/>
        <v>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221</v>
      </c>
      <c r="C92" s="60">
        <v>5</v>
      </c>
      <c r="D92" s="60">
        <v>54</v>
      </c>
      <c r="E92" s="87"/>
      <c r="F92" s="87"/>
      <c r="G92" s="87"/>
      <c r="H92" s="87"/>
      <c r="I92" s="53">
        <f t="shared" si="3"/>
        <v>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242</v>
      </c>
      <c r="C93" s="60">
        <v>6</v>
      </c>
      <c r="D93" s="60">
        <v>54</v>
      </c>
      <c r="E93" s="87"/>
      <c r="F93" s="87"/>
      <c r="G93" s="87"/>
      <c r="H93" s="87"/>
      <c r="I93" s="53">
        <f t="shared" si="3"/>
        <v>7.5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265</v>
      </c>
      <c r="C94" s="60">
        <v>7</v>
      </c>
      <c r="D94" s="60">
        <v>55</v>
      </c>
      <c r="E94" s="87"/>
      <c r="F94" s="87"/>
      <c r="G94" s="87"/>
      <c r="H94" s="87"/>
      <c r="I94" s="53">
        <f t="shared" si="3"/>
        <v>7.7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293</v>
      </c>
      <c r="C95" s="60">
        <v>8</v>
      </c>
      <c r="D95" s="60">
        <v>57</v>
      </c>
      <c r="E95" s="87"/>
      <c r="F95" s="87"/>
      <c r="G95" s="87"/>
      <c r="H95" s="87"/>
      <c r="I95" s="53">
        <f t="shared" si="3"/>
        <v>8.3000000000000007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319</v>
      </c>
      <c r="C96" s="60">
        <v>9</v>
      </c>
      <c r="D96" s="60">
        <v>58</v>
      </c>
      <c r="E96" s="87"/>
      <c r="F96" s="87"/>
      <c r="G96" s="87"/>
      <c r="H96" s="87"/>
      <c r="I96" s="53">
        <f t="shared" si="3"/>
        <v>8.3000000000000007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v>348</v>
      </c>
      <c r="C97" s="60">
        <v>10</v>
      </c>
      <c r="D97" s="60">
        <v>348</v>
      </c>
      <c r="E97" s="87"/>
      <c r="F97" s="87"/>
      <c r="G97" s="87"/>
      <c r="H97" s="87"/>
      <c r="I97" s="53">
        <f t="shared" si="3"/>
        <v>8.6999999999999993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22</v>
      </c>
      <c r="B114" s="60">
        <v>123</v>
      </c>
      <c r="C114" s="50">
        <v>1</v>
      </c>
      <c r="D114" s="60">
        <v>16</v>
      </c>
      <c r="E114" s="51">
        <v>0.2</v>
      </c>
      <c r="F114" s="51">
        <v>0.2</v>
      </c>
      <c r="G114" s="51">
        <v>0.6</v>
      </c>
      <c r="H114" s="51"/>
      <c r="I114" s="53">
        <f>IFERROR(B114/A114,"")</f>
        <v>5.5909090909090908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v>144</v>
      </c>
      <c r="C115" s="50">
        <v>2</v>
      </c>
      <c r="D115" s="60">
        <v>17</v>
      </c>
      <c r="E115" s="51">
        <v>0.3</v>
      </c>
      <c r="F115" s="51">
        <v>0.4</v>
      </c>
      <c r="G115" s="51">
        <v>0.3</v>
      </c>
      <c r="H115" s="51"/>
      <c r="I115" s="53">
        <f t="shared" ref="I115:I133" si="4">IF(A115&lt;&gt;0,(B115-(B114-D114))/(A115-A114),"")</f>
        <v>12.333333333333334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194</v>
      </c>
      <c r="C116" s="50">
        <v>3</v>
      </c>
      <c r="D116" s="60">
        <v>34</v>
      </c>
      <c r="E116" s="51">
        <v>0.4</v>
      </c>
      <c r="F116" s="51">
        <v>0.3</v>
      </c>
      <c r="G116" s="51">
        <v>0.3</v>
      </c>
      <c r="H116" s="51"/>
      <c r="I116" s="53">
        <f t="shared" si="4"/>
        <v>13.4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35</v>
      </c>
      <c r="B117" s="60">
        <v>233</v>
      </c>
      <c r="C117" s="50">
        <v>4</v>
      </c>
      <c r="D117" s="60">
        <v>41</v>
      </c>
      <c r="E117" s="51"/>
      <c r="F117" s="51"/>
      <c r="G117" s="51"/>
      <c r="H117" s="51"/>
      <c r="I117" s="53">
        <f t="shared" si="4"/>
        <v>14.6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40</v>
      </c>
      <c r="B118" s="60">
        <v>264</v>
      </c>
      <c r="C118" s="50">
        <v>5</v>
      </c>
      <c r="D118" s="60">
        <v>41</v>
      </c>
      <c r="E118" s="51"/>
      <c r="F118" s="51"/>
      <c r="G118" s="51"/>
      <c r="H118" s="51"/>
      <c r="I118" s="53">
        <f t="shared" si="4"/>
        <v>14.4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45</v>
      </c>
      <c r="B119" s="60">
        <v>318</v>
      </c>
      <c r="C119" s="50">
        <v>6</v>
      </c>
      <c r="D119" s="60">
        <v>53</v>
      </c>
      <c r="E119" s="51"/>
      <c r="F119" s="51"/>
      <c r="G119" s="51"/>
      <c r="H119" s="51"/>
      <c r="I119" s="53">
        <f t="shared" si="4"/>
        <v>19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50</v>
      </c>
      <c r="B120" s="60">
        <v>352</v>
      </c>
      <c r="C120" s="60">
        <v>7</v>
      </c>
      <c r="D120" s="60">
        <v>53</v>
      </c>
      <c r="E120" s="87"/>
      <c r="F120" s="87"/>
      <c r="G120" s="87"/>
      <c r="H120" s="87"/>
      <c r="I120" s="53">
        <f t="shared" si="4"/>
        <v>17.399999999999999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58</v>
      </c>
      <c r="B121" s="60">
        <v>440</v>
      </c>
      <c r="C121" s="60">
        <v>8</v>
      </c>
      <c r="D121" s="60">
        <v>78</v>
      </c>
      <c r="E121" s="87"/>
      <c r="F121" s="87"/>
      <c r="G121" s="87"/>
      <c r="H121" s="87"/>
      <c r="I121" s="53">
        <f t="shared" si="4"/>
        <v>17.625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66</v>
      </c>
      <c r="B122" s="60">
        <v>495</v>
      </c>
      <c r="C122" s="60">
        <v>9</v>
      </c>
      <c r="D122" s="60">
        <v>65</v>
      </c>
      <c r="E122" s="87"/>
      <c r="F122" s="87"/>
      <c r="G122" s="87"/>
      <c r="H122" s="87"/>
      <c r="I122" s="53">
        <f t="shared" si="4"/>
        <v>16.625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74</v>
      </c>
      <c r="B123" s="60">
        <v>533</v>
      </c>
      <c r="C123" s="60">
        <v>10</v>
      </c>
      <c r="D123" s="60">
        <v>37</v>
      </c>
      <c r="E123" s="87"/>
      <c r="F123" s="87"/>
      <c r="G123" s="87"/>
      <c r="H123" s="87"/>
      <c r="I123" s="53">
        <f t="shared" si="4"/>
        <v>12.875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82</v>
      </c>
      <c r="B124" s="60">
        <v>567</v>
      </c>
      <c r="C124" s="60">
        <v>11</v>
      </c>
      <c r="D124" s="60">
        <v>567</v>
      </c>
      <c r="E124" s="87"/>
      <c r="F124" s="87"/>
      <c r="G124" s="87"/>
      <c r="H124" s="87"/>
      <c r="I124" s="53">
        <f t="shared" si="4"/>
        <v>8.875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Pin taeda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12</v>
      </c>
      <c r="B140" s="60">
        <v>46</v>
      </c>
      <c r="C140" s="50">
        <v>1</v>
      </c>
      <c r="D140" s="60">
        <v>0</v>
      </c>
      <c r="E140" s="51"/>
      <c r="F140" s="51"/>
      <c r="G140" s="51"/>
      <c r="H140" s="51"/>
      <c r="I140" s="57">
        <f>IFERROR(B140/A140,"")</f>
        <v>3.8333333333333335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16</v>
      </c>
      <c r="B141" s="60">
        <v>107</v>
      </c>
      <c r="C141" s="50">
        <v>2</v>
      </c>
      <c r="D141" s="60">
        <v>25</v>
      </c>
      <c r="E141" s="51">
        <v>0.2</v>
      </c>
      <c r="F141" s="51">
        <v>0.2</v>
      </c>
      <c r="G141" s="51">
        <v>0.6</v>
      </c>
      <c r="H141" s="51"/>
      <c r="I141" s="57">
        <f t="shared" ref="I141:I159" si="5">IF(A141&lt;&gt;0,(B141-(B140-D140))/(A141-A140),"")</f>
        <v>15.25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181</v>
      </c>
      <c r="C142" s="50">
        <v>3</v>
      </c>
      <c r="D142" s="60">
        <v>64</v>
      </c>
      <c r="E142" s="51">
        <v>0.3</v>
      </c>
      <c r="F142" s="51">
        <v>0.4</v>
      </c>
      <c r="G142" s="51">
        <v>0.3</v>
      </c>
      <c r="H142" s="51"/>
      <c r="I142" s="57">
        <f t="shared" si="5"/>
        <v>24.75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24</v>
      </c>
      <c r="B143" s="60">
        <v>197</v>
      </c>
      <c r="C143" s="50">
        <v>4</v>
      </c>
      <c r="D143" s="60">
        <v>43</v>
      </c>
      <c r="E143" s="51">
        <v>0.4</v>
      </c>
      <c r="F143" s="51">
        <v>0.3</v>
      </c>
      <c r="G143" s="51">
        <v>0.3</v>
      </c>
      <c r="H143" s="51"/>
      <c r="I143" s="57">
        <f t="shared" si="5"/>
        <v>20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28</v>
      </c>
      <c r="B144" s="60">
        <v>233</v>
      </c>
      <c r="C144" s="50">
        <v>5</v>
      </c>
      <c r="D144" s="60">
        <v>41</v>
      </c>
      <c r="E144" s="51">
        <v>0.4</v>
      </c>
      <c r="F144" s="51">
        <v>0.3</v>
      </c>
      <c r="G144" s="51">
        <v>0.3</v>
      </c>
      <c r="H144" s="51"/>
      <c r="I144" s="57">
        <f t="shared" si="5"/>
        <v>19.75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34</v>
      </c>
      <c r="B145" s="60">
        <v>284</v>
      </c>
      <c r="C145" s="50">
        <v>6</v>
      </c>
      <c r="D145" s="60">
        <v>60</v>
      </c>
      <c r="E145" s="51"/>
      <c r="F145" s="51"/>
      <c r="G145" s="51"/>
      <c r="H145" s="51"/>
      <c r="I145" s="57">
        <f t="shared" si="5"/>
        <v>15.333333333333334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363</v>
      </c>
      <c r="C146" s="50">
        <v>7</v>
      </c>
      <c r="D146" s="60">
        <v>64</v>
      </c>
      <c r="E146" s="51"/>
      <c r="F146" s="51"/>
      <c r="G146" s="51"/>
      <c r="H146" s="51"/>
      <c r="I146" s="57">
        <f t="shared" si="5"/>
        <v>23.166666666666668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46</v>
      </c>
      <c r="B147" s="60">
        <v>365</v>
      </c>
      <c r="C147" s="50">
        <v>8</v>
      </c>
      <c r="D147" s="60">
        <v>21</v>
      </c>
      <c r="E147" s="51"/>
      <c r="F147" s="51"/>
      <c r="G147" s="51"/>
      <c r="H147" s="51"/>
      <c r="I147" s="57">
        <f>IF(A147&lt;&gt;0,(B147-(B146-D146))/(A147-A146),"")</f>
        <v>11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54</v>
      </c>
      <c r="B148" s="60">
        <v>402</v>
      </c>
      <c r="C148" s="50">
        <v>9</v>
      </c>
      <c r="D148" s="60">
        <v>17</v>
      </c>
      <c r="E148" s="51"/>
      <c r="F148" s="51"/>
      <c r="G148" s="51"/>
      <c r="H148" s="51"/>
      <c r="I148" s="57">
        <f t="shared" si="5"/>
        <v>7.25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62</v>
      </c>
      <c r="B149" s="60">
        <v>409</v>
      </c>
      <c r="C149" s="50">
        <v>10</v>
      </c>
      <c r="D149" s="60">
        <v>409</v>
      </c>
      <c r="E149" s="51"/>
      <c r="F149" s="51"/>
      <c r="G149" s="51"/>
      <c r="H149" s="51"/>
      <c r="I149" s="57">
        <f t="shared" si="5"/>
        <v>3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rouge d'Amérique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v>132</v>
      </c>
      <c r="C166" s="60">
        <v>1</v>
      </c>
      <c r="D166" s="60">
        <v>50</v>
      </c>
      <c r="E166" s="51"/>
      <c r="F166" s="51">
        <v>0.1</v>
      </c>
      <c r="G166" s="51">
        <v>0.5</v>
      </c>
      <c r="H166" s="51">
        <v>0.4</v>
      </c>
      <c r="I166" s="49">
        <f>IFERROR(B166/A166,"")</f>
        <v>6.6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25</v>
      </c>
      <c r="B167" s="60">
        <v>143</v>
      </c>
      <c r="C167" s="60">
        <v>2</v>
      </c>
      <c r="D167" s="60">
        <v>37</v>
      </c>
      <c r="E167" s="51">
        <v>0.1</v>
      </c>
      <c r="F167" s="51">
        <v>0.2</v>
      </c>
      <c r="G167" s="51">
        <v>0.4</v>
      </c>
      <c r="H167" s="51">
        <v>0.3</v>
      </c>
      <c r="I167" s="49">
        <f t="shared" ref="I167:I185" si="6">IF(A167&lt;&gt;0,(B167-(B166-D166))/(A167-A166),"")</f>
        <v>12.2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163</v>
      </c>
      <c r="C168" s="60">
        <v>3</v>
      </c>
      <c r="D168" s="60">
        <v>37</v>
      </c>
      <c r="E168" s="51">
        <v>0.1</v>
      </c>
      <c r="F168" s="51">
        <v>0.3</v>
      </c>
      <c r="G168" s="51">
        <v>0.3</v>
      </c>
      <c r="H168" s="51">
        <v>0.3</v>
      </c>
      <c r="I168" s="49">
        <f t="shared" si="6"/>
        <v>11.4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35</v>
      </c>
      <c r="B169" s="60">
        <v>179</v>
      </c>
      <c r="C169" s="60">
        <v>4</v>
      </c>
      <c r="D169" s="60">
        <v>36</v>
      </c>
      <c r="E169" s="51"/>
      <c r="F169" s="51"/>
      <c r="G169" s="51"/>
      <c r="H169" s="51"/>
      <c r="I169" s="49">
        <f t="shared" si="6"/>
        <v>10.6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40</v>
      </c>
      <c r="B170" s="60">
        <v>191</v>
      </c>
      <c r="C170" s="60">
        <v>5</v>
      </c>
      <c r="D170" s="60">
        <v>33</v>
      </c>
      <c r="E170" s="51"/>
      <c r="F170" s="51"/>
      <c r="G170" s="51"/>
      <c r="H170" s="51"/>
      <c r="I170" s="49">
        <f t="shared" si="6"/>
        <v>9.6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45</v>
      </c>
      <c r="B171" s="60">
        <v>201</v>
      </c>
      <c r="C171" s="60">
        <v>6</v>
      </c>
      <c r="D171" s="60">
        <v>31</v>
      </c>
      <c r="E171" s="51"/>
      <c r="F171" s="51"/>
      <c r="G171" s="51"/>
      <c r="H171" s="51"/>
      <c r="I171" s="49">
        <f t="shared" si="6"/>
        <v>8.6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50</v>
      </c>
      <c r="B172" s="60">
        <v>209</v>
      </c>
      <c r="C172" s="60">
        <v>7</v>
      </c>
      <c r="D172" s="60">
        <v>28</v>
      </c>
      <c r="E172" s="51"/>
      <c r="F172" s="51"/>
      <c r="G172" s="51"/>
      <c r="H172" s="51"/>
      <c r="I172" s="49">
        <f t="shared" si="6"/>
        <v>7.8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55</v>
      </c>
      <c r="B173" s="50">
        <v>215</v>
      </c>
      <c r="C173" s="50">
        <v>8</v>
      </c>
      <c r="D173" s="50">
        <v>25</v>
      </c>
      <c r="E173" s="51"/>
      <c r="F173" s="51"/>
      <c r="G173" s="51"/>
      <c r="H173" s="51"/>
      <c r="I173" s="49">
        <f t="shared" si="6"/>
        <v>6.8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60</v>
      </c>
      <c r="B174" s="50">
        <v>220</v>
      </c>
      <c r="C174" s="50">
        <v>9</v>
      </c>
      <c r="D174" s="50">
        <v>22</v>
      </c>
      <c r="E174" s="51"/>
      <c r="F174" s="51"/>
      <c r="G174" s="51"/>
      <c r="H174" s="51"/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65</v>
      </c>
      <c r="B175" s="50">
        <v>224</v>
      </c>
      <c r="C175" s="50">
        <v>10</v>
      </c>
      <c r="D175" s="50">
        <v>20</v>
      </c>
      <c r="E175" s="51"/>
      <c r="F175" s="51"/>
      <c r="G175" s="51"/>
      <c r="H175" s="51"/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70</v>
      </c>
      <c r="B176" s="50">
        <v>227</v>
      </c>
      <c r="C176" s="50">
        <v>11</v>
      </c>
      <c r="D176" s="50">
        <v>17</v>
      </c>
      <c r="E176" s="51"/>
      <c r="F176" s="51"/>
      <c r="G176" s="51"/>
      <c r="H176" s="51"/>
      <c r="I176" s="49">
        <f t="shared" si="6"/>
        <v>4.5999999999999996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75</v>
      </c>
      <c r="B177" s="50">
        <v>230</v>
      </c>
      <c r="C177" s="50">
        <v>12</v>
      </c>
      <c r="D177" s="50">
        <v>15</v>
      </c>
      <c r="E177" s="51"/>
      <c r="F177" s="51"/>
      <c r="G177" s="51"/>
      <c r="H177" s="51"/>
      <c r="I177" s="49">
        <f t="shared" si="6"/>
        <v>4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80</v>
      </c>
      <c r="B178" s="50">
        <v>232</v>
      </c>
      <c r="C178" s="50">
        <v>13</v>
      </c>
      <c r="D178" s="50">
        <v>13</v>
      </c>
      <c r="E178" s="51"/>
      <c r="F178" s="51"/>
      <c r="G178" s="51"/>
      <c r="H178" s="51"/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85</v>
      </c>
      <c r="B179" s="50">
        <v>234</v>
      </c>
      <c r="C179" s="50">
        <v>14</v>
      </c>
      <c r="D179" s="50">
        <v>12</v>
      </c>
      <c r="E179" s="51"/>
      <c r="F179" s="51"/>
      <c r="G179" s="51"/>
      <c r="H179" s="51"/>
      <c r="I179" s="49">
        <f t="shared" si="6"/>
        <v>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90</v>
      </c>
      <c r="B180" s="50">
        <v>236</v>
      </c>
      <c r="C180" s="50">
        <v>15</v>
      </c>
      <c r="D180" s="50">
        <v>236</v>
      </c>
      <c r="E180" s="51"/>
      <c r="F180" s="51"/>
      <c r="G180" s="51"/>
      <c r="H180" s="51"/>
      <c r="I180" s="49">
        <f t="shared" si="6"/>
        <v>2.8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Pin maritime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12</v>
      </c>
      <c r="B192" s="60">
        <v>25</v>
      </c>
      <c r="C192" s="60">
        <v>1</v>
      </c>
      <c r="D192" s="60">
        <v>0</v>
      </c>
      <c r="E192" s="51"/>
      <c r="F192" s="51"/>
      <c r="G192" s="51"/>
      <c r="H192" s="51"/>
      <c r="I192" s="49">
        <f>IFERROR(B192/A192,"")</f>
        <v>2.0833333333333335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16</v>
      </c>
      <c r="B193" s="60">
        <v>59</v>
      </c>
      <c r="C193" s="60">
        <v>2</v>
      </c>
      <c r="D193" s="60">
        <v>8</v>
      </c>
      <c r="E193" s="51">
        <v>0.2</v>
      </c>
      <c r="F193" s="51">
        <v>0.2</v>
      </c>
      <c r="G193" s="51">
        <v>0.6</v>
      </c>
      <c r="H193" s="51"/>
      <c r="I193" s="49">
        <f t="shared" ref="I193:I211" si="7">IF(A193&lt;&gt;0,(B193-(B192-D192))/(A193-A192),"")</f>
        <v>8.5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60">
        <v>91</v>
      </c>
      <c r="C194" s="60">
        <v>3</v>
      </c>
      <c r="D194" s="60">
        <v>14</v>
      </c>
      <c r="E194" s="51">
        <v>0.3</v>
      </c>
      <c r="F194" s="51">
        <v>0.4</v>
      </c>
      <c r="G194" s="51">
        <v>0.3</v>
      </c>
      <c r="H194" s="51"/>
      <c r="I194" s="49">
        <f t="shared" si="7"/>
        <v>10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24</v>
      </c>
      <c r="B195" s="60">
        <v>121</v>
      </c>
      <c r="C195" s="60">
        <v>4</v>
      </c>
      <c r="D195" s="60">
        <v>20</v>
      </c>
      <c r="E195" s="51">
        <v>0.4</v>
      </c>
      <c r="F195" s="51">
        <v>0.3</v>
      </c>
      <c r="G195" s="51">
        <v>0.3</v>
      </c>
      <c r="H195" s="51"/>
      <c r="I195" s="49">
        <f t="shared" si="7"/>
        <v>11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28</v>
      </c>
      <c r="B196" s="60">
        <v>146</v>
      </c>
      <c r="C196" s="60">
        <v>5</v>
      </c>
      <c r="D196" s="60">
        <v>23</v>
      </c>
      <c r="E196" s="51">
        <v>0.4</v>
      </c>
      <c r="F196" s="51">
        <v>0.3</v>
      </c>
      <c r="G196" s="51">
        <v>0.3</v>
      </c>
      <c r="H196" s="51"/>
      <c r="I196" s="49">
        <f t="shared" si="7"/>
        <v>11.25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34</v>
      </c>
      <c r="B197" s="60">
        <v>193</v>
      </c>
      <c r="C197" s="60">
        <v>6</v>
      </c>
      <c r="D197" s="60">
        <v>38</v>
      </c>
      <c r="E197" s="51"/>
      <c r="F197" s="51"/>
      <c r="G197" s="51"/>
      <c r="H197" s="51"/>
      <c r="I197" s="49">
        <f t="shared" si="7"/>
        <v>11.666666666666666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60">
        <v>215</v>
      </c>
      <c r="C198" s="60">
        <v>7</v>
      </c>
      <c r="D198" s="60">
        <v>31</v>
      </c>
      <c r="E198" s="51"/>
      <c r="F198" s="51"/>
      <c r="G198" s="51"/>
      <c r="H198" s="51"/>
      <c r="I198" s="49">
        <f t="shared" si="7"/>
        <v>10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46</v>
      </c>
      <c r="B199" s="50">
        <v>228</v>
      </c>
      <c r="C199" s="50">
        <v>8</v>
      </c>
      <c r="D199" s="50">
        <v>23</v>
      </c>
      <c r="E199" s="51"/>
      <c r="F199" s="51"/>
      <c r="G199" s="51"/>
      <c r="H199" s="51"/>
      <c r="I199" s="49">
        <f t="shared" si="7"/>
        <v>7.333333333333333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54</v>
      </c>
      <c r="B200" s="50">
        <v>246</v>
      </c>
      <c r="C200" s="50">
        <v>9</v>
      </c>
      <c r="D200" s="50">
        <v>22</v>
      </c>
      <c r="E200" s="51"/>
      <c r="F200" s="51"/>
      <c r="G200" s="51"/>
      <c r="H200" s="51"/>
      <c r="I200" s="49">
        <f t="shared" si="7"/>
        <v>5.125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62</v>
      </c>
      <c r="B201" s="50">
        <v>241</v>
      </c>
      <c r="C201" s="50">
        <v>10</v>
      </c>
      <c r="D201" s="50">
        <v>241</v>
      </c>
      <c r="E201" s="51"/>
      <c r="F201" s="51"/>
      <c r="G201" s="51"/>
      <c r="H201" s="51"/>
      <c r="I201" s="49">
        <f t="shared" si="7"/>
        <v>2.125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5" sqref="C2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0.68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0.32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0.61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7.0000000000000007E-2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0.67999999999999994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EN1" zoomScaleNormal="100" workbookViewId="0">
      <selection activeCell="FF18" sqref="FF18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Pin taeda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rouge d'Amérique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maritime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3.05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7.6046666666666667</v>
      </c>
      <c r="H3" s="67">
        <f>(B3+E3+F3)*44/12+(C3+D3)*0.475*44/12</f>
        <v>211.93333333333331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200.75</v>
      </c>
      <c r="S3" s="59">
        <f ca="1">AVERAGE(OFFSET($R$3,0,0,'Données projet'!$E$9+1,1))-AVERAGE(OFFSET($H$3,0,0,'Données projet'!$E$9+1,1))</f>
        <v>542.23071537860039</v>
      </c>
      <c r="T3" s="59">
        <f>IF('Données projet'!E9&gt;30,$R$33-$H$33,LOOKUP('Données projet'!$E$9,$A$3:$A$203,R3:R203)-LOOKUP('Données projet'!$E$9,$A$3:$A$203,$H$3:$H$203))</f>
        <v>667.26143680054633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200.75</v>
      </c>
      <c r="AN3" s="59">
        <f ca="1">AVERAGE(OFFSET($AM$3,0,0,'Données projet'!$E$10+1,1))-AVERAGE(OFFSET($H$3,0,0,'Données projet'!$E$10+1,1))</f>
        <v>427.83834708696861</v>
      </c>
      <c r="AO3" s="59">
        <f>IF('Données projet'!E10&gt;30,$AM$33-$H$33,LOOKUP('Données projet'!$E$10,$A$3:$A$203,AM3:AM203)-LOOKUP('Données projet'!$E$10,$A$3:$A$203,$H$3:$H$203))</f>
        <v>545.63950537101903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200.75</v>
      </c>
      <c r="BI3" s="59">
        <f ca="1">AVERAGE(OFFSET($BH$3,0,0,'Données projet'!$E$11+1,1))-AVERAGE(OFFSET($H$3,0,0,'Données projet'!$E$11+1,1))</f>
        <v>210.62109466714364</v>
      </c>
      <c r="BJ3" s="59">
        <f>IF('Données projet'!E11&gt;30,$BH$33-$H$33,LOOKUP('Données projet'!$E$11,$A$3:$A$203,BH3:BH203)-LOOKUP('Données projet'!$E$11,$A$3:$A$203,$H$3:$H$203))</f>
        <v>193.35729443770401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200.75</v>
      </c>
      <c r="CD3" s="59">
        <f ca="1">AVERAGE(OFFSET($CC$3,0,0,'Données projet'!$E$12+1,1))-AVERAGE(OFFSET($H$3,0,0,'Données projet'!$E$12+1,1))</f>
        <v>368.16165268258442</v>
      </c>
      <c r="CE3" s="59">
        <f>IF('Données projet'!E12&gt;30,$CC$33-$H$33,LOOKUP('Données projet'!$E$12,$A$3:$A$203,CC3:CC203)-LOOKUP('Données projet'!$E$12,$A$3:$A$203,$H$3:$H$203))</f>
        <v>291.32219253157041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200.75</v>
      </c>
      <c r="CY3" s="59">
        <f ca="1">AVERAGE(OFFSET($CX$3,0,0,'Données projet'!$E$13+1,1))-AVERAGE(OFFSET($H$3,0,0,'Données projet'!$E$13+1,1))</f>
        <v>317.12995176362455</v>
      </c>
      <c r="CZ3" s="59">
        <f>IF('Données projet'!E13&gt;30,$CX$33-$H$33,LOOKUP('Données projet'!$E$13,$A$3:$A$203,CX3:CX203)-LOOKUP('Données projet'!$E$13,$A$3:$A$203,$H$3:$H$203))</f>
        <v>328.11301015275262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200.75</v>
      </c>
      <c r="DT3" s="59">
        <f ca="1">AVERAGE(OFFSET($DS$3,0,0,'Données projet'!$E$14+1,1))-AVERAGE(OFFSET($H$3,0,0,'Données projet'!$E$14+1,1))</f>
        <v>325.5873213944476</v>
      </c>
      <c r="DU3" s="59">
        <f>IF('Données projet'!E14&gt;30,$DS$33-$H$33,LOOKUP('Données projet'!$E$14,$A$3:$A$203,DS3:DS203)-LOOKUP('Données projet'!$E$14,$A$3:$A$203,$H$3:$H$203))</f>
        <v>347.9042278368363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200.75</v>
      </c>
      <c r="EO3" s="59">
        <f ca="1">AVERAGE(OFFSET($EN$3,0,0,'Données projet'!$E$15+1,1))-AVERAGE(OFFSET($H$3,0,0,'Données projet'!$E$15+1,1))</f>
        <v>205.5480000480477</v>
      </c>
      <c r="EP3" s="59">
        <f>IF('Données projet'!E15&gt;30,$EN$33-$H$33,LOOKUP('Données projet'!$E$15,$A$3:$A$203,EN3:EN203)-LOOKUP('Données projet'!$E$15,$A$3:$A$203,$H$3:$H$203))</f>
        <v>229.86812144828366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3.05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0.17471999999999999</v>
      </c>
      <c r="D4" s="11">
        <f>IFERROR(EXP(-1.0587+0.8836*LN(C4)+0.284),0)</f>
        <v>9.8647482123848759E-2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8.2799323067199637</v>
      </c>
      <c r="H4" s="67">
        <f t="shared" ref="H4:H67" si="1">(B4+E4+F4)*44/12+(C4+D4)*0.475*44/12</f>
        <v>212.40944836469902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15.15</v>
      </c>
      <c r="N4" s="13">
        <f>IF('Données projet'!$A$36&gt;35,N3+M4-V3,IF(A4&lt;'Données projet'!$A$36,$K$205^A4,IF(A4='Données projet'!$A$36,'Données projet'!$B$36,N3+M4-V3)))</f>
        <v>1.3306754098332192</v>
      </c>
      <c r="O4" s="13">
        <f>N4*VLOOKUP('Données projet'!$B$9,Paramètres!$A$1:$I$89,3,0)*VLOOKUP('Données projet'!$B$9,Paramètres!$A$1:$I$89,5,0)</f>
        <v>0.7438475540967695</v>
      </c>
      <c r="P4" s="13">
        <f>EXP(-1.0587+0.8836*LN(O4)+0.284)</f>
        <v>0.35480952787935433</v>
      </c>
      <c r="Q4" s="20">
        <f t="shared" ref="Q4:Q34" si="2">(O4+P4)*0.475*44/12</f>
        <v>1.9134944177750821</v>
      </c>
      <c r="R4" s="59">
        <f t="shared" si="0"/>
        <v>204.85574579572528</v>
      </c>
      <c r="S4" s="59">
        <f ca="1">AVERAGE(OFFSET($R$3,0,0,'Données projet'!$E$9+1,1))-AVERAGE(OFFSET($H$3,0,0,'Données projet'!$E$9+1,1))</f>
        <v>542.23071537860039</v>
      </c>
      <c r="T4" s="59">
        <f>$T$3</f>
        <v>667.26143680054633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13.4</v>
      </c>
      <c r="AI4" s="13">
        <f>IF('Données projet'!$A$62&gt;35,AI3+AH4-AQ3,IF(A4&lt;'Données projet'!$A$62,$AF$205^A4,IF(A4='Données projet'!$A$62,'Données projet'!$B$62,AI3+AH4-AQ3)))</f>
        <v>1.261832742012994</v>
      </c>
      <c r="AJ4" s="13">
        <f>AI4*VLOOKUP('Données projet'!$B$10,Paramètres!$A$1:$I$89,3,0)*VLOOKUP('Données projet'!$B$10,Paramètres!$A$1:$I$89,5,0)</f>
        <v>0.70536450278526364</v>
      </c>
      <c r="AK4" s="13">
        <f>EXP(-1.0587+0.8836*LN(AJ4)+0.284)</f>
        <v>0.33854025888476524</v>
      </c>
      <c r="AL4" s="20">
        <f t="shared" ref="AL4:AL67" si="4">(AJ4+AK4)*0.475*44/12</f>
        <v>1.8181341265753002</v>
      </c>
      <c r="AM4" s="59">
        <f t="shared" ref="AM4:AM67" si="5">AL4+(AD4+AE4)*44/12</f>
        <v>204.76038550452552</v>
      </c>
      <c r="AN4" s="59">
        <f ca="1">AVERAGE(OFFSET($AM$3,0,0,'Données projet'!$E$10+1,1))-AVERAGE(OFFSET($H$3,0,0,'Données projet'!$E$10+1,1))</f>
        <v>427.83834708696861</v>
      </c>
      <c r="AO4" s="59">
        <f>$AO$3</f>
        <v>545.63950537101903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5.75</v>
      </c>
      <c r="BD4" s="12">
        <f>IF('Données projet'!$A$88&gt;35,BD3+BC4-BL3,IF(A4&lt;'Données projet'!$A$88,$BA$205^A4,IF(A4='Données projet'!$A$88,'Données projet'!$B$88,BD3+BC4-BL3)))</f>
        <v>1.2677537154322802</v>
      </c>
      <c r="BE4" s="13">
        <f>BD4*VLOOKUP('Données projet'!$B$11,Paramètres!$A$1:$I$89,3,0)*VLOOKUP('Données projet'!$B$11,Paramètres!$A$1:$I$89,5,0)</f>
        <v>0.59330873882230706</v>
      </c>
      <c r="BF4" s="13">
        <f>EXP(-1.0587+0.8836*LN(BE4)+0.284)</f>
        <v>0.29055137246158741</v>
      </c>
      <c r="BG4" s="20">
        <f t="shared" ref="BG4:BG67" si="7">(BE4+BF4)*0.475*44/12</f>
        <v>1.5393896938194491</v>
      </c>
      <c r="BH4" s="59">
        <f t="shared" ref="BH4:BH67" si="8">BG4+(AY4+AZ4)*44/12</f>
        <v>204.48164107176967</v>
      </c>
      <c r="BI4" s="59">
        <f ca="1">AVERAGE(OFFSET($BH$3,0,0,'Données projet'!$E$11+1,1))-AVERAGE(OFFSET($H$3,0,0,'Données projet'!$E$11+1,1))</f>
        <v>210.62109466714364</v>
      </c>
      <c r="BJ4" s="59">
        <f>$BJ$3</f>
        <v>193.35729443770401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5.5909090909090908</v>
      </c>
      <c r="BY4" s="12">
        <f>IF('Données projet'!$A$114&gt;35,BY3+BX4-CG3,IF(A4&lt;'Données projet'!$A$114,$BV$205^A4,IF(A4='Données projet'!$A$114,'Données projet'!$B$114,BY3+BX4-CG3)))</f>
        <v>1.244502252163008</v>
      </c>
      <c r="BZ4" s="13">
        <f>BY4*VLOOKUP('Données projet'!$B$12,Paramètres!$A$1:$I$89,3,0)*VLOOKUP('Données projet'!$B$12,Paramètres!$A$1:$I$89,5,0)</f>
        <v>0.74421234679347892</v>
      </c>
      <c r="CA4" s="13">
        <f>EXP(-1.0587+0.8836*LN(BZ4)+0.284)</f>
        <v>0.3549632728022305</v>
      </c>
      <c r="CB4" s="20">
        <f t="shared" ref="CB4:CB67" si="10">(BZ4+CA4)*0.475*44/12</f>
        <v>1.9143975374625271</v>
      </c>
      <c r="CC4" s="59">
        <f t="shared" ref="CC4:CC67" si="11">CB4+(BT4+BU4)*44/12</f>
        <v>204.85664891541273</v>
      </c>
      <c r="CD4" s="59">
        <f ca="1">AVERAGE(OFFSET($CC$3,0,0,'Données projet'!$E$12+1,1))-AVERAGE(OFFSET($H$3,0,0,'Données projet'!$E$12+1,1))</f>
        <v>368.16165268258442</v>
      </c>
      <c r="CE4" s="59">
        <f>$CE$3</f>
        <v>291.32219253157041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3.8333333333333335</v>
      </c>
      <c r="CT4" s="12">
        <f>IF('Données projet'!$A$140&gt;35,CT3+CS4-DB3,IF(A4&lt;'Données projet'!$A$140,$CQ$205^A4,IF(A4='Données projet'!$A$140,'Données projet'!$B$140,CT3+CS4-DB3)))</f>
        <v>1.3758248603770518</v>
      </c>
      <c r="CU4" s="17">
        <f>CT4*VLOOKUP('Données projet'!$B$13,Paramètres!$A$1:$I$89,3,0)*VLOOKUP('Données projet'!$B$13,Paramètres!$A$1:$I$89,5,0)</f>
        <v>0.82274326650547702</v>
      </c>
      <c r="CV4" s="13">
        <f>EXP(-1.0587+0.8836*LN(CU4)+0.284)</f>
        <v>0.3878641435528864</v>
      </c>
      <c r="CW4" s="20">
        <f t="shared" ref="CW4:CW67" si="13">(CU4+CV4)*0.475*44/12</f>
        <v>2.108474572518316</v>
      </c>
      <c r="CX4" s="59">
        <f t="shared" ref="CX4:CX67" si="14">CW4+(CO4+CP4)*44/12</f>
        <v>205.05072595046852</v>
      </c>
      <c r="CY4" s="59">
        <f ca="1">AVERAGE(OFFSET($CX$3,0,0,'Données projet'!$E$13+1,1))-AVERAGE(OFFSET($H$3,0,0,'Données projet'!$E$13+1,1))</f>
        <v>317.12995176362455</v>
      </c>
      <c r="CZ4" s="59">
        <f>$CZ$3</f>
        <v>328.11301015275262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6.6</v>
      </c>
      <c r="DO4" s="12">
        <f>IF('Données projet'!$A$166&gt;35,DO3+DN4-DW3,IF(A4&lt;'Données projet'!$A$166,$DL$205^A4,IF(A4='Données projet'!$A$166,'Données projet'!$B$166,DO3+DN4-DW3)))</f>
        <v>1.2765231539157764</v>
      </c>
      <c r="DP4" s="17">
        <f>DO4*VLOOKUP('Données projet'!$B$14,Paramètres!$A$1:$I$89,3,0)*VLOOKUP('Données projet'!$B$14,Paramètres!$A$1:$I$89,5,0)</f>
        <v>1.1151706272608224</v>
      </c>
      <c r="DQ4" s="13">
        <f>EXP(-1.0587+0.8836*LN(DP4)+0.284)</f>
        <v>0.50743784838663863</v>
      </c>
      <c r="DR4" s="20">
        <f t="shared" ref="DR4:DR67" si="16">(DP4+DQ4)*0.475*44/12</f>
        <v>2.8260430950859945</v>
      </c>
      <c r="DS4" s="59">
        <f t="shared" ref="DS4:DS67" si="17">DR4+(DJ4+DK4)*44/12</f>
        <v>205.76829447303621</v>
      </c>
      <c r="DT4" s="59">
        <f ca="1">AVERAGE(OFFSET($DS$3,0,0,'Données projet'!$E$14+1,1))-AVERAGE(OFFSET($H$3,0,0,'Données projet'!$E$14+1,1))</f>
        <v>325.5873213944476</v>
      </c>
      <c r="DU4" s="59">
        <f>$DU$3</f>
        <v>347.9042278368363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2.0833333333333335</v>
      </c>
      <c r="EJ4" s="12">
        <f>IF('Données projet'!$A$192&gt;35,EJ3+EI4-ER3,IF(A4&lt;'Données projet'!$A$192,$EG$205^A4,IF(A4='Données projet'!$A$192,'Données projet'!$B$192,EJ3+EI4-ER3)))</f>
        <v>1.3076604860118306</v>
      </c>
      <c r="EK4" s="17">
        <f>EJ4*VLOOKUP('Données projet'!$B$15,Paramètres!$A$1:$I$89,3,0)*VLOOKUP('Données projet'!$B$15,Paramètres!$A$1:$I$89,5,0)</f>
        <v>0.78198097063507477</v>
      </c>
      <c r="EL4" s="13">
        <f>EXP(-1.0587+0.8836*LN(EK4)+0.284)</f>
        <v>0.37083457038464518</v>
      </c>
      <c r="EM4" s="20">
        <f t="shared" ref="EM4:EM67" si="19">(EK4+EL4)*0.475*44/12</f>
        <v>2.0078204006093454</v>
      </c>
      <c r="EN4" s="59">
        <f t="shared" ref="EN4:EN67" si="20">EM4+(EE4+EF4)*44/12</f>
        <v>204.95007177855956</v>
      </c>
      <c r="EO4" s="59">
        <f ca="1">AVERAGE(OFFSET($EN$3,0,0,'Données projet'!$E$15+1,1))-AVERAGE(OFFSET($H$3,0,0,'Données projet'!$E$15+1,1))</f>
        <v>205.5480000480477</v>
      </c>
      <c r="EP4" s="59">
        <f>$EP$3</f>
        <v>229.86812144828366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3.05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0.34943999999999997</v>
      </c>
      <c r="D5" s="11">
        <f t="shared" ref="D5:D68" si="32">IFERROR(EXP(-1.0587+0.8836*LN(C5)+0.284),0)</f>
        <v>0.18200197843855953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8.9174215888447232</v>
      </c>
      <c r="H5" s="67">
        <f t="shared" si="1"/>
        <v>212.85892811244713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15.15</v>
      </c>
      <c r="N5" s="13">
        <f>IF('Données projet'!$A$36&gt;35,N4+M5-V4,IF(A5&lt;'Données projet'!$A$36,$K$205^A5,IF(A5='Données projet'!$A$36,'Données projet'!$B$36,N4+M5-V4)))</f>
        <v>1.770697046334806</v>
      </c>
      <c r="O5" s="13">
        <f>N5*VLOOKUP('Données projet'!$B$9,Paramètres!$A$1:$I$89,3,0)*VLOOKUP('Données projet'!$B$9,Paramètres!$A$1:$I$89,5,0)</f>
        <v>0.98981964890115659</v>
      </c>
      <c r="P5" s="13">
        <f t="shared" ref="P5:P68" si="33">EXP(-1.0587+0.8836*LN(O5)+0.284)</f>
        <v>0.45669410836011554</v>
      </c>
      <c r="Q5" s="20">
        <f t="shared" si="2"/>
        <v>2.5193447938967153</v>
      </c>
      <c r="R5" s="59">
        <f t="shared" si="0"/>
        <v>207.63701971260556</v>
      </c>
      <c r="S5" s="59">
        <f ca="1">AVERAGE(OFFSET($R$3,0,0,'Données projet'!$E$9+1,1))-AVERAGE(OFFSET($H$3,0,0,'Données projet'!$E$9+1,1))</f>
        <v>542.23071537860039</v>
      </c>
      <c r="T5" s="59">
        <f t="shared" ref="T5:T68" si="34">$T$3</f>
        <v>667.26143680054633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13.4</v>
      </c>
      <c r="AI5" s="13">
        <f>IF('Données projet'!$A$62&gt;35,AI4+AH5-AQ4,IF(A5&lt;'Données projet'!$A$62,$AF$205^A5,IF(A5='Données projet'!$A$62,'Données projet'!$B$62,AI4+AH5-AQ4)))</f>
        <v>1.592221868816031</v>
      </c>
      <c r="AJ5" s="13">
        <f>AI5*VLOOKUP('Données projet'!$B$10,Paramètres!$A$1:$I$89,3,0)*VLOOKUP('Données projet'!$B$10,Paramètres!$A$1:$I$89,5,0)</f>
        <v>0.89005202466816125</v>
      </c>
      <c r="AK5" s="13">
        <f t="shared" ref="AK5:AK68" si="35">EXP(-1.0587+0.8836*LN(AJ5)+0.284)</f>
        <v>0.41577225565740339</v>
      </c>
      <c r="AL5" s="20">
        <f t="shared" si="4"/>
        <v>2.2743106215670248</v>
      </c>
      <c r="AM5" s="59">
        <f t="shared" si="5"/>
        <v>207.39198554027587</v>
      </c>
      <c r="AN5" s="59">
        <f ca="1">AVERAGE(OFFSET($AM$3,0,0,'Données projet'!$E$10+1,1))-AVERAGE(OFFSET($H$3,0,0,'Données projet'!$E$10+1,1))</f>
        <v>427.83834708696861</v>
      </c>
      <c r="AO5" s="59">
        <f t="shared" ref="AO5:AO68" si="36">$AO$3</f>
        <v>545.63950537101903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5.75</v>
      </c>
      <c r="BD5" s="12">
        <f>IF('Données projet'!$A$88&gt;35,BD4+BC5-BL4,IF(A5&lt;'Données projet'!$A$88,$BA$205^A5,IF(A5='Données projet'!$A$88,'Données projet'!$B$88,BD4+BC5-BL4)))</f>
        <v>1.6071994829923508</v>
      </c>
      <c r="BE5" s="13">
        <f>BD5*VLOOKUP('Données projet'!$B$11,Paramètres!$A$1:$I$89,3,0)*VLOOKUP('Données projet'!$B$11,Paramètres!$A$1:$I$89,5,0)</f>
        <v>0.75216935804042018</v>
      </c>
      <c r="BF5" s="13">
        <f t="shared" ref="BF5:BF68" si="37">EXP(-1.0587+0.8836*LN(BE5)+0.284)</f>
        <v>0.35831464735172275</v>
      </c>
      <c r="BG5" s="20">
        <f t="shared" si="7"/>
        <v>1.9340929760579824</v>
      </c>
      <c r="BH5" s="59">
        <f t="shared" si="8"/>
        <v>207.05176789476681</v>
      </c>
      <c r="BI5" s="59">
        <f ca="1">AVERAGE(OFFSET($BH$3,0,0,'Données projet'!$E$11+1,1))-AVERAGE(OFFSET($H$3,0,0,'Données projet'!$E$11+1,1))</f>
        <v>210.62109466714364</v>
      </c>
      <c r="BJ5" s="59">
        <f t="shared" ref="BJ5:BJ68" si="38">$BJ$3</f>
        <v>193.35729443770401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5.5909090909090908</v>
      </c>
      <c r="BY5" s="12">
        <f>IF('Données projet'!$A$114&gt;35,BY4+BX5-CG4,IF(A5&lt;'Données projet'!$A$114,$BV$205^A5,IF(A5='Données projet'!$A$114,'Données projet'!$B$114,BY4+BX5-CG4)))</f>
        <v>1.5487858556387992</v>
      </c>
      <c r="BZ5" s="13">
        <f>BY5*VLOOKUP('Données projet'!$B$12,Paramètres!$A$1:$I$89,3,0)*VLOOKUP('Données projet'!$B$12,Paramètres!$A$1:$I$89,5,0)</f>
        <v>0.92617394167200195</v>
      </c>
      <c r="CA5" s="13">
        <f t="shared" ref="CA5:CA68" si="39">EXP(-1.0587+0.8836*LN(BZ5)+0.284)</f>
        <v>0.43064718121421069</v>
      </c>
      <c r="CB5" s="20">
        <f t="shared" si="10"/>
        <v>2.3631301223601535</v>
      </c>
      <c r="CC5" s="59">
        <f t="shared" si="11"/>
        <v>207.480805041069</v>
      </c>
      <c r="CD5" s="59">
        <f ca="1">AVERAGE(OFFSET($CC$3,0,0,'Données projet'!$E$12+1,1))-AVERAGE(OFFSET($H$3,0,0,'Données projet'!$E$12+1,1))</f>
        <v>368.16165268258442</v>
      </c>
      <c r="CE5" s="59">
        <f t="shared" ref="CE5:CE68" si="40">$CE$3</f>
        <v>291.32219253157041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3.8333333333333335</v>
      </c>
      <c r="CT5" s="12">
        <f>IF('Données projet'!$A$140&gt;35,CT4+CS5-DB4,IF(A5&lt;'Données projet'!$A$140,$CQ$205^A5,IF(A5='Données projet'!$A$140,'Données projet'!$B$140,CT4+CS5-DB4)))</f>
        <v>1.892894046431534</v>
      </c>
      <c r="CU5" s="17">
        <f>CT5*VLOOKUP('Données projet'!$B$13,Paramètres!$A$1:$I$89,3,0)*VLOOKUP('Données projet'!$B$13,Paramètres!$A$1:$I$89,5,0)</f>
        <v>1.1319506397660575</v>
      </c>
      <c r="CV5" s="13">
        <f t="shared" ref="CV5:CV68" si="41">EXP(-1.0587+0.8836*LN(CU5)+0.284)</f>
        <v>0.51417864374064992</v>
      </c>
      <c r="CW5" s="20">
        <f t="shared" si="13"/>
        <v>2.8670085021075149</v>
      </c>
      <c r="CX5" s="59">
        <f t="shared" si="14"/>
        <v>207.98468342081637</v>
      </c>
      <c r="CY5" s="59">
        <f ca="1">AVERAGE(OFFSET($CX$3,0,0,'Données projet'!$E$13+1,1))-AVERAGE(OFFSET($H$3,0,0,'Données projet'!$E$13+1,1))</f>
        <v>317.12995176362455</v>
      </c>
      <c r="CZ5" s="59">
        <f t="shared" ref="CZ5:CZ68" si="42">$CZ$3</f>
        <v>328.11301015275262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6.6</v>
      </c>
      <c r="DO5" s="12">
        <f>IF('Données projet'!$A$166&gt;35,DO4+DN5-DW4,IF(A5&lt;'Données projet'!$A$166,$DL$205^A5,IF(A5='Données projet'!$A$166,'Données projet'!$B$166,DO4+DN5-DW4)))</f>
        <v>1.629511362483081</v>
      </c>
      <c r="DP5" s="17">
        <f>DO5*VLOOKUP('Données projet'!$B$14,Paramètres!$A$1:$I$89,3,0)*VLOOKUP('Données projet'!$B$14,Paramètres!$A$1:$I$89,5,0)</f>
        <v>1.4235411262652198</v>
      </c>
      <c r="DQ5" s="13">
        <f t="shared" ref="DQ5:DQ68" si="43">EXP(-1.0587+0.8836*LN(DP5)+0.284)</f>
        <v>0.62960738463416654</v>
      </c>
      <c r="DR5" s="20">
        <f t="shared" si="16"/>
        <v>3.5759003231497637</v>
      </c>
      <c r="DS5" s="59">
        <f t="shared" si="17"/>
        <v>208.69357524185861</v>
      </c>
      <c r="DT5" s="59">
        <f ca="1">AVERAGE(OFFSET($DS$3,0,0,'Données projet'!$E$14+1,1))-AVERAGE(OFFSET($H$3,0,0,'Données projet'!$E$14+1,1))</f>
        <v>325.5873213944476</v>
      </c>
      <c r="DU5" s="59">
        <f t="shared" ref="DU5:DU68" si="44">$DU$3</f>
        <v>347.9042278368363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2.0833333333333335</v>
      </c>
      <c r="EJ5" s="12">
        <f>IF('Données projet'!$A$192&gt;35,EJ4+EI5-ER4,IF(A5&lt;'Données projet'!$A$192,$EG$205^A5,IF(A5='Données projet'!$A$192,'Données projet'!$B$192,EJ4+EI5-ER4)))</f>
        <v>1.7099759466766971</v>
      </c>
      <c r="EK5" s="17">
        <f>EJ5*VLOOKUP('Données projet'!$B$15,Paramètres!$A$1:$I$89,3,0)*VLOOKUP('Données projet'!$B$15,Paramètres!$A$1:$I$89,5,0)</f>
        <v>1.0225656161126651</v>
      </c>
      <c r="EL5" s="13">
        <f t="shared" ref="EL5:EL68" si="45">EXP(-1.0587+0.8836*LN(EK5)+0.284)</f>
        <v>0.47001876423271316</v>
      </c>
      <c r="EM5" s="20">
        <f t="shared" si="19"/>
        <v>2.599584462434867</v>
      </c>
      <c r="EN5" s="59">
        <f t="shared" si="20"/>
        <v>207.71725938114372</v>
      </c>
      <c r="EO5" s="59">
        <f ca="1">AVERAGE(OFFSET($EN$3,0,0,'Données projet'!$E$15+1,1))-AVERAGE(OFFSET($H$3,0,0,'Données projet'!$E$15+1,1))</f>
        <v>205.5480000480477</v>
      </c>
      <c r="EP5" s="59">
        <f t="shared" ref="EP5:EP68" si="46">$EP$3</f>
        <v>229.86812144828366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3.05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0.52415999999999996</v>
      </c>
      <c r="D6" s="11">
        <f t="shared" si="32"/>
        <v>0.26041760799678465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9.5427110036131104</v>
      </c>
      <c r="H6" s="67">
        <f t="shared" si="1"/>
        <v>213.29980600059437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15.15</v>
      </c>
      <c r="N6" s="13">
        <f>IF('Données projet'!$A$36&gt;35,N5+M6-V5,IF(A6&lt;'Données projet'!$A$36,$K$205^A6,IF(A6='Données projet'!$A$36,'Données projet'!$B$36,N5+M6-V5)))</f>
        <v>2.3562230178220385</v>
      </c>
      <c r="O6" s="13">
        <f>N6*VLOOKUP('Données projet'!$B$9,Paramètres!$A$1:$I$89,3,0)*VLOOKUP('Données projet'!$B$9,Paramètres!$A$1:$I$89,5,0)</f>
        <v>1.3171286669625197</v>
      </c>
      <c r="P6" s="13">
        <f t="shared" si="33"/>
        <v>0.58783514032847717</v>
      </c>
      <c r="Q6" s="20">
        <f t="shared" si="2"/>
        <v>3.3178119643651525</v>
      </c>
      <c r="R6" s="59">
        <f t="shared" si="0"/>
        <v>210.59437451199491</v>
      </c>
      <c r="S6" s="59">
        <f ca="1">AVERAGE(OFFSET($R$3,0,0,'Données projet'!$E$9+1,1))-AVERAGE(OFFSET($H$3,0,0,'Données projet'!$E$9+1,1))</f>
        <v>542.23071537860039</v>
      </c>
      <c r="T6" s="59">
        <f t="shared" si="34"/>
        <v>667.26143680054633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13.4</v>
      </c>
      <c r="AI6" s="13">
        <f>IF('Données projet'!$A$62&gt;35,AI5+AH6-AQ5,IF(A6&lt;'Données projet'!$A$62,$AF$205^A6,IF(A6='Données projet'!$A$62,'Données projet'!$B$62,AI5+AH6-AQ5)))</f>
        <v>2.0091176866211859</v>
      </c>
      <c r="AJ6" s="13">
        <f>AI6*VLOOKUP('Données projet'!$B$10,Paramètres!$A$1:$I$89,3,0)*VLOOKUP('Données projet'!$B$10,Paramètres!$A$1:$I$89,5,0)</f>
        <v>1.1230967868212429</v>
      </c>
      <c r="AK6" s="13">
        <f t="shared" si="35"/>
        <v>0.510623372073709</v>
      </c>
      <c r="AL6" s="20">
        <f t="shared" si="4"/>
        <v>2.8453959434087075</v>
      </c>
      <c r="AM6" s="59">
        <f t="shared" si="5"/>
        <v>210.12195849103847</v>
      </c>
      <c r="AN6" s="59">
        <f ca="1">AVERAGE(OFFSET($AM$3,0,0,'Données projet'!$E$10+1,1))-AVERAGE(OFFSET($H$3,0,0,'Données projet'!$E$10+1,1))</f>
        <v>427.83834708696861</v>
      </c>
      <c r="AO6" s="59">
        <f t="shared" si="36"/>
        <v>545.63950537101903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5.75</v>
      </c>
      <c r="BD6" s="12">
        <f>IF('Données projet'!$A$88&gt;35,BD5+BC6-BL5,IF(A6&lt;'Données projet'!$A$88,$BA$205^A6,IF(A6='Données projet'!$A$88,'Données projet'!$B$88,BD5+BC6-BL5)))</f>
        <v>2.0375331160043926</v>
      </c>
      <c r="BE6" s="13">
        <f>BD6*VLOOKUP('Données projet'!$B$11,Paramètres!$A$1:$I$89,3,0)*VLOOKUP('Données projet'!$B$11,Paramètres!$A$1:$I$89,5,0)</f>
        <v>0.95356549829005577</v>
      </c>
      <c r="BF6" s="13">
        <f t="shared" si="37"/>
        <v>0.44188187933534279</v>
      </c>
      <c r="BG6" s="20">
        <f t="shared" si="7"/>
        <v>2.4304041826975693</v>
      </c>
      <c r="BH6" s="59">
        <f t="shared" si="8"/>
        <v>209.70696673032734</v>
      </c>
      <c r="BI6" s="59">
        <f ca="1">AVERAGE(OFFSET($BH$3,0,0,'Données projet'!$E$11+1,1))-AVERAGE(OFFSET($H$3,0,0,'Données projet'!$E$11+1,1))</f>
        <v>210.62109466714364</v>
      </c>
      <c r="BJ6" s="59">
        <f t="shared" si="38"/>
        <v>193.35729443770401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5.5909090909090908</v>
      </c>
      <c r="BY6" s="12">
        <f>IF('Données projet'!$A$114&gt;35,BY5+BX6-CG5,IF(A6&lt;'Données projet'!$A$114,$BV$205^A6,IF(A6='Données projet'!$A$114,'Données projet'!$B$114,BY5+BX6-CG5)))</f>
        <v>1.927467485460697</v>
      </c>
      <c r="BZ6" s="13">
        <f>BY6*VLOOKUP('Données projet'!$B$12,Paramètres!$A$1:$I$89,3,0)*VLOOKUP('Données projet'!$B$12,Paramètres!$A$1:$I$89,5,0)</f>
        <v>1.152625556305497</v>
      </c>
      <c r="CA6" s="13">
        <f t="shared" si="39"/>
        <v>0.52246812247269758</v>
      </c>
      <c r="CB6" s="20">
        <f t="shared" si="10"/>
        <v>2.9174548238720219</v>
      </c>
      <c r="CC6" s="59">
        <f t="shared" si="11"/>
        <v>210.19401737150179</v>
      </c>
      <c r="CD6" s="59">
        <f ca="1">AVERAGE(OFFSET($CC$3,0,0,'Données projet'!$E$12+1,1))-AVERAGE(OFFSET($H$3,0,0,'Données projet'!$E$12+1,1))</f>
        <v>368.16165268258442</v>
      </c>
      <c r="CE6" s="59">
        <f t="shared" si="40"/>
        <v>291.32219253157041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3.8333333333333335</v>
      </c>
      <c r="CT6" s="12">
        <f>IF('Données projet'!$A$140&gt;35,CT5+CS6-DB5,IF(A6&lt;'Données projet'!$A$140,$CQ$205^A6,IF(A6='Données projet'!$A$140,'Données projet'!$B$140,CT5+CS6-DB5)))</f>
        <v>2.6042906871402178</v>
      </c>
      <c r="CU6" s="17">
        <f>CT6*VLOOKUP('Données projet'!$B$13,Paramètres!$A$1:$I$89,3,0)*VLOOKUP('Données projet'!$B$13,Paramètres!$A$1:$I$89,5,0)</f>
        <v>1.5573658309098504</v>
      </c>
      <c r="CV6" s="13">
        <f t="shared" si="41"/>
        <v>0.68162959137501489</v>
      </c>
      <c r="CW6" s="20">
        <f t="shared" si="13"/>
        <v>3.8995836938128075</v>
      </c>
      <c r="CX6" s="59">
        <f t="shared" si="14"/>
        <v>211.17614624144258</v>
      </c>
      <c r="CY6" s="59">
        <f ca="1">AVERAGE(OFFSET($CX$3,0,0,'Données projet'!$E$13+1,1))-AVERAGE(OFFSET($H$3,0,0,'Données projet'!$E$13+1,1))</f>
        <v>317.12995176362455</v>
      </c>
      <c r="CZ6" s="59">
        <f t="shared" si="42"/>
        <v>328.11301015275262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6.6</v>
      </c>
      <c r="DO6" s="12">
        <f>IF('Données projet'!$A$166&gt;35,DO5+DN6-DW5,IF(A6&lt;'Données projet'!$A$166,$DL$205^A6,IF(A6='Données projet'!$A$166,'Données projet'!$B$166,DO5+DN6-DW5)))</f>
        <v>2.0801089837784965</v>
      </c>
      <c r="DP6" s="17">
        <f>DO6*VLOOKUP('Données projet'!$B$14,Paramètres!$A$1:$I$89,3,0)*VLOOKUP('Données projet'!$B$14,Paramètres!$A$1:$I$89,5,0)</f>
        <v>1.8171832082288948</v>
      </c>
      <c r="DQ6" s="13">
        <f t="shared" si="43"/>
        <v>0.7811901694881791</v>
      </c>
      <c r="DR6" s="20">
        <f t="shared" si="16"/>
        <v>4.5255002995239044</v>
      </c>
      <c r="DS6" s="59">
        <f t="shared" si="17"/>
        <v>211.80206284715368</v>
      </c>
      <c r="DT6" s="59">
        <f ca="1">AVERAGE(OFFSET($DS$3,0,0,'Données projet'!$E$14+1,1))-AVERAGE(OFFSET($H$3,0,0,'Données projet'!$E$14+1,1))</f>
        <v>325.5873213944476</v>
      </c>
      <c r="DU6" s="59">
        <f t="shared" si="44"/>
        <v>347.9042278368363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2.0833333333333335</v>
      </c>
      <c r="EJ6" s="12">
        <f>IF('Données projet'!$A$192&gt;35,EJ5+EI6-ER5,IF(A6&lt;'Données projet'!$A$192,$EG$205^A6,IF(A6='Données projet'!$A$192,'Données projet'!$B$192,EJ5+EI6-ER5)))</f>
        <v>2.2360679774997898</v>
      </c>
      <c r="EK6" s="17">
        <f>EJ6*VLOOKUP('Données projet'!$B$15,Paramètres!$A$1:$I$89,3,0)*VLOOKUP('Données projet'!$B$15,Paramètres!$A$1:$I$89,5,0)</f>
        <v>1.3371686505448743</v>
      </c>
      <c r="EL6" s="13">
        <f t="shared" si="45"/>
        <v>0.59573097109501338</v>
      </c>
      <c r="EM6" s="20">
        <f t="shared" si="19"/>
        <v>3.3664668410228042</v>
      </c>
      <c r="EN6" s="59">
        <f t="shared" si="20"/>
        <v>210.64302938865256</v>
      </c>
      <c r="EO6" s="59">
        <f ca="1">AVERAGE(OFFSET($EN$3,0,0,'Données projet'!$E$15+1,1))-AVERAGE(OFFSET($H$3,0,0,'Données projet'!$E$15+1,1))</f>
        <v>205.5480000480477</v>
      </c>
      <c r="EP6" s="59">
        <f t="shared" si="46"/>
        <v>229.86812144828366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3.05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0.69887999999999995</v>
      </c>
      <c r="D7" s="11">
        <f t="shared" si="32"/>
        <v>0.33578880517155885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10.160480136283429</v>
      </c>
      <c r="H7" s="67">
        <f t="shared" si="1"/>
        <v>213.73538150234043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15.15</v>
      </c>
      <c r="N7" s="13">
        <f>IF('Données projet'!$A$36&gt;35,N6+M7-V6,IF(A7&lt;'Données projet'!$A$36,$K$205^A7,IF(A7='Données projet'!$A$36,'Données projet'!$B$36,N6+M7-V6)))</f>
        <v>3.1353680298988058</v>
      </c>
      <c r="O7" s="13">
        <f>N7*VLOOKUP('Données projet'!$B$9,Paramètres!$A$1:$I$89,3,0)*VLOOKUP('Données projet'!$B$9,Paramètres!$A$1:$I$89,5,0)</f>
        <v>1.7526707287134324</v>
      </c>
      <c r="P7" s="13">
        <f t="shared" si="33"/>
        <v>0.7566336983102151</v>
      </c>
      <c r="Q7" s="20">
        <f t="shared" si="2"/>
        <v>4.3703718770661864</v>
      </c>
      <c r="R7" s="59">
        <f t="shared" si="0"/>
        <v>213.78957300288081</v>
      </c>
      <c r="S7" s="59">
        <f ca="1">AVERAGE(OFFSET($R$3,0,0,'Données projet'!$E$9+1,1))-AVERAGE(OFFSET($H$3,0,0,'Données projet'!$E$9+1,1))</f>
        <v>542.23071537860039</v>
      </c>
      <c r="T7" s="59">
        <f t="shared" si="34"/>
        <v>667.26143680054633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13.4</v>
      </c>
      <c r="AI7" s="13">
        <f>IF('Données projet'!$A$62&gt;35,AI6+AH7-AQ6,IF(A7&lt;'Données projet'!$A$62,$AF$205^A7,IF(A7='Données projet'!$A$62,'Données projet'!$B$62,AI6+AH7-AQ6)))</f>
        <v>2.5351704795360144</v>
      </c>
      <c r="AJ7" s="13">
        <f>AI7*VLOOKUP('Données projet'!$B$10,Paramètres!$A$1:$I$89,3,0)*VLOOKUP('Données projet'!$B$10,Paramètres!$A$1:$I$89,5,0)</f>
        <v>1.4171602980606322</v>
      </c>
      <c r="AK7" s="13">
        <f t="shared" si="35"/>
        <v>0.6271130999245228</v>
      </c>
      <c r="AL7" s="20">
        <f t="shared" si="4"/>
        <v>3.5604428348241446</v>
      </c>
      <c r="AM7" s="59">
        <f t="shared" si="5"/>
        <v>212.97964396063878</v>
      </c>
      <c r="AN7" s="59">
        <f ca="1">AVERAGE(OFFSET($AM$3,0,0,'Données projet'!$E$10+1,1))-AVERAGE(OFFSET($H$3,0,0,'Données projet'!$E$10+1,1))</f>
        <v>427.83834708696861</v>
      </c>
      <c r="AO7" s="59">
        <f t="shared" si="36"/>
        <v>545.63950537101903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5.75</v>
      </c>
      <c r="BD7" s="12">
        <f>IF('Données projet'!$A$88&gt;35,BD6+BC7-BL6,IF(A7&lt;'Données projet'!$A$88,$BA$205^A7,IF(A7='Données projet'!$A$88,'Données projet'!$B$88,BD6+BC7-BL6)))</f>
        <v>2.5830901781308797</v>
      </c>
      <c r="BE7" s="13">
        <f>BD7*VLOOKUP('Données projet'!$B$11,Paramètres!$A$1:$I$89,3,0)*VLOOKUP('Données projet'!$B$11,Paramètres!$A$1:$I$89,5,0)</f>
        <v>1.2088862033652517</v>
      </c>
      <c r="BF7" s="13">
        <f t="shared" si="37"/>
        <v>0.54493891535856476</v>
      </c>
      <c r="BG7" s="20">
        <f t="shared" si="7"/>
        <v>3.0545787484439804</v>
      </c>
      <c r="BH7" s="59">
        <f t="shared" si="8"/>
        <v>212.47377987425861</v>
      </c>
      <c r="BI7" s="59">
        <f ca="1">AVERAGE(OFFSET($BH$3,0,0,'Données projet'!$E$11+1,1))-AVERAGE(OFFSET($H$3,0,0,'Données projet'!$E$11+1,1))</f>
        <v>210.62109466714364</v>
      </c>
      <c r="BJ7" s="59">
        <f t="shared" si="38"/>
        <v>193.35729443770401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5.5909090909090908</v>
      </c>
      <c r="BY7" s="12">
        <f>IF('Données projet'!$A$114&gt;35,BY6+BX7-CG6,IF(A7&lt;'Données projet'!$A$114,$BV$205^A7,IF(A7='Données projet'!$A$114,'Données projet'!$B$114,BY6+BX7-CG6)))</f>
        <v>2.3987376266268075</v>
      </c>
      <c r="BZ7" s="13">
        <f>BY7*VLOOKUP('Données projet'!$B$12,Paramètres!$A$1:$I$89,3,0)*VLOOKUP('Données projet'!$B$12,Paramètres!$A$1:$I$89,5,0)</f>
        <v>1.4344451007228309</v>
      </c>
      <c r="CA7" s="13">
        <f t="shared" si="39"/>
        <v>0.63386677286612625</v>
      </c>
      <c r="CB7" s="20">
        <f t="shared" si="10"/>
        <v>3.6023098465007668</v>
      </c>
      <c r="CC7" s="59">
        <f t="shared" si="11"/>
        <v>213.02151097231538</v>
      </c>
      <c r="CD7" s="59">
        <f ca="1">AVERAGE(OFFSET($CC$3,0,0,'Données projet'!$E$12+1,1))-AVERAGE(OFFSET($H$3,0,0,'Données projet'!$E$12+1,1))</f>
        <v>368.16165268258442</v>
      </c>
      <c r="CE7" s="59">
        <f t="shared" si="40"/>
        <v>291.32219253157041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3.8333333333333335</v>
      </c>
      <c r="CT7" s="12">
        <f>IF('Données projet'!$A$140&gt;35,CT6+CS7-DB6,IF(A7&lt;'Données projet'!$A$140,$CQ$205^A7,IF(A7='Données projet'!$A$140,'Données projet'!$B$140,CT6+CS7-DB6)))</f>
        <v>3.5830478710159466</v>
      </c>
      <c r="CU7" s="17">
        <f>CT7*VLOOKUP('Données projet'!$B$13,Paramètres!$A$1:$I$89,3,0)*VLOOKUP('Données projet'!$B$13,Paramètres!$A$1:$I$89,5,0)</f>
        <v>2.1426626268675362</v>
      </c>
      <c r="CV7" s="13">
        <f t="shared" si="41"/>
        <v>0.9036137643873482</v>
      </c>
      <c r="CW7" s="20">
        <f t="shared" si="13"/>
        <v>5.3055980481022571</v>
      </c>
      <c r="CX7" s="59">
        <f t="shared" si="14"/>
        <v>214.72479917391689</v>
      </c>
      <c r="CY7" s="59">
        <f ca="1">AVERAGE(OFFSET($CX$3,0,0,'Données projet'!$E$13+1,1))-AVERAGE(OFFSET($H$3,0,0,'Données projet'!$E$13+1,1))</f>
        <v>317.12995176362455</v>
      </c>
      <c r="CZ7" s="59">
        <f t="shared" si="42"/>
        <v>328.11301015275262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6.6</v>
      </c>
      <c r="DO7" s="12">
        <f>IF('Données projet'!$A$166&gt;35,DO6+DN7-DW6,IF(A7&lt;'Données projet'!$A$166,$DL$205^A7,IF(A7='Données projet'!$A$166,'Données projet'!$B$166,DO6+DN7-DW6)))</f>
        <v>2.655307280461467</v>
      </c>
      <c r="DP7" s="17">
        <f>DO7*VLOOKUP('Données projet'!$B$14,Paramètres!$A$1:$I$89,3,0)*VLOOKUP('Données projet'!$B$14,Paramètres!$A$1:$I$89,5,0)</f>
        <v>2.3196764402111376</v>
      </c>
      <c r="DQ7" s="13">
        <f t="shared" si="43"/>
        <v>0.96926766711854973</v>
      </c>
      <c r="DR7" s="20">
        <f t="shared" si="16"/>
        <v>5.7282443202658717</v>
      </c>
      <c r="DS7" s="59">
        <f t="shared" si="17"/>
        <v>215.1474454460805</v>
      </c>
      <c r="DT7" s="59">
        <f ca="1">AVERAGE(OFFSET($DS$3,0,0,'Données projet'!$E$14+1,1))-AVERAGE(OFFSET($H$3,0,0,'Données projet'!$E$14+1,1))</f>
        <v>325.5873213944476</v>
      </c>
      <c r="DU7" s="59">
        <f t="shared" si="44"/>
        <v>347.9042278368363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2.0833333333333335</v>
      </c>
      <c r="EJ7" s="12">
        <f>IF('Données projet'!$A$192&gt;35,EJ6+EI7-ER6,IF(A7&lt;'Données projet'!$A$192,$EG$205^A7,IF(A7='Données projet'!$A$192,'Données projet'!$B$192,EJ6+EI7-ER6)))</f>
        <v>2.9240177382128665</v>
      </c>
      <c r="EK7" s="17">
        <f>EJ7*VLOOKUP('Données projet'!$B$15,Paramètres!$A$1:$I$89,3,0)*VLOOKUP('Données projet'!$B$15,Paramètres!$A$1:$I$89,5,0)</f>
        <v>1.7485626074512943</v>
      </c>
      <c r="EL7" s="13">
        <f t="shared" si="45"/>
        <v>0.75506642910557031</v>
      </c>
      <c r="EM7" s="20">
        <f t="shared" si="19"/>
        <v>4.3604872386698723</v>
      </c>
      <c r="EN7" s="59">
        <f t="shared" si="20"/>
        <v>213.77968836448449</v>
      </c>
      <c r="EO7" s="59">
        <f ca="1">AVERAGE(OFFSET($EN$3,0,0,'Données projet'!$E$15+1,1))-AVERAGE(OFFSET($H$3,0,0,'Données projet'!$E$15+1,1))</f>
        <v>205.5480000480477</v>
      </c>
      <c r="EP7" s="59">
        <f t="shared" si="46"/>
        <v>229.86812144828366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3.05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0.87359999999999993</v>
      </c>
      <c r="D8" s="11">
        <f t="shared" si="32"/>
        <v>0.40897418972440708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10.772849928301694</v>
      </c>
      <c r="H8" s="67">
        <f t="shared" si="1"/>
        <v>214.16715004710332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15.15</v>
      </c>
      <c r="N8" s="13">
        <f>IF('Données projet'!$A$36&gt;35,N7+M8-V7,IF(A8&lt;'Données projet'!$A$36,$K$205^A8,IF(A8='Données projet'!$A$36,'Données projet'!$B$36,N7+M8-V7)))</f>
        <v>4.1721571381635663</v>
      </c>
      <c r="O8" s="13">
        <f>N8*VLOOKUP('Données projet'!$B$9,Paramètres!$A$1:$I$89,3,0)*VLOOKUP('Données projet'!$B$9,Paramètres!$A$1:$I$89,5,0)</f>
        <v>2.3322358402334333</v>
      </c>
      <c r="P8" s="13">
        <f t="shared" si="33"/>
        <v>0.97390324964017738</v>
      </c>
      <c r="Q8" s="20">
        <f t="shared" si="2"/>
        <v>5.7581922481965391</v>
      </c>
      <c r="R8" s="59">
        <f t="shared" si="0"/>
        <v>217.30406478616277</v>
      </c>
      <c r="S8" s="59">
        <f ca="1">AVERAGE(OFFSET($R$3,0,0,'Données projet'!$E$9+1,1))-AVERAGE(OFFSET($H$3,0,0,'Données projet'!$E$9+1,1))</f>
        <v>542.23071537860039</v>
      </c>
      <c r="T8" s="59">
        <f t="shared" si="34"/>
        <v>667.26143680054633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13.4</v>
      </c>
      <c r="AI8" s="13">
        <f>IF('Données projet'!$A$62&gt;35,AI7+AH8-AQ7,IF(A8&lt;'Données projet'!$A$62,$AF$205^A8,IF(A8='Données projet'!$A$62,'Données projet'!$B$62,AI7+AH8-AQ7)))</f>
        <v>3.1989611176633259</v>
      </c>
      <c r="AJ8" s="13">
        <f>AI8*VLOOKUP('Données projet'!$B$10,Paramètres!$A$1:$I$89,3,0)*VLOOKUP('Données projet'!$B$10,Paramètres!$A$1:$I$89,5,0)</f>
        <v>1.7882192647737993</v>
      </c>
      <c r="AK8" s="13">
        <f t="shared" si="35"/>
        <v>0.7701779072505428</v>
      </c>
      <c r="AL8" s="20">
        <f t="shared" si="4"/>
        <v>4.4558750746090627</v>
      </c>
      <c r="AM8" s="59">
        <f t="shared" si="5"/>
        <v>216.00174761257529</v>
      </c>
      <c r="AN8" s="59">
        <f ca="1">AVERAGE(OFFSET($AM$3,0,0,'Données projet'!$E$10+1,1))-AVERAGE(OFFSET($H$3,0,0,'Données projet'!$E$10+1,1))</f>
        <v>427.83834708696861</v>
      </c>
      <c r="AO8" s="59">
        <f t="shared" si="36"/>
        <v>545.63950537101903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5.75</v>
      </c>
      <c r="BD8" s="12">
        <f>IF('Données projet'!$A$88&gt;35,BD7+BC8-BL7,IF(A8&lt;'Données projet'!$A$88,$BA$205^A8,IF(A8='Données projet'!$A$88,'Données projet'!$B$88,BD7+BC8-BL7)))</f>
        <v>3.2747221706220535</v>
      </c>
      <c r="BE8" s="13">
        <f>BD8*VLOOKUP('Données projet'!$B$11,Paramètres!$A$1:$I$89,3,0)*VLOOKUP('Données projet'!$B$11,Paramètres!$A$1:$I$89,5,0)</f>
        <v>1.5325699758511209</v>
      </c>
      <c r="BF8" s="13">
        <f t="shared" si="37"/>
        <v>0.67203122680395833</v>
      </c>
      <c r="BG8" s="20">
        <f t="shared" si="7"/>
        <v>3.839680427957596</v>
      </c>
      <c r="BH8" s="59">
        <f t="shared" si="8"/>
        <v>215.38555296592384</v>
      </c>
      <c r="BI8" s="59">
        <f ca="1">AVERAGE(OFFSET($BH$3,0,0,'Données projet'!$E$11+1,1))-AVERAGE(OFFSET($H$3,0,0,'Données projet'!$E$11+1,1))</f>
        <v>210.62109466714364</v>
      </c>
      <c r="BJ8" s="59">
        <f t="shared" si="38"/>
        <v>193.35729443770401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5.5909090909090908</v>
      </c>
      <c r="BY8" s="12">
        <f>IF('Données projet'!$A$114&gt;35,BY7+BX8-CG7,IF(A8&lt;'Données projet'!$A$114,$BV$205^A8,IF(A8='Données projet'!$A$114,'Données projet'!$B$114,BY7+BX8-CG7)))</f>
        <v>2.9852343786852105</v>
      </c>
      <c r="BZ8" s="13">
        <f>BY8*VLOOKUP('Données projet'!$B$12,Paramètres!$A$1:$I$89,3,0)*VLOOKUP('Données projet'!$B$12,Paramètres!$A$1:$I$89,5,0)</f>
        <v>1.785170158453756</v>
      </c>
      <c r="CA8" s="13">
        <f t="shared" si="39"/>
        <v>0.7690174164926461</v>
      </c>
      <c r="CB8" s="20">
        <f t="shared" si="10"/>
        <v>4.4485433596983173</v>
      </c>
      <c r="CC8" s="59">
        <f t="shared" si="11"/>
        <v>215.99441589766454</v>
      </c>
      <c r="CD8" s="59">
        <f ca="1">AVERAGE(OFFSET($CC$3,0,0,'Données projet'!$E$12+1,1))-AVERAGE(OFFSET($H$3,0,0,'Données projet'!$E$12+1,1))</f>
        <v>368.16165268258442</v>
      </c>
      <c r="CE8" s="59">
        <f t="shared" si="40"/>
        <v>291.32219253157041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3.8333333333333335</v>
      </c>
      <c r="CT8" s="12">
        <f>IF('Données projet'!$A$140&gt;35,CT7+CS8-DB7,IF(A8&lt;'Données projet'!$A$140,$CQ$205^A8,IF(A8='Données projet'!$A$140,'Données projet'!$B$140,CT7+CS8-DB7)))</f>
        <v>4.9296463368648071</v>
      </c>
      <c r="CU8" s="17">
        <f>CT8*VLOOKUP('Données projet'!$B$13,Paramètres!$A$1:$I$89,3,0)*VLOOKUP('Données projet'!$B$13,Paramètres!$A$1:$I$89,5,0)</f>
        <v>2.9479285094451551</v>
      </c>
      <c r="CV8" s="13">
        <f t="shared" si="41"/>
        <v>1.1978908273966751</v>
      </c>
      <c r="CW8" s="20">
        <f t="shared" si="13"/>
        <v>7.2206353449995211</v>
      </c>
      <c r="CX8" s="59">
        <f t="shared" si="14"/>
        <v>218.76650788296575</v>
      </c>
      <c r="CY8" s="59">
        <f ca="1">AVERAGE(OFFSET($CX$3,0,0,'Données projet'!$E$13+1,1))-AVERAGE(OFFSET($H$3,0,0,'Données projet'!$E$13+1,1))</f>
        <v>317.12995176362455</v>
      </c>
      <c r="CZ8" s="59">
        <f t="shared" si="42"/>
        <v>328.11301015275262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6.6</v>
      </c>
      <c r="DO8" s="12">
        <f>IF('Données projet'!$A$166&gt;35,DO7+DN8-DW7,IF(A8&lt;'Données projet'!$A$166,$DL$205^A8,IF(A8='Données projet'!$A$166,'Données projet'!$B$166,DO7+DN8-DW7)))</f>
        <v>3.3895612242701949</v>
      </c>
      <c r="DP8" s="17">
        <f>DO8*VLOOKUP('Données projet'!$B$14,Paramètres!$A$1:$I$89,3,0)*VLOOKUP('Données projet'!$B$14,Paramètres!$A$1:$I$89,5,0)</f>
        <v>2.9611206855224426</v>
      </c>
      <c r="DQ8" s="13">
        <f t="shared" si="43"/>
        <v>1.2026262582604759</v>
      </c>
      <c r="DR8" s="20">
        <f t="shared" si="16"/>
        <v>7.2518592604219156</v>
      </c>
      <c r="DS8" s="59">
        <f t="shared" si="17"/>
        <v>218.79773179838816</v>
      </c>
      <c r="DT8" s="59">
        <f ca="1">AVERAGE(OFFSET($DS$3,0,0,'Données projet'!$E$14+1,1))-AVERAGE(OFFSET($H$3,0,0,'Données projet'!$E$14+1,1))</f>
        <v>325.5873213944476</v>
      </c>
      <c r="DU8" s="59">
        <f t="shared" si="44"/>
        <v>347.9042278368363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2.0833333333333335</v>
      </c>
      <c r="EJ8" s="12">
        <f>IF('Données projet'!$A$192&gt;35,EJ7+EI8-ER7,IF(A8&lt;'Données projet'!$A$192,$EG$205^A8,IF(A8='Données projet'!$A$192,'Données projet'!$B$192,EJ7+EI8-ER7)))</f>
        <v>3.8236224566586507</v>
      </c>
      <c r="EK8" s="17">
        <f>EJ8*VLOOKUP('Données projet'!$B$15,Paramètres!$A$1:$I$89,3,0)*VLOOKUP('Données projet'!$B$15,Paramètres!$A$1:$I$89,5,0)</f>
        <v>2.2865262290818733</v>
      </c>
      <c r="EL8" s="13">
        <f t="shared" si="45"/>
        <v>0.95701808370696195</v>
      </c>
      <c r="EM8" s="20">
        <f t="shared" si="19"/>
        <v>5.6491730114405536</v>
      </c>
      <c r="EN8" s="59">
        <f t="shared" si="20"/>
        <v>217.19504554940679</v>
      </c>
      <c r="EO8" s="59">
        <f ca="1">AVERAGE(OFFSET($EN$3,0,0,'Données projet'!$E$15+1,1))-AVERAGE(OFFSET($H$3,0,0,'Données projet'!$E$15+1,1))</f>
        <v>205.5480000480477</v>
      </c>
      <c r="EP8" s="59">
        <f t="shared" si="46"/>
        <v>229.86812144828366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3.05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1.0483199999999999</v>
      </c>
      <c r="D9" s="11">
        <f t="shared" si="32"/>
        <v>0.48046355421567905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11.381030253220484</v>
      </c>
      <c r="H9" s="67">
        <f t="shared" si="1"/>
        <v>214.59596469025894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15.15</v>
      </c>
      <c r="N9" s="13">
        <f>IF('Données projet'!$A$36&gt;35,N8+M9-V8,IF(A9&lt;'Données projet'!$A$36,$K$205^A9,IF(A9='Données projet'!$A$36,'Données projet'!$B$36,N8+M9-V8)))</f>
        <v>5.5517869097143953</v>
      </c>
      <c r="O9" s="13">
        <f>N9*VLOOKUP('Données projet'!$B$9,Paramètres!$A$1:$I$89,3,0)*VLOOKUP('Données projet'!$B$9,Paramètres!$A$1:$I$89,5,0)</f>
        <v>3.1034488825303472</v>
      </c>
      <c r="P9" s="13">
        <f t="shared" si="33"/>
        <v>1.2535623800234499</v>
      </c>
      <c r="Q9" s="20">
        <f t="shared" si="2"/>
        <v>7.5884612822811972</v>
      </c>
      <c r="R9" s="59">
        <f t="shared" si="0"/>
        <v>221.24531506099919</v>
      </c>
      <c r="S9" s="59">
        <f ca="1">AVERAGE(OFFSET($R$3,0,0,'Données projet'!$E$9+1,1))-AVERAGE(OFFSET($H$3,0,0,'Données projet'!$E$9+1,1))</f>
        <v>542.23071537860039</v>
      </c>
      <c r="T9" s="59">
        <f t="shared" si="34"/>
        <v>667.26143680054633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13.4</v>
      </c>
      <c r="AI9" s="13">
        <f>IF('Données projet'!$A$62&gt;35,AI8+AH9-AQ8,IF(A9&lt;'Données projet'!$A$62,$AF$205^A9,IF(A9='Données projet'!$A$62,'Données projet'!$B$62,AI8+AH9-AQ8)))</f>
        <v>4.0365538786940665</v>
      </c>
      <c r="AJ9" s="13">
        <f>AI9*VLOOKUP('Données projet'!$B$10,Paramètres!$A$1:$I$89,3,0)*VLOOKUP('Données projet'!$B$10,Paramètres!$A$1:$I$89,5,0)</f>
        <v>2.2564336181899831</v>
      </c>
      <c r="AK9" s="13">
        <f t="shared" si="35"/>
        <v>0.94588043032144931</v>
      </c>
      <c r="AL9" s="20">
        <f t="shared" si="4"/>
        <v>5.5773636344907445</v>
      </c>
      <c r="AM9" s="59">
        <f t="shared" si="5"/>
        <v>219.23421741320874</v>
      </c>
      <c r="AN9" s="59">
        <f ca="1">AVERAGE(OFFSET($AM$3,0,0,'Données projet'!$E$10+1,1))-AVERAGE(OFFSET($H$3,0,0,'Données projet'!$E$10+1,1))</f>
        <v>427.83834708696861</v>
      </c>
      <c r="AO9" s="59">
        <f t="shared" si="36"/>
        <v>545.63950537101903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5.75</v>
      </c>
      <c r="BD9" s="12">
        <f>IF('Données projet'!$A$88&gt;35,BD8+BC9-BL8,IF(A9&lt;'Données projet'!$A$88,$BA$205^A9,IF(A9='Données projet'!$A$88,'Données projet'!$B$88,BD8+BC9-BL8)))</f>
        <v>4.1515411988145692</v>
      </c>
      <c r="BE9" s="13">
        <f>BD9*VLOOKUP('Données projet'!$B$11,Paramètres!$A$1:$I$89,3,0)*VLOOKUP('Données projet'!$B$11,Paramètres!$A$1:$I$89,5,0)</f>
        <v>1.9429212810452183</v>
      </c>
      <c r="BF9" s="13">
        <f t="shared" si="37"/>
        <v>0.82876439371643607</v>
      </c>
      <c r="BG9" s="20">
        <f t="shared" si="7"/>
        <v>4.8273525502098815</v>
      </c>
      <c r="BH9" s="59">
        <f t="shared" si="8"/>
        <v>218.48420632892788</v>
      </c>
      <c r="BI9" s="59">
        <f ca="1">AVERAGE(OFFSET($BH$3,0,0,'Données projet'!$E$11+1,1))-AVERAGE(OFFSET($H$3,0,0,'Données projet'!$E$11+1,1))</f>
        <v>210.62109466714364</v>
      </c>
      <c r="BJ9" s="59">
        <f t="shared" si="38"/>
        <v>193.35729443770401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5.5909090909090908</v>
      </c>
      <c r="BY9" s="12">
        <f>IF('Données projet'!$A$114&gt;35,BY8+BX9-CG8,IF(A9&lt;'Données projet'!$A$114,$BV$205^A9,IF(A9='Données projet'!$A$114,'Données projet'!$B$114,BY8+BX9-CG8)))</f>
        <v>3.7151309075081826</v>
      </c>
      <c r="BZ9" s="13">
        <f>BY9*VLOOKUP('Données projet'!$B$12,Paramètres!$A$1:$I$89,3,0)*VLOOKUP('Données projet'!$B$12,Paramètres!$A$1:$I$89,5,0)</f>
        <v>2.2216482826898933</v>
      </c>
      <c r="CA9" s="13">
        <f t="shared" si="39"/>
        <v>0.93298436230530435</v>
      </c>
      <c r="CB9" s="20">
        <f t="shared" si="10"/>
        <v>5.4943185233666361</v>
      </c>
      <c r="CC9" s="59">
        <f t="shared" si="11"/>
        <v>219.15117230208463</v>
      </c>
      <c r="CD9" s="59">
        <f ca="1">AVERAGE(OFFSET($CC$3,0,0,'Données projet'!$E$12+1,1))-AVERAGE(OFFSET($H$3,0,0,'Données projet'!$E$12+1,1))</f>
        <v>368.16165268258442</v>
      </c>
      <c r="CE9" s="59">
        <f t="shared" si="40"/>
        <v>291.32219253157041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3.8333333333333335</v>
      </c>
      <c r="CT9" s="12">
        <f>IF('Données projet'!$A$140&gt;35,CT8+CS9-DB8,IF(A9&lt;'Données projet'!$A$140,$CQ$205^A9,IF(A9='Données projet'!$A$140,'Données projet'!$B$140,CT8+CS9-DB8)))</f>
        <v>6.7823299831252681</v>
      </c>
      <c r="CU9" s="17">
        <f>CT9*VLOOKUP('Données projet'!$B$13,Paramètres!$A$1:$I$89,3,0)*VLOOKUP('Données projet'!$B$13,Paramètres!$A$1:$I$89,5,0)</f>
        <v>4.0558333299089107</v>
      </c>
      <c r="CV9" s="13">
        <f t="shared" si="41"/>
        <v>1.5880041793453468</v>
      </c>
      <c r="CW9" s="20">
        <f t="shared" si="13"/>
        <v>9.8296836619511652</v>
      </c>
      <c r="CX9" s="59">
        <f t="shared" si="14"/>
        <v>223.48653744066917</v>
      </c>
      <c r="CY9" s="59">
        <f ca="1">AVERAGE(OFFSET($CX$3,0,0,'Données projet'!$E$13+1,1))-AVERAGE(OFFSET($H$3,0,0,'Données projet'!$E$13+1,1))</f>
        <v>317.12995176362455</v>
      </c>
      <c r="CZ9" s="59">
        <f t="shared" si="42"/>
        <v>328.11301015275262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6.6</v>
      </c>
      <c r="DO9" s="12">
        <f>IF('Données projet'!$A$166&gt;35,DO8+DN9-DW8,IF(A9&lt;'Données projet'!$A$166,$DL$205^A9,IF(A9='Données projet'!$A$166,'Données projet'!$B$166,DO8+DN9-DW8)))</f>
        <v>4.32685338439601</v>
      </c>
      <c r="DP9" s="17">
        <f>DO9*VLOOKUP('Données projet'!$B$14,Paramètres!$A$1:$I$89,3,0)*VLOOKUP('Données projet'!$B$14,Paramètres!$A$1:$I$89,5,0)</f>
        <v>3.7799391166083551</v>
      </c>
      <c r="DQ9" s="13">
        <f t="shared" si="43"/>
        <v>1.4921677118944865</v>
      </c>
      <c r="DR9" s="20">
        <f t="shared" si="16"/>
        <v>9.1822527263091143</v>
      </c>
      <c r="DS9" s="59">
        <f t="shared" si="17"/>
        <v>222.8391065050271</v>
      </c>
      <c r="DT9" s="59">
        <f ca="1">AVERAGE(OFFSET($DS$3,0,0,'Données projet'!$E$14+1,1))-AVERAGE(OFFSET($H$3,0,0,'Données projet'!$E$14+1,1))</f>
        <v>325.5873213944476</v>
      </c>
      <c r="DU9" s="59">
        <f t="shared" si="44"/>
        <v>347.9042278368363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2.0833333333333335</v>
      </c>
      <c r="EJ9" s="12">
        <f>IF('Données projet'!$A$192&gt;35,EJ8+EI9-ER8,IF(A9&lt;'Données projet'!$A$192,$EG$205^A9,IF(A9='Données projet'!$A$192,'Données projet'!$B$192,EJ8+EI9-ER8)))</f>
        <v>5.0000000000000009</v>
      </c>
      <c r="EK9" s="17">
        <f>EJ9*VLOOKUP('Données projet'!$B$15,Paramètres!$A$1:$I$89,3,0)*VLOOKUP('Données projet'!$B$15,Paramètres!$A$1:$I$89,5,0)</f>
        <v>2.9900000000000011</v>
      </c>
      <c r="EL9" s="13">
        <f t="shared" si="45"/>
        <v>1.212984152436859</v>
      </c>
      <c r="EM9" s="20">
        <f t="shared" si="19"/>
        <v>7.3201973988275313</v>
      </c>
      <c r="EN9" s="59">
        <f t="shared" si="20"/>
        <v>220.97705117754552</v>
      </c>
      <c r="EO9" s="59">
        <f ca="1">AVERAGE(OFFSET($EN$3,0,0,'Données projet'!$E$15+1,1))-AVERAGE(OFFSET($H$3,0,0,'Données projet'!$E$15+1,1))</f>
        <v>205.5480000480477</v>
      </c>
      <c r="EP9" s="59">
        <f t="shared" si="46"/>
        <v>229.86812144828366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3.05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1.2230399999999999</v>
      </c>
      <c r="D10" s="11">
        <f t="shared" si="32"/>
        <v>0.55057264897092717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11.985801069738711</v>
      </c>
      <c r="H10" s="67">
        <f t="shared" si="1"/>
        <v>215.02237536362435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15.15</v>
      </c>
      <c r="N10" s="13">
        <f>IF('Données projet'!$A$36&gt;35,N9+M10-V9,IF(A10&lt;'Données projet'!$A$36,$K$205^A10,IF(A10='Données projet'!$A$36,'Données projet'!$B$36,N9+M10-V9)))</f>
        <v>7.3876263213909033</v>
      </c>
      <c r="O10" s="13">
        <f>N10*VLOOKUP('Données projet'!$B$9,Paramètres!$A$1:$I$89,3,0)*VLOOKUP('Données projet'!$B$9,Paramètres!$A$1:$I$89,5,0)</f>
        <v>4.1296831136575154</v>
      </c>
      <c r="P10" s="13">
        <f t="shared" si="33"/>
        <v>1.6135264372417262</v>
      </c>
      <c r="Q10" s="20">
        <f t="shared" si="2"/>
        <v>10.002756634482845</v>
      </c>
      <c r="R10" s="59">
        <f t="shared" si="0"/>
        <v>225.7551736719486</v>
      </c>
      <c r="S10" s="59">
        <f ca="1">AVERAGE(OFFSET($R$3,0,0,'Données projet'!$E$9+1,1))-AVERAGE(OFFSET($H$3,0,0,'Données projet'!$E$9+1,1))</f>
        <v>542.23071537860039</v>
      </c>
      <c r="T10" s="59">
        <f t="shared" si="34"/>
        <v>667.26143680054633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13.4</v>
      </c>
      <c r="AI10" s="13">
        <f>IF('Données projet'!$A$62&gt;35,AI9+AH10-AQ9,IF(A10&lt;'Données projet'!$A$62,$AF$205^A10,IF(A10='Données projet'!$A$62,'Données projet'!$B$62,AI9+AH10-AQ9)))</f>
        <v>5.0934558490357196</v>
      </c>
      <c r="AJ10" s="13">
        <f>AI10*VLOOKUP('Données projet'!$B$10,Paramètres!$A$1:$I$89,3,0)*VLOOKUP('Données projet'!$B$10,Paramètres!$A$1:$I$89,5,0)</f>
        <v>2.8472418196109675</v>
      </c>
      <c r="AK10" s="13">
        <f t="shared" si="35"/>
        <v>1.1616663890802092</v>
      </c>
      <c r="AL10" s="20">
        <f t="shared" si="4"/>
        <v>6.9821817968037978</v>
      </c>
      <c r="AM10" s="59">
        <f t="shared" si="5"/>
        <v>222.73459883426955</v>
      </c>
      <c r="AN10" s="59">
        <f ca="1">AVERAGE(OFFSET($AM$3,0,0,'Données projet'!$E$10+1,1))-AVERAGE(OFFSET($H$3,0,0,'Données projet'!$E$10+1,1))</f>
        <v>427.83834708696861</v>
      </c>
      <c r="AO10" s="59">
        <f t="shared" si="36"/>
        <v>545.63950537101903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5.75</v>
      </c>
      <c r="BD10" s="12">
        <f>IF('Données projet'!$A$88&gt;35,BD9+BC10-BL9,IF(A10&lt;'Données projet'!$A$88,$BA$205^A10,IF(A10='Données projet'!$A$88,'Données projet'!$B$88,BD9+BC10-BL9)))</f>
        <v>5.2631317795673525</v>
      </c>
      <c r="BE10" s="13">
        <f>BD10*VLOOKUP('Données projet'!$B$11,Paramètres!$A$1:$I$89,3,0)*VLOOKUP('Données projet'!$B$11,Paramètres!$A$1:$I$89,5,0)</f>
        <v>2.4631456728375212</v>
      </c>
      <c r="BF10" s="13">
        <f t="shared" si="37"/>
        <v>1.0220513465701448</v>
      </c>
      <c r="BG10" s="20">
        <f t="shared" si="7"/>
        <v>6.0700514754683512</v>
      </c>
      <c r="BH10" s="59">
        <f t="shared" si="8"/>
        <v>221.82246851293411</v>
      </c>
      <c r="BI10" s="59">
        <f ca="1">AVERAGE(OFFSET($BH$3,0,0,'Données projet'!$E$11+1,1))-AVERAGE(OFFSET($H$3,0,0,'Données projet'!$E$11+1,1))</f>
        <v>210.62109466714364</v>
      </c>
      <c r="BJ10" s="59">
        <f t="shared" si="38"/>
        <v>193.35729443770401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5.5909090909090908</v>
      </c>
      <c r="BY10" s="12">
        <f>IF('Données projet'!$A$114&gt;35,BY9+BX10-CG9,IF(A10&lt;'Données projet'!$A$114,$BV$205^A10,IF(A10='Données projet'!$A$114,'Données projet'!$B$114,BY9+BX10-CG9)))</f>
        <v>4.6234887814743333</v>
      </c>
      <c r="BZ10" s="13">
        <f>BY10*VLOOKUP('Données projet'!$B$12,Paramètres!$A$1:$I$89,3,0)*VLOOKUP('Données projet'!$B$12,Paramètres!$A$1:$I$89,5,0)</f>
        <v>2.7648462913216516</v>
      </c>
      <c r="CA10" s="13">
        <f t="shared" si="39"/>
        <v>1.1319117118000401</v>
      </c>
      <c r="CB10" s="20">
        <f t="shared" si="10"/>
        <v>6.7868535221036126</v>
      </c>
      <c r="CC10" s="59">
        <f t="shared" si="11"/>
        <v>222.53927055956939</v>
      </c>
      <c r="CD10" s="59">
        <f ca="1">AVERAGE(OFFSET($CC$3,0,0,'Données projet'!$E$12+1,1))-AVERAGE(OFFSET($H$3,0,0,'Données projet'!$E$12+1,1))</f>
        <v>368.16165268258442</v>
      </c>
      <c r="CE10" s="59">
        <f t="shared" si="40"/>
        <v>291.32219253157041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3.8333333333333335</v>
      </c>
      <c r="CT10" s="12">
        <f>IF('Données projet'!$A$140&gt;35,CT9+CS10-DB9,IF(A10&lt;'Données projet'!$A$140,$CQ$205^A10,IF(A10='Données projet'!$A$140,'Données projet'!$B$140,CT9+CS10-DB9)))</f>
        <v>9.3312982020644135</v>
      </c>
      <c r="CU10" s="17">
        <f>CT10*VLOOKUP('Données projet'!$B$13,Paramètres!$A$1:$I$89,3,0)*VLOOKUP('Données projet'!$B$13,Paramètres!$A$1:$I$89,5,0)</f>
        <v>5.5801163248345196</v>
      </c>
      <c r="CV10" s="13">
        <f t="shared" si="41"/>
        <v>2.1051645241317321</v>
      </c>
      <c r="CW10" s="20">
        <f t="shared" si="13"/>
        <v>13.38519747861622</v>
      </c>
      <c r="CX10" s="59">
        <f t="shared" si="14"/>
        <v>229.13761451608198</v>
      </c>
      <c r="CY10" s="59">
        <f ca="1">AVERAGE(OFFSET($CX$3,0,0,'Données projet'!$E$13+1,1))-AVERAGE(OFFSET($H$3,0,0,'Données projet'!$E$13+1,1))</f>
        <v>317.12995176362455</v>
      </c>
      <c r="CZ10" s="59">
        <f t="shared" si="42"/>
        <v>328.11301015275262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6.6</v>
      </c>
      <c r="DO10" s="12">
        <f>IF('Données projet'!$A$166&gt;35,DO9+DN10-DW9,IF(A10&lt;'Données projet'!$A$166,$DL$205^A10,IF(A10='Données projet'!$A$166,'Données projet'!$B$166,DO9+DN10-DW9)))</f>
        <v>5.5233285287803451</v>
      </c>
      <c r="DP10" s="17">
        <f>DO10*VLOOKUP('Données projet'!$B$14,Paramètres!$A$1:$I$89,3,0)*VLOOKUP('Données projet'!$B$14,Paramètres!$A$1:$I$89,5,0)</f>
        <v>4.8251798027425101</v>
      </c>
      <c r="DQ10" s="13">
        <f t="shared" si="43"/>
        <v>1.8514184811173284</v>
      </c>
      <c r="DR10" s="20">
        <f t="shared" si="16"/>
        <v>11.628408677722552</v>
      </c>
      <c r="DS10" s="59">
        <f t="shared" si="17"/>
        <v>227.38082571518831</v>
      </c>
      <c r="DT10" s="59">
        <f ca="1">AVERAGE(OFFSET($DS$3,0,0,'Données projet'!$E$14+1,1))-AVERAGE(OFFSET($H$3,0,0,'Données projet'!$E$14+1,1))</f>
        <v>325.5873213944476</v>
      </c>
      <c r="DU10" s="59">
        <f t="shared" si="44"/>
        <v>347.9042278368363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2.0833333333333335</v>
      </c>
      <c r="EJ10" s="12">
        <f>IF('Données projet'!$A$192&gt;35,EJ9+EI10-ER9,IF(A10&lt;'Données projet'!$A$192,$EG$205^A10,IF(A10='Données projet'!$A$192,'Données projet'!$B$192,EJ9+EI10-ER9)))</f>
        <v>6.5383024300591543</v>
      </c>
      <c r="EK10" s="17">
        <f>EJ10*VLOOKUP('Données projet'!$B$15,Paramètres!$A$1:$I$89,3,0)*VLOOKUP('Données projet'!$B$15,Paramètres!$A$1:$I$89,5,0)</f>
        <v>3.9099048531753748</v>
      </c>
      <c r="EL10" s="13">
        <f t="shared" si="45"/>
        <v>1.5374114440594884</v>
      </c>
      <c r="EM10" s="20">
        <f t="shared" si="19"/>
        <v>9.4874092176840534</v>
      </c>
      <c r="EN10" s="59">
        <f t="shared" si="20"/>
        <v>225.23982625514981</v>
      </c>
      <c r="EO10" s="59">
        <f ca="1">AVERAGE(OFFSET($EN$3,0,0,'Données projet'!$E$15+1,1))-AVERAGE(OFFSET($H$3,0,0,'Données projet'!$E$15+1,1))</f>
        <v>205.5480000480477</v>
      </c>
      <c r="EP10" s="59">
        <f t="shared" si="46"/>
        <v>229.86812144828366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3.05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1.3977599999999999</v>
      </c>
      <c r="D11" s="11">
        <f t="shared" si="32"/>
        <v>0.61952140655771393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12.587705649882913</v>
      </c>
      <c r="H11" s="67">
        <f t="shared" si="1"/>
        <v>215.44676511642132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15.15</v>
      </c>
      <c r="N11" s="13">
        <f>IF('Données projet'!$A$36&gt;35,N10+M11-V10,IF(A11&lt;'Données projet'!$A$36,$K$205^A11,IF(A11='Données projet'!$A$36,'Données projet'!$B$36,N10+M11-V10)))</f>
        <v>9.8305326829115192</v>
      </c>
      <c r="O11" s="13">
        <f>N11*VLOOKUP('Données projet'!$B$9,Paramètres!$A$1:$I$89,3,0)*VLOOKUP('Données projet'!$B$9,Paramètres!$A$1:$I$89,5,0)</f>
        <v>5.4952677697475387</v>
      </c>
      <c r="P11" s="13">
        <f t="shared" si="33"/>
        <v>2.0768552129246873</v>
      </c>
      <c r="Q11" s="20">
        <f t="shared" si="2"/>
        <v>13.188114194820793</v>
      </c>
      <c r="R11" s="59">
        <f t="shared" si="0"/>
        <v>231.02094397654869</v>
      </c>
      <c r="S11" s="59">
        <f ca="1">AVERAGE(OFFSET($R$3,0,0,'Données projet'!$E$9+1,1))-AVERAGE(OFFSET($H$3,0,0,'Données projet'!$E$9+1,1))</f>
        <v>542.23071537860039</v>
      </c>
      <c r="T11" s="59">
        <f t="shared" si="34"/>
        <v>667.26143680054633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13.4</v>
      </c>
      <c r="AI11" s="13">
        <f>IF('Données projet'!$A$62&gt;35,AI10+AH11-AQ10,IF(A11&lt;'Données projet'!$A$62,$AF$205^A11,IF(A11='Données projet'!$A$62,'Données projet'!$B$62,AI10+AH11-AQ10)))</f>
        <v>6.4270893603108652</v>
      </c>
      <c r="AJ11" s="13">
        <f>AI11*VLOOKUP('Données projet'!$B$10,Paramètres!$A$1:$I$89,3,0)*VLOOKUP('Données projet'!$B$10,Paramètres!$A$1:$I$89,5,0)</f>
        <v>3.5927429524137739</v>
      </c>
      <c r="AK11" s="13">
        <f t="shared" si="35"/>
        <v>1.4266801133205034</v>
      </c>
      <c r="AL11" s="20">
        <f t="shared" si="4"/>
        <v>8.7421618394872009</v>
      </c>
      <c r="AM11" s="59">
        <f t="shared" si="5"/>
        <v>226.5749916212151</v>
      </c>
      <c r="AN11" s="59">
        <f ca="1">AVERAGE(OFFSET($AM$3,0,0,'Données projet'!$E$10+1,1))-AVERAGE(OFFSET($H$3,0,0,'Données projet'!$E$10+1,1))</f>
        <v>427.83834708696861</v>
      </c>
      <c r="AO11" s="59">
        <f t="shared" si="36"/>
        <v>545.63950537101903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5.75</v>
      </c>
      <c r="BD11" s="12">
        <f>IF('Données projet'!$A$88&gt;35,BD10+BC11-BL10,IF(A11&lt;'Données projet'!$A$88,$BA$205^A11,IF(A11='Données projet'!$A$88,'Données projet'!$B$88,BD10+BC11-BL10)))</f>
        <v>6.6723548683562202</v>
      </c>
      <c r="BE11" s="13">
        <f>BD11*VLOOKUP('Données projet'!$B$11,Paramètres!$A$1:$I$89,3,0)*VLOOKUP('Données projet'!$B$11,Paramètres!$A$1:$I$89,5,0)</f>
        <v>3.1226620783907113</v>
      </c>
      <c r="BF11" s="13">
        <f t="shared" si="37"/>
        <v>1.2604172705122936</v>
      </c>
      <c r="BG11" s="20">
        <f t="shared" si="7"/>
        <v>7.6338631993393991</v>
      </c>
      <c r="BH11" s="59">
        <f t="shared" si="8"/>
        <v>225.4666929810673</v>
      </c>
      <c r="BI11" s="59">
        <f ca="1">AVERAGE(OFFSET($BH$3,0,0,'Données projet'!$E$11+1,1))-AVERAGE(OFFSET($H$3,0,0,'Données projet'!$E$11+1,1))</f>
        <v>210.62109466714364</v>
      </c>
      <c r="BJ11" s="59">
        <f t="shared" si="38"/>
        <v>193.35729443770401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5.5909090909090908</v>
      </c>
      <c r="BY11" s="12">
        <f>IF('Données projet'!$A$114&gt;35,BY10+BX11-CG10,IF(A11&lt;'Données projet'!$A$114,$BV$205^A11,IF(A11='Données projet'!$A$114,'Données projet'!$B$114,BY10+BX11-CG10)))</f>
        <v>5.7539422013952093</v>
      </c>
      <c r="BZ11" s="13">
        <f>BY11*VLOOKUP('Données projet'!$B$12,Paramètres!$A$1:$I$89,3,0)*VLOOKUP('Données projet'!$B$12,Paramètres!$A$1:$I$89,5,0)</f>
        <v>3.4408574364343356</v>
      </c>
      <c r="CA11" s="13">
        <f t="shared" si="39"/>
        <v>1.3732535882427113</v>
      </c>
      <c r="CB11" s="20">
        <f t="shared" si="10"/>
        <v>8.3845767013125236</v>
      </c>
      <c r="CC11" s="59">
        <f t="shared" si="11"/>
        <v>226.21740648304041</v>
      </c>
      <c r="CD11" s="59">
        <f ca="1">AVERAGE(OFFSET($CC$3,0,0,'Données projet'!$E$12+1,1))-AVERAGE(OFFSET($H$3,0,0,'Données projet'!$E$12+1,1))</f>
        <v>368.16165268258442</v>
      </c>
      <c r="CE11" s="59">
        <f t="shared" si="40"/>
        <v>291.32219253157041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3.8333333333333335</v>
      </c>
      <c r="CT11" s="12">
        <f>IF('Données projet'!$A$140&gt;35,CT10+CS11-DB10,IF(A11&lt;'Données projet'!$A$140,$CQ$205^A11,IF(A11='Données projet'!$A$140,'Données projet'!$B$140,CT10+CS11-DB10)))</f>
        <v>12.838232045991907</v>
      </c>
      <c r="CU11" s="17">
        <f>CT11*VLOOKUP('Données projet'!$B$13,Paramètres!$A$1:$I$89,3,0)*VLOOKUP('Données projet'!$B$13,Paramètres!$A$1:$I$89,5,0)</f>
        <v>7.6772627635031609</v>
      </c>
      <c r="CV11" s="13">
        <f t="shared" si="41"/>
        <v>2.7907468577883434</v>
      </c>
      <c r="CW11" s="20">
        <f t="shared" si="13"/>
        <v>18.23178342374937</v>
      </c>
      <c r="CX11" s="59">
        <f t="shared" si="14"/>
        <v>236.06461320547726</v>
      </c>
      <c r="CY11" s="59">
        <f ca="1">AVERAGE(OFFSET($CX$3,0,0,'Données projet'!$E$13+1,1))-AVERAGE(OFFSET($H$3,0,0,'Données projet'!$E$13+1,1))</f>
        <v>317.12995176362455</v>
      </c>
      <c r="CZ11" s="59">
        <f t="shared" si="42"/>
        <v>328.11301015275262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6.6</v>
      </c>
      <c r="DO11" s="12">
        <f>IF('Données projet'!$A$166&gt;35,DO10+DN11-DW10,IF(A11&lt;'Données projet'!$A$166,$DL$205^A11,IF(A11='Données projet'!$A$166,'Données projet'!$B$166,DO10+DN11-DW10)))</f>
        <v>7.0506567536716718</v>
      </c>
      <c r="DP11" s="17">
        <f>DO11*VLOOKUP('Données projet'!$B$14,Paramètres!$A$1:$I$89,3,0)*VLOOKUP('Données projet'!$B$14,Paramètres!$A$1:$I$89,5,0)</f>
        <v>6.1594537400075735</v>
      </c>
      <c r="DQ11" s="13">
        <f t="shared" si="43"/>
        <v>2.2971616158822084</v>
      </c>
      <c r="DR11" s="20">
        <f t="shared" si="16"/>
        <v>14.728605078174702</v>
      </c>
      <c r="DS11" s="59">
        <f t="shared" si="17"/>
        <v>232.56143485990259</v>
      </c>
      <c r="DT11" s="59">
        <f ca="1">AVERAGE(OFFSET($DS$3,0,0,'Données projet'!$E$14+1,1))-AVERAGE(OFFSET($H$3,0,0,'Données projet'!$E$14+1,1))</f>
        <v>325.5873213944476</v>
      </c>
      <c r="DU11" s="59">
        <f t="shared" si="44"/>
        <v>347.9042278368363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2.0833333333333335</v>
      </c>
      <c r="EJ11" s="12">
        <f>IF('Données projet'!$A$192&gt;35,EJ10+EI11-ER10,IF(A11&lt;'Données projet'!$A$192,$EG$205^A11,IF(A11='Données projet'!$A$192,'Données projet'!$B$192,EJ10+EI11-ER10)))</f>
        <v>8.5498797333834879</v>
      </c>
      <c r="EK11" s="17">
        <f>EJ11*VLOOKUP('Données projet'!$B$15,Paramètres!$A$1:$I$89,3,0)*VLOOKUP('Données projet'!$B$15,Paramètres!$A$1:$I$89,5,0)</f>
        <v>5.1128280805633262</v>
      </c>
      <c r="EL11" s="13">
        <f t="shared" si="45"/>
        <v>1.9486107411845339</v>
      </c>
      <c r="EM11" s="20">
        <f t="shared" si="19"/>
        <v>12.298672614544188</v>
      </c>
      <c r="EN11" s="59">
        <f t="shared" si="20"/>
        <v>230.13150239627208</v>
      </c>
      <c r="EO11" s="59">
        <f ca="1">AVERAGE(OFFSET($EN$3,0,0,'Données projet'!$E$15+1,1))-AVERAGE(OFFSET($H$3,0,0,'Données projet'!$E$15+1,1))</f>
        <v>205.5480000480477</v>
      </c>
      <c r="EP11" s="59">
        <f t="shared" si="46"/>
        <v>229.86812144828366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3.05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1.5724799999999999</v>
      </c>
      <c r="D12" s="11">
        <f t="shared" si="32"/>
        <v>0.68747148021096449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13.187143305503575</v>
      </c>
      <c r="H12" s="67">
        <f t="shared" si="1"/>
        <v>215.86941549470075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15.15</v>
      </c>
      <c r="N12" s="13">
        <f>IF('Données projet'!$A$36&gt;35,N11+M12-V11,IF(A12&lt;'Données projet'!$A$36,$K$205^A12,IF(A12='Données projet'!$A$36,'Données projet'!$B$36,N11+M12-V11)))</f>
        <v>13.081248106712142</v>
      </c>
      <c r="O12" s="13">
        <f>N12*VLOOKUP('Données projet'!$B$9,Paramètres!$A$1:$I$89,3,0)*VLOOKUP('Données projet'!$B$9,Paramètres!$A$1:$I$89,5,0)</f>
        <v>7.3124176916520867</v>
      </c>
      <c r="P12" s="13">
        <f t="shared" si="33"/>
        <v>2.6732301844560715</v>
      </c>
      <c r="Q12" s="20">
        <f t="shared" si="2"/>
        <v>17.391670050888376</v>
      </c>
      <c r="R12" s="59">
        <f t="shared" si="0"/>
        <v>237.29002488994755</v>
      </c>
      <c r="S12" s="59">
        <f ca="1">AVERAGE(OFFSET($R$3,0,0,'Données projet'!$E$9+1,1))-AVERAGE(OFFSET($H$3,0,0,'Données projet'!$E$9+1,1))</f>
        <v>542.23071537860039</v>
      </c>
      <c r="T12" s="59">
        <f t="shared" si="34"/>
        <v>667.26143680054633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13.4</v>
      </c>
      <c r="AI12" s="13">
        <f>IF('Données projet'!$A$62&gt;35,AI11+AH12-AQ11,IF(A12&lt;'Données projet'!$A$62,$AF$205^A12,IF(A12='Données projet'!$A$62,'Données projet'!$B$62,AI11+AH12-AQ11)))</f>
        <v>8.1099117906835989</v>
      </c>
      <c r="AJ12" s="13">
        <f>AI12*VLOOKUP('Données projet'!$B$10,Paramètres!$A$1:$I$89,3,0)*VLOOKUP('Données projet'!$B$10,Paramètres!$A$1:$I$89,5,0)</f>
        <v>4.5334406909921316</v>
      </c>
      <c r="AK12" s="13">
        <f t="shared" si="35"/>
        <v>1.7521520506036317</v>
      </c>
      <c r="AL12" s="20">
        <f t="shared" si="4"/>
        <v>10.947407358279287</v>
      </c>
      <c r="AM12" s="59">
        <f t="shared" si="5"/>
        <v>230.84576219733847</v>
      </c>
      <c r="AN12" s="59">
        <f ca="1">AVERAGE(OFFSET($AM$3,0,0,'Données projet'!$E$10+1,1))-AVERAGE(OFFSET($H$3,0,0,'Données projet'!$E$10+1,1))</f>
        <v>427.83834708696861</v>
      </c>
      <c r="AO12" s="59">
        <f t="shared" si="36"/>
        <v>545.63950537101903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5.75</v>
      </c>
      <c r="BD12" s="12">
        <f>IF('Données projet'!$A$88&gt;35,BD11+BC12-BL11,IF(A12&lt;'Données projet'!$A$88,$BA$205^A12,IF(A12='Données projet'!$A$88,'Données projet'!$B$88,BD11+BC12-BL11)))</f>
        <v>8.4589026750412604</v>
      </c>
      <c r="BE12" s="13">
        <f>BD12*VLOOKUP('Données projet'!$B$11,Paramètres!$A$1:$I$89,3,0)*VLOOKUP('Données projet'!$B$11,Paramètres!$A$1:$I$89,5,0)</f>
        <v>3.9587664519193098</v>
      </c>
      <c r="BF12" s="13">
        <f t="shared" si="37"/>
        <v>1.5543756203021926</v>
      </c>
      <c r="BG12" s="20">
        <f t="shared" si="7"/>
        <v>9.6020557757857823</v>
      </c>
      <c r="BH12" s="59">
        <f t="shared" si="8"/>
        <v>229.50041061484495</v>
      </c>
      <c r="BI12" s="59">
        <f ca="1">AVERAGE(OFFSET($BH$3,0,0,'Données projet'!$E$11+1,1))-AVERAGE(OFFSET($H$3,0,0,'Données projet'!$E$11+1,1))</f>
        <v>210.62109466714364</v>
      </c>
      <c r="BJ12" s="59">
        <f t="shared" si="38"/>
        <v>193.35729443770401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5.5909090909090908</v>
      </c>
      <c r="BY12" s="12">
        <f>IF('Données projet'!$A$114&gt;35,BY11+BX12-CG11,IF(A12&lt;'Données projet'!$A$114,$BV$205^A12,IF(A12='Données projet'!$A$114,'Données projet'!$B$114,BY11+BX12-CG11)))</f>
        <v>7.1607940284521145</v>
      </c>
      <c r="BZ12" s="13">
        <f>BY12*VLOOKUP('Données projet'!$B$12,Paramètres!$A$1:$I$89,3,0)*VLOOKUP('Données projet'!$B$12,Paramètres!$A$1:$I$89,5,0)</f>
        <v>4.2821548290143649</v>
      </c>
      <c r="CA12" s="13">
        <f t="shared" si="39"/>
        <v>1.6660534544894132</v>
      </c>
      <c r="CB12" s="20">
        <f t="shared" si="10"/>
        <v>10.359796093769079</v>
      </c>
      <c r="CC12" s="59">
        <f t="shared" si="11"/>
        <v>230.25815093282827</v>
      </c>
      <c r="CD12" s="59">
        <f ca="1">AVERAGE(OFFSET($CC$3,0,0,'Données projet'!$E$12+1,1))-AVERAGE(OFFSET($H$3,0,0,'Données projet'!$E$12+1,1))</f>
        <v>368.16165268258442</v>
      </c>
      <c r="CE12" s="59">
        <f t="shared" si="40"/>
        <v>291.32219253157041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3.8333333333333335</v>
      </c>
      <c r="CT12" s="12">
        <f>IF('Données projet'!$A$140&gt;35,CT11+CS12-DB11,IF(A12&lt;'Données projet'!$A$140,$CQ$205^A12,IF(A12='Données projet'!$A$140,'Données projet'!$B$140,CT11+CS12-DB11)))</f>
        <v>17.663158812165008</v>
      </c>
      <c r="CU12" s="17">
        <f>CT12*VLOOKUP('Données projet'!$B$13,Paramètres!$A$1:$I$89,3,0)*VLOOKUP('Données projet'!$B$13,Paramètres!$A$1:$I$89,5,0)</f>
        <v>10.562568969674675</v>
      </c>
      <c r="CV12" s="13">
        <f t="shared" si="41"/>
        <v>3.6996006416494942</v>
      </c>
      <c r="CW12" s="20">
        <f t="shared" si="13"/>
        <v>24.839945406389592</v>
      </c>
      <c r="CX12" s="59">
        <f t="shared" si="14"/>
        <v>244.73830024544878</v>
      </c>
      <c r="CY12" s="59">
        <f ca="1">AVERAGE(OFFSET($CX$3,0,0,'Données projet'!$E$13+1,1))-AVERAGE(OFFSET($H$3,0,0,'Données projet'!$E$13+1,1))</f>
        <v>317.12995176362455</v>
      </c>
      <c r="CZ12" s="59">
        <f t="shared" si="42"/>
        <v>328.11301015275262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6.6</v>
      </c>
      <c r="DO12" s="12">
        <f>IF('Données projet'!$A$166&gt;35,DO11+DN12-DW11,IF(A12&lt;'Données projet'!$A$166,$DL$205^A12,IF(A12='Données projet'!$A$166,'Données projet'!$B$166,DO11+DN12-DW11)))</f>
        <v>9.0003265963745314</v>
      </c>
      <c r="DP12" s="17">
        <f>DO12*VLOOKUP('Données projet'!$B$14,Paramètres!$A$1:$I$89,3,0)*VLOOKUP('Données projet'!$B$14,Paramètres!$A$1:$I$89,5,0)</f>
        <v>7.8626853145927917</v>
      </c>
      <c r="DQ12" s="13">
        <f t="shared" si="43"/>
        <v>2.8502208135558442</v>
      </c>
      <c r="DR12" s="20">
        <f t="shared" si="16"/>
        <v>18.658311506525539</v>
      </c>
      <c r="DS12" s="59">
        <f t="shared" si="17"/>
        <v>238.55666634558472</v>
      </c>
      <c r="DT12" s="59">
        <f ca="1">AVERAGE(OFFSET($DS$3,0,0,'Données projet'!$E$14+1,1))-AVERAGE(OFFSET($H$3,0,0,'Données projet'!$E$14+1,1))</f>
        <v>325.5873213944476</v>
      </c>
      <c r="DU12" s="59">
        <f t="shared" si="44"/>
        <v>347.9042278368363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2.0833333333333335</v>
      </c>
      <c r="EJ12" s="12">
        <f>IF('Données projet'!$A$192&gt;35,EJ11+EI12-ER11,IF(A12&lt;'Données projet'!$A$192,$EG$205^A12,IF(A12='Données projet'!$A$192,'Données projet'!$B$192,EJ11+EI12-ER11)))</f>
        <v>11.180339887498953</v>
      </c>
      <c r="EK12" s="17">
        <f>EJ12*VLOOKUP('Données projet'!$B$15,Paramètres!$A$1:$I$89,3,0)*VLOOKUP('Données projet'!$B$15,Paramètres!$A$1:$I$89,5,0)</f>
        <v>6.6858432527243732</v>
      </c>
      <c r="EL12" s="13">
        <f t="shared" si="45"/>
        <v>2.4697902668355676</v>
      </c>
      <c r="EM12" s="20">
        <f t="shared" si="19"/>
        <v>15.946061713233563</v>
      </c>
      <c r="EN12" s="59">
        <f t="shared" si="20"/>
        <v>235.84441655229276</v>
      </c>
      <c r="EO12" s="59">
        <f ca="1">AVERAGE(OFFSET($EN$3,0,0,'Données projet'!$E$15+1,1))-AVERAGE(OFFSET($H$3,0,0,'Données projet'!$E$15+1,1))</f>
        <v>205.5480000480477</v>
      </c>
      <c r="EP12" s="59">
        <f t="shared" si="46"/>
        <v>229.86812144828366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3.05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1.7471999999999999</v>
      </c>
      <c r="D13" s="11">
        <f t="shared" si="32"/>
        <v>0.75454649280048769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13.784419406777346</v>
      </c>
      <c r="H13" s="67">
        <f t="shared" si="1"/>
        <v>216.29054180829417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15.15</v>
      </c>
      <c r="N13" s="13">
        <f>IF('Données projet'!$A$36&gt;35,N12+M13-V12,IF(A13&lt;'Données projet'!$A$36,$K$205^A13,IF(A13='Données projet'!$A$36,'Données projet'!$B$36,N12+M13-V12)))</f>
        <v>17.406895185529201</v>
      </c>
      <c r="O13" s="13">
        <f>N13*VLOOKUP('Données projet'!$B$9,Paramètres!$A$1:$I$89,3,0)*VLOOKUP('Données projet'!$B$9,Paramètres!$A$1:$I$89,5,0)</f>
        <v>9.7304544087108251</v>
      </c>
      <c r="P13" s="13">
        <f t="shared" si="33"/>
        <v>3.4408559511587775</v>
      </c>
      <c r="Q13" s="20">
        <f t="shared" si="2"/>
        <v>22.940032210106224</v>
      </c>
      <c r="R13" s="59">
        <f t="shared" si="0"/>
        <v>244.88928268765028</v>
      </c>
      <c r="S13" s="59">
        <f ca="1">AVERAGE(OFFSET($R$3,0,0,'Données projet'!$E$9+1,1))-AVERAGE(OFFSET($H$3,0,0,'Données projet'!$E$9+1,1))</f>
        <v>542.23071537860039</v>
      </c>
      <c r="T13" s="59">
        <f t="shared" si="34"/>
        <v>667.26143680054633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13.4</v>
      </c>
      <c r="AI13" s="13">
        <f>IF('Données projet'!$A$62&gt;35,AI12+AH13-AQ12,IF(A13&lt;'Données projet'!$A$62,$AF$205^A13,IF(A13='Données projet'!$A$62,'Données projet'!$B$62,AI12+AH13-AQ12)))</f>
        <v>10.233352232321796</v>
      </c>
      <c r="AJ13" s="13">
        <f>AI13*VLOOKUP('Données projet'!$B$10,Paramètres!$A$1:$I$89,3,0)*VLOOKUP('Données projet'!$B$10,Paramètres!$A$1:$I$89,5,0)</f>
        <v>5.7204438978678835</v>
      </c>
      <c r="AK13" s="13">
        <f t="shared" si="35"/>
        <v>2.1518746772808122</v>
      </c>
      <c r="AL13" s="20">
        <f t="shared" si="4"/>
        <v>13.710954851717311</v>
      </c>
      <c r="AM13" s="59">
        <f t="shared" si="5"/>
        <v>235.66020532926137</v>
      </c>
      <c r="AN13" s="59">
        <f ca="1">AVERAGE(OFFSET($AM$3,0,0,'Données projet'!$E$10+1,1))-AVERAGE(OFFSET($H$3,0,0,'Données projet'!$E$10+1,1))</f>
        <v>427.83834708696861</v>
      </c>
      <c r="AO13" s="59">
        <f t="shared" si="36"/>
        <v>545.63950537101903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5.75</v>
      </c>
      <c r="BD13" s="12">
        <f>IF('Données projet'!$A$88&gt;35,BD12+BC13-BL12,IF(A13&lt;'Données projet'!$A$88,$BA$205^A13,IF(A13='Données projet'!$A$88,'Données projet'!$B$88,BD12+BC13-BL12)))</f>
        <v>10.723805294763611</v>
      </c>
      <c r="BE13" s="13">
        <f>BD13*VLOOKUP('Données projet'!$B$11,Paramètres!$A$1:$I$89,3,0)*VLOOKUP('Données projet'!$B$11,Paramètres!$A$1:$I$89,5,0)</f>
        <v>5.0187408779493703</v>
      </c>
      <c r="BF13" s="13">
        <f t="shared" si="37"/>
        <v>1.9168918305981435</v>
      </c>
      <c r="BG13" s="20">
        <f t="shared" si="7"/>
        <v>12.079560300720253</v>
      </c>
      <c r="BH13" s="59">
        <f t="shared" si="8"/>
        <v>234.02881077826433</v>
      </c>
      <c r="BI13" s="59">
        <f ca="1">AVERAGE(OFFSET($BH$3,0,0,'Données projet'!$E$11+1,1))-AVERAGE(OFFSET($H$3,0,0,'Données projet'!$E$11+1,1))</f>
        <v>210.62109466714364</v>
      </c>
      <c r="BJ13" s="59">
        <f t="shared" si="38"/>
        <v>193.35729443770401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5.5909090909090908</v>
      </c>
      <c r="BY13" s="12">
        <f>IF('Données projet'!$A$114&gt;35,BY12+BX13-CG12,IF(A13&lt;'Données projet'!$A$114,$BV$205^A13,IF(A13='Données projet'!$A$114,'Données projet'!$B$114,BY12+BX13-CG12)))</f>
        <v>8.9116242956840761</v>
      </c>
      <c r="BZ13" s="13">
        <f>BY13*VLOOKUP('Données projet'!$B$12,Paramètres!$A$1:$I$89,3,0)*VLOOKUP('Données projet'!$B$12,Paramètres!$A$1:$I$89,5,0)</f>
        <v>5.3291513288190782</v>
      </c>
      <c r="CA13" s="13">
        <f t="shared" si="39"/>
        <v>2.0212829858817885</v>
      </c>
      <c r="CB13" s="20">
        <f t="shared" si="10"/>
        <v>12.802006431437341</v>
      </c>
      <c r="CC13" s="59">
        <f t="shared" si="11"/>
        <v>234.75125690898142</v>
      </c>
      <c r="CD13" s="59">
        <f ca="1">AVERAGE(OFFSET($CC$3,0,0,'Données projet'!$E$12+1,1))-AVERAGE(OFFSET($H$3,0,0,'Données projet'!$E$12+1,1))</f>
        <v>368.16165268258442</v>
      </c>
      <c r="CE13" s="59">
        <f t="shared" si="40"/>
        <v>291.32219253157041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3.8333333333333335</v>
      </c>
      <c r="CT13" s="12">
        <f>IF('Données projet'!$A$140&gt;35,CT12+CS13-DB12,IF(A13&lt;'Données projet'!$A$140,$CQ$205^A13,IF(A13='Données projet'!$A$140,'Données projet'!$B$140,CT12+CS13-DB12)))</f>
        <v>24.301413006564612</v>
      </c>
      <c r="CU13" s="17">
        <f>CT13*VLOOKUP('Données projet'!$B$13,Paramètres!$A$1:$I$89,3,0)*VLOOKUP('Données projet'!$B$13,Paramètres!$A$1:$I$89,5,0)</f>
        <v>14.53224497792564</v>
      </c>
      <c r="CV13" s="13">
        <f t="shared" si="41"/>
        <v>4.9044379892414502</v>
      </c>
      <c r="CW13" s="20">
        <f t="shared" si="13"/>
        <v>33.852222834482681</v>
      </c>
      <c r="CX13" s="59">
        <f t="shared" si="14"/>
        <v>255.80147331202676</v>
      </c>
      <c r="CY13" s="59">
        <f ca="1">AVERAGE(OFFSET($CX$3,0,0,'Données projet'!$E$13+1,1))-AVERAGE(OFFSET($H$3,0,0,'Données projet'!$E$13+1,1))</f>
        <v>317.12995176362455</v>
      </c>
      <c r="CZ13" s="59">
        <f t="shared" si="42"/>
        <v>328.11301015275262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6.6</v>
      </c>
      <c r="DO13" s="12">
        <f>IF('Données projet'!$A$166&gt;35,DO12+DN13-DW12,IF(A13&lt;'Données projet'!$A$166,$DL$205^A13,IF(A13='Données projet'!$A$166,'Données projet'!$B$166,DO12+DN13-DW12)))</f>
        <v>11.489125293076063</v>
      </c>
      <c r="DP13" s="17">
        <f>DO13*VLOOKUP('Données projet'!$B$14,Paramètres!$A$1:$I$89,3,0)*VLOOKUP('Données projet'!$B$14,Paramètres!$A$1:$I$89,5,0)</f>
        <v>10.036899856031249</v>
      </c>
      <c r="DQ13" s="13">
        <f t="shared" si="43"/>
        <v>3.5364332356333024</v>
      </c>
      <c r="DR13" s="20">
        <f t="shared" si="16"/>
        <v>23.640221801315761</v>
      </c>
      <c r="DS13" s="59">
        <f t="shared" si="17"/>
        <v>245.58947227885983</v>
      </c>
      <c r="DT13" s="59">
        <f ca="1">AVERAGE(OFFSET($DS$3,0,0,'Données projet'!$E$14+1,1))-AVERAGE(OFFSET($H$3,0,0,'Données projet'!$E$14+1,1))</f>
        <v>325.5873213944476</v>
      </c>
      <c r="DU13" s="59">
        <f t="shared" si="44"/>
        <v>347.9042278368363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2.0833333333333335</v>
      </c>
      <c r="EJ13" s="12">
        <f>IF('Données projet'!$A$192&gt;35,EJ12+EI13-ER12,IF(A13&lt;'Données projet'!$A$192,$EG$205^A13,IF(A13='Données projet'!$A$192,'Données projet'!$B$192,EJ12+EI13-ER12)))</f>
        <v>14.620088691064336</v>
      </c>
      <c r="EK13" s="17">
        <f>EJ13*VLOOKUP('Données projet'!$B$15,Paramètres!$A$1:$I$89,3,0)*VLOOKUP('Données projet'!$B$15,Paramètres!$A$1:$I$89,5,0)</f>
        <v>8.7428130372564734</v>
      </c>
      <c r="EL13" s="13">
        <f t="shared" si="45"/>
        <v>3.1303655641596633</v>
      </c>
      <c r="EM13" s="20">
        <f t="shared" si="19"/>
        <v>20.679119397466433</v>
      </c>
      <c r="EN13" s="59">
        <f t="shared" si="20"/>
        <v>242.62836987501049</v>
      </c>
      <c r="EO13" s="59">
        <f ca="1">AVERAGE(OFFSET($EN$3,0,0,'Données projet'!$E$15+1,1))-AVERAGE(OFFSET($H$3,0,0,'Données projet'!$E$15+1,1))</f>
        <v>205.5480000480477</v>
      </c>
      <c r="EP13" s="59">
        <f t="shared" si="46"/>
        <v>229.86812144828366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3.05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1.9219199999999999</v>
      </c>
      <c r="D14" s="11">
        <f t="shared" si="32"/>
        <v>0.82084391187711592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14.379774715654349</v>
      </c>
      <c r="H14" s="67">
        <f t="shared" si="1"/>
        <v>216.71031381318596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15.15</v>
      </c>
      <c r="N14" s="13">
        <f>IF('Données projet'!$A$36&gt;35,N13+M14-V13,IF(A14&lt;'Données projet'!$A$36,$K$205^A14,IF(A14='Données projet'!$A$36,'Données projet'!$B$36,N13+M14-V13)))</f>
        <v>23.162927384927961</v>
      </c>
      <c r="O14" s="13">
        <f>N14*VLOOKUP('Données projet'!$B$9,Paramètres!$A$1:$I$89,3,0)*VLOOKUP('Données projet'!$B$9,Paramètres!$A$1:$I$89,5,0)</f>
        <v>12.94807640817473</v>
      </c>
      <c r="P14" s="13">
        <f t="shared" si="33"/>
        <v>4.4289076733711168</v>
      </c>
      <c r="Q14" s="20">
        <f t="shared" si="2"/>
        <v>30.264913942025682</v>
      </c>
      <c r="R14" s="59">
        <f t="shared" si="0"/>
        <v>254.25068442691867</v>
      </c>
      <c r="S14" s="59">
        <f ca="1">AVERAGE(OFFSET($R$3,0,0,'Données projet'!$E$9+1,1))-AVERAGE(OFFSET($H$3,0,0,'Données projet'!$E$9+1,1))</f>
        <v>542.23071537860039</v>
      </c>
      <c r="T14" s="59">
        <f t="shared" si="34"/>
        <v>667.26143680054633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13.4</v>
      </c>
      <c r="AI14" s="13">
        <f>IF('Données projet'!$A$62&gt;35,AI13+AH14-AQ13,IF(A14&lt;'Données projet'!$A$62,$AF$205^A14,IF(A14='Données projet'!$A$62,'Données projet'!$B$62,AI13+AH14-AQ13)))</f>
        <v>12.912778907295403</v>
      </c>
      <c r="AJ14" s="13">
        <f>AI14*VLOOKUP('Données projet'!$B$10,Paramètres!$A$1:$I$89,3,0)*VLOOKUP('Données projet'!$B$10,Paramètres!$A$1:$I$89,5,0)</f>
        <v>7.2182434091781298</v>
      </c>
      <c r="AK14" s="13">
        <f t="shared" si="35"/>
        <v>2.6427869802321831</v>
      </c>
      <c r="AL14" s="20">
        <f t="shared" si="4"/>
        <v>17.174627928222961</v>
      </c>
      <c r="AM14" s="59">
        <f t="shared" si="5"/>
        <v>241.16039841311596</v>
      </c>
      <c r="AN14" s="59">
        <f ca="1">AVERAGE(OFFSET($AM$3,0,0,'Données projet'!$E$10+1,1))-AVERAGE(OFFSET($H$3,0,0,'Données projet'!$E$10+1,1))</f>
        <v>427.83834708696861</v>
      </c>
      <c r="AO14" s="59">
        <f t="shared" si="36"/>
        <v>545.63950537101903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5.75</v>
      </c>
      <c r="BD14" s="12">
        <f>IF('Données projet'!$A$88&gt;35,BD13+BC14-BL13,IF(A14&lt;'Données projet'!$A$88,$BA$205^A14,IF(A14='Données projet'!$A$88,'Données projet'!$B$88,BD13+BC14-BL13)))</f>
        <v>13.595144006008928</v>
      </c>
      <c r="BE14" s="13">
        <f>BD14*VLOOKUP('Données projet'!$B$11,Paramètres!$A$1:$I$89,3,0)*VLOOKUP('Données projet'!$B$11,Paramètres!$A$1:$I$89,5,0)</f>
        <v>6.3625273948121777</v>
      </c>
      <c r="BF14" s="13">
        <f t="shared" si="37"/>
        <v>2.3639551741679612</v>
      </c>
      <c r="BG14" s="20">
        <f t="shared" si="7"/>
        <v>15.198623807640407</v>
      </c>
      <c r="BH14" s="59">
        <f t="shared" si="8"/>
        <v>239.1843942925334</v>
      </c>
      <c r="BI14" s="59">
        <f ca="1">AVERAGE(OFFSET($BH$3,0,0,'Données projet'!$E$11+1,1))-AVERAGE(OFFSET($H$3,0,0,'Données projet'!$E$11+1,1))</f>
        <v>210.62109466714364</v>
      </c>
      <c r="BJ14" s="59">
        <f t="shared" si="38"/>
        <v>193.35729443770401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5.5909090909090908</v>
      </c>
      <c r="BY14" s="12">
        <f>IF('Données projet'!$A$114&gt;35,BY13+BX14-CG13,IF(A14&lt;'Données projet'!$A$114,$BV$205^A14,IF(A14='Données projet'!$A$114,'Données projet'!$B$114,BY13+BX14-CG13)))</f>
        <v>11.090536506409412</v>
      </c>
      <c r="BZ14" s="13">
        <f>BY14*VLOOKUP('Données projet'!$B$12,Paramètres!$A$1:$I$89,3,0)*VLOOKUP('Données projet'!$B$12,Paramètres!$A$1:$I$89,5,0)</f>
        <v>6.6321408308328289</v>
      </c>
      <c r="CA14" s="13">
        <f t="shared" si="39"/>
        <v>2.4522531963221348</v>
      </c>
      <c r="CB14" s="20">
        <f t="shared" si="10"/>
        <v>15.821986263961561</v>
      </c>
      <c r="CC14" s="59">
        <f t="shared" si="11"/>
        <v>239.80775674885453</v>
      </c>
      <c r="CD14" s="59">
        <f ca="1">AVERAGE(OFFSET($CC$3,0,0,'Données projet'!$E$12+1,1))-AVERAGE(OFFSET($H$3,0,0,'Données projet'!$E$12+1,1))</f>
        <v>368.16165268258442</v>
      </c>
      <c r="CE14" s="59">
        <f t="shared" si="40"/>
        <v>291.32219253157041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3.8333333333333335</v>
      </c>
      <c r="CT14" s="12">
        <f>IF('Données projet'!$A$140&gt;35,CT13+CS14-DB13,IF(A14&lt;'Données projet'!$A$140,$CQ$205^A14,IF(A14='Données projet'!$A$140,'Données projet'!$B$140,CT13+CS14-DB13)))</f>
        <v>33.434488156721827</v>
      </c>
      <c r="CU14" s="17">
        <f>CT14*VLOOKUP('Données projet'!$B$13,Paramètres!$A$1:$I$89,3,0)*VLOOKUP('Données projet'!$B$13,Paramètres!$A$1:$I$89,5,0)</f>
        <v>19.993823917719652</v>
      </c>
      <c r="CV14" s="13">
        <f t="shared" si="41"/>
        <v>6.5016509402458835</v>
      </c>
      <c r="CW14" s="20">
        <f t="shared" si="13"/>
        <v>46.146285377623315</v>
      </c>
      <c r="CX14" s="59">
        <f t="shared" si="14"/>
        <v>270.13205586251627</v>
      </c>
      <c r="CY14" s="59">
        <f ca="1">AVERAGE(OFFSET($CX$3,0,0,'Données projet'!$E$13+1,1))-AVERAGE(OFFSET($H$3,0,0,'Données projet'!$E$13+1,1))</f>
        <v>317.12995176362455</v>
      </c>
      <c r="CZ14" s="59">
        <f t="shared" si="42"/>
        <v>328.11301015275262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6.6</v>
      </c>
      <c r="DO14" s="12">
        <f>IF('Données projet'!$A$166&gt;35,DO13+DN14-DW13,IF(A14&lt;'Données projet'!$A$166,$DL$205^A14,IF(A14='Données projet'!$A$166,'Données projet'!$B$166,DO13+DN14-DW13)))</f>
        <v>14.666134454850974</v>
      </c>
      <c r="DP14" s="17">
        <f>DO14*VLOOKUP('Données projet'!$B$14,Paramètres!$A$1:$I$89,3,0)*VLOOKUP('Données projet'!$B$14,Paramètres!$A$1:$I$89,5,0)</f>
        <v>12.812335059757812</v>
      </c>
      <c r="DQ14" s="13">
        <f t="shared" si="43"/>
        <v>4.3878565375042955</v>
      </c>
      <c r="DR14" s="20">
        <f t="shared" si="16"/>
        <v>29.957000365231504</v>
      </c>
      <c r="DS14" s="59">
        <f t="shared" si="17"/>
        <v>253.94277085012448</v>
      </c>
      <c r="DT14" s="59">
        <f ca="1">AVERAGE(OFFSET($DS$3,0,0,'Données projet'!$E$14+1,1))-AVERAGE(OFFSET($H$3,0,0,'Données projet'!$E$14+1,1))</f>
        <v>325.5873213944476</v>
      </c>
      <c r="DU14" s="59">
        <f t="shared" si="44"/>
        <v>347.9042278368363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2.0833333333333335</v>
      </c>
      <c r="EJ14" s="12">
        <f>IF('Données projet'!$A$192&gt;35,EJ13+EI14-ER13,IF(A14&lt;'Données projet'!$A$192,$EG$205^A14,IF(A14='Données projet'!$A$192,'Données projet'!$B$192,EJ13+EI14-ER13)))</f>
        <v>19.118112283293257</v>
      </c>
      <c r="EK14" s="17">
        <f>EJ14*VLOOKUP('Données projet'!$B$15,Paramètres!$A$1:$I$89,3,0)*VLOOKUP('Données projet'!$B$15,Paramètres!$A$1:$I$89,5,0)</f>
        <v>11.432631145409369</v>
      </c>
      <c r="EL14" s="13">
        <f t="shared" si="45"/>
        <v>3.9676197193180758</v>
      </c>
      <c r="EM14" s="20">
        <f t="shared" si="19"/>
        <v>26.822103589400299</v>
      </c>
      <c r="EN14" s="59">
        <f t="shared" si="20"/>
        <v>250.8078740742933</v>
      </c>
      <c r="EO14" s="59">
        <f ca="1">AVERAGE(OFFSET($EN$3,0,0,'Données projet'!$E$15+1,1))-AVERAGE(OFFSET($H$3,0,0,'Données projet'!$E$15+1,1))</f>
        <v>205.5480000480477</v>
      </c>
      <c r="EP14" s="59">
        <f t="shared" si="46"/>
        <v>229.86812144828366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3.05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2.0966399999999998</v>
      </c>
      <c r="D15" s="11">
        <f t="shared" si="32"/>
        <v>0.88644246717915121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14.973403708400429</v>
      </c>
      <c r="H15" s="67">
        <f t="shared" si="1"/>
        <v>217.128868630337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15.15</v>
      </c>
      <c r="N15" s="13">
        <f>IF('Données projet'!$A$36&gt;35,N14+M15-V14,IF(A15&lt;'Données projet'!$A$36,$K$205^A15,IF(A15='Données projet'!$A$36,'Données projet'!$B$36,N14+M15-V14)))</f>
        <v>30.822337890876113</v>
      </c>
      <c r="O15" s="13">
        <f>N15*VLOOKUP('Données projet'!$B$9,Paramètres!$A$1:$I$89,3,0)*VLOOKUP('Données projet'!$B$9,Paramètres!$A$1:$I$89,5,0)</f>
        <v>17.229686880999751</v>
      </c>
      <c r="P15" s="13">
        <f t="shared" si="33"/>
        <v>5.7006813007210422</v>
      </c>
      <c r="Q15" s="20">
        <f t="shared" si="2"/>
        <v>39.937057916497047</v>
      </c>
      <c r="R15" s="59">
        <f t="shared" si="0"/>
        <v>265.94522216266409</v>
      </c>
      <c r="S15" s="59">
        <f ca="1">AVERAGE(OFFSET($R$3,0,0,'Données projet'!$E$9+1,1))-AVERAGE(OFFSET($H$3,0,0,'Données projet'!$E$9+1,1))</f>
        <v>542.23071537860039</v>
      </c>
      <c r="T15" s="59">
        <f t="shared" si="34"/>
        <v>667.26143680054633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13.4</v>
      </c>
      <c r="AI15" s="13">
        <f>IF('Données projet'!$A$62&gt;35,AI14+AH15-AQ14,IF(A15&lt;'Données projet'!$A$62,$AF$205^A15,IF(A15='Données projet'!$A$62,'Données projet'!$B$62,AI14+AH15-AQ14)))</f>
        <v>16.293767215600113</v>
      </c>
      <c r="AJ15" s="13">
        <f>AI15*VLOOKUP('Données projet'!$B$10,Paramètres!$A$1:$I$89,3,0)*VLOOKUP('Données projet'!$B$10,Paramètres!$A$1:$I$89,5,0)</f>
        <v>9.1082158735204626</v>
      </c>
      <c r="AK15" s="13">
        <f t="shared" si="35"/>
        <v>3.2456922778190744</v>
      </c>
      <c r="AL15" s="20">
        <f t="shared" si="4"/>
        <v>21.516390030249696</v>
      </c>
      <c r="AM15" s="59">
        <f t="shared" si="5"/>
        <v>247.52455427641678</v>
      </c>
      <c r="AN15" s="59">
        <f ca="1">AVERAGE(OFFSET($AM$3,0,0,'Données projet'!$E$10+1,1))-AVERAGE(OFFSET($H$3,0,0,'Données projet'!$E$10+1,1))</f>
        <v>427.83834708696861</v>
      </c>
      <c r="AO15" s="59">
        <f t="shared" si="36"/>
        <v>545.63950537101903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5.75</v>
      </c>
      <c r="BD15" s="12">
        <f>IF('Données projet'!$A$88&gt;35,BD14+BC15-BL14,IF(A15&lt;'Données projet'!$A$88,$BA$205^A15,IF(A15='Données projet'!$A$88,'Données projet'!$B$88,BD14+BC15-BL14)))</f>
        <v>17.23529432545471</v>
      </c>
      <c r="BE15" s="13">
        <f>BD15*VLOOKUP('Données projet'!$B$11,Paramètres!$A$1:$I$89,3,0)*VLOOKUP('Données projet'!$B$11,Paramètres!$A$1:$I$89,5,0)</f>
        <v>8.0661177443128054</v>
      </c>
      <c r="BF15" s="13">
        <f t="shared" si="37"/>
        <v>2.915283990610841</v>
      </c>
      <c r="BG15" s="20">
        <f t="shared" si="7"/>
        <v>19.125941354992019</v>
      </c>
      <c r="BH15" s="59">
        <f t="shared" si="8"/>
        <v>245.13410560115909</v>
      </c>
      <c r="BI15" s="59">
        <f ca="1">AVERAGE(OFFSET($BH$3,0,0,'Données projet'!$E$11+1,1))-AVERAGE(OFFSET($H$3,0,0,'Données projet'!$E$11+1,1))</f>
        <v>210.62109466714364</v>
      </c>
      <c r="BJ15" s="59">
        <f t="shared" si="38"/>
        <v>193.35729443770401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5.5909090909090908</v>
      </c>
      <c r="BY15" s="12">
        <f>IF('Données projet'!$A$114&gt;35,BY14+BX15-CG14,IF(A15&lt;'Données projet'!$A$114,$BV$205^A15,IF(A15='Données projet'!$A$114,'Données projet'!$B$114,BY14+BX15-CG14)))</f>
        <v>13.802197659922571</v>
      </c>
      <c r="BZ15" s="13">
        <f>BY15*VLOOKUP('Données projet'!$B$12,Paramètres!$A$1:$I$89,3,0)*VLOOKUP('Données projet'!$B$12,Paramètres!$A$1:$I$89,5,0)</f>
        <v>8.2537142006336985</v>
      </c>
      <c r="CA15" s="13">
        <f t="shared" si="39"/>
        <v>2.9751132230743558</v>
      </c>
      <c r="CB15" s="20">
        <f t="shared" si="10"/>
        <v>19.556874429624859</v>
      </c>
      <c r="CC15" s="59">
        <f t="shared" si="11"/>
        <v>245.56503867579193</v>
      </c>
      <c r="CD15" s="59">
        <f ca="1">AVERAGE(OFFSET($CC$3,0,0,'Données projet'!$E$12+1,1))-AVERAGE(OFFSET($H$3,0,0,'Données projet'!$E$12+1,1))</f>
        <v>368.16165268258442</v>
      </c>
      <c r="CE15" s="59">
        <f t="shared" si="40"/>
        <v>291.32219253157041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>
        <f>VLOOKUP(A15,'Données projet'!$A$139:$I$159,2,0)</f>
        <v>46</v>
      </c>
      <c r="CR15" s="12">
        <f>VLOOKUP(A15,'Données projet'!$A$139:$I$159,9,0)</f>
        <v>3.8333333333333335</v>
      </c>
      <c r="CS15" s="12">
        <f t="array" ref="CS15">INDEX(CR:CR,MIN(IF(ISNUMBER(CR15:CR211),ROW(CR15:CR211),"")))</f>
        <v>3.8333333333333335</v>
      </c>
      <c r="CT15" s="12">
        <f>IF('Données projet'!$A$140&gt;35,CT14+CS15-DB14,IF(A15&lt;'Données projet'!$A$140,$CQ$205^A15,IF(A15='Données projet'!$A$140,'Données projet'!$B$140,CT14+CS15-DB14)))</f>
        <v>46</v>
      </c>
      <c r="CU15" s="17">
        <f>CT15*VLOOKUP('Données projet'!$B$13,Paramètres!$A$1:$I$89,3,0)*VLOOKUP('Données projet'!$B$13,Paramètres!$A$1:$I$89,5,0)</f>
        <v>27.508000000000003</v>
      </c>
      <c r="CV15" s="13">
        <f t="shared" si="41"/>
        <v>8.619023227845549</v>
      </c>
      <c r="CW15" s="20">
        <f t="shared" si="13"/>
        <v>62.921232121831004</v>
      </c>
      <c r="CX15" s="59">
        <f t="shared" si="14"/>
        <v>288.92939636799809</v>
      </c>
      <c r="CY15" s="59">
        <f ca="1">AVERAGE(OFFSET($CX$3,0,0,'Données projet'!$E$13+1,1))-AVERAGE(OFFSET($H$3,0,0,'Données projet'!$E$13+1,1))</f>
        <v>317.12995176362455</v>
      </c>
      <c r="CZ15" s="59">
        <f t="shared" si="42"/>
        <v>328.11301015275262</v>
      </c>
      <c r="DA15" s="15">
        <f>IF(ISNA(VLOOKUP(A15,'Données projet'!$A$139:$I$159,3,0)),0,VLOOKUP(A15,'Données projet'!$A$139:$I$159,3,0))</f>
        <v>1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6.6</v>
      </c>
      <c r="DO15" s="12">
        <f>IF('Données projet'!$A$166&gt;35,DO14+DN15-DW14,IF(A15&lt;'Données projet'!$A$166,$DL$205^A15,IF(A15='Données projet'!$A$166,'Données projet'!$B$166,DO14+DN15-DW14)))</f>
        <v>18.721660210059202</v>
      </c>
      <c r="DP15" s="17">
        <f>DO15*VLOOKUP('Données projet'!$B$14,Paramètres!$A$1:$I$89,3,0)*VLOOKUP('Données projet'!$B$14,Paramètres!$A$1:$I$89,5,0)</f>
        <v>16.35524235950772</v>
      </c>
      <c r="DQ15" s="13">
        <f t="shared" si="43"/>
        <v>5.4442664998513175</v>
      </c>
      <c r="DR15" s="20">
        <f t="shared" si="16"/>
        <v>37.967477930050322</v>
      </c>
      <c r="DS15" s="59">
        <f t="shared" si="17"/>
        <v>263.97564217621738</v>
      </c>
      <c r="DT15" s="59">
        <f ca="1">AVERAGE(OFFSET($DS$3,0,0,'Données projet'!$E$14+1,1))-AVERAGE(OFFSET($H$3,0,0,'Données projet'!$E$14+1,1))</f>
        <v>325.5873213944476</v>
      </c>
      <c r="DU15" s="59">
        <f t="shared" si="44"/>
        <v>347.9042278368363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>
        <f>VLOOKUP(A15,'Données projet'!$A$191:$I$211,2,0)</f>
        <v>25</v>
      </c>
      <c r="EH15" s="12">
        <f>VLOOKUP(A15,'Données projet'!$A$191:$I$211,9,0)</f>
        <v>2.0833333333333335</v>
      </c>
      <c r="EI15" s="12">
        <f t="array" ref="EI15">INDEX(EH:EH,MIN(IF(ISNUMBER(EH15:EH211),ROW(EH15:EH211),"")))</f>
        <v>2.0833333333333335</v>
      </c>
      <c r="EJ15" s="12">
        <f>IF('Données projet'!$A$192&gt;35,EJ14+EI15-ER14,IF(A15&lt;'Données projet'!$A$192,$EG$205^A15,IF(A15='Données projet'!$A$192,'Données projet'!$B$192,EJ14+EI15-ER14)))</f>
        <v>25</v>
      </c>
      <c r="EK15" s="17">
        <f>EJ15*VLOOKUP('Données projet'!$B$15,Paramètres!$A$1:$I$89,3,0)*VLOOKUP('Données projet'!$B$15,Paramètres!$A$1:$I$89,5,0)</f>
        <v>14.950000000000001</v>
      </c>
      <c r="EL15" s="13">
        <f t="shared" si="45"/>
        <v>5.0288076310817473</v>
      </c>
      <c r="EM15" s="20">
        <f t="shared" si="19"/>
        <v>34.796423290800711</v>
      </c>
      <c r="EN15" s="59">
        <f t="shared" si="20"/>
        <v>260.8045875369678</v>
      </c>
      <c r="EO15" s="59">
        <f ca="1">AVERAGE(OFFSET($EN$3,0,0,'Données projet'!$E$15+1,1))-AVERAGE(OFFSET($H$3,0,0,'Données projet'!$E$15+1,1))</f>
        <v>205.5480000480477</v>
      </c>
      <c r="EP15" s="59">
        <f t="shared" si="46"/>
        <v>229.86812144828366</v>
      </c>
      <c r="EQ15" s="15">
        <f>IF(ISNA(VLOOKUP(A15,'Données projet'!$A$191:$I$211,3,0)),0,VLOOKUP(A15,'Données projet'!$A$191:$I$211,3,0))</f>
        <v>1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3.05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2.2713599999999996</v>
      </c>
      <c r="D16" s="11">
        <f t="shared" si="32"/>
        <v>0.95140701857153476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15.565466600260915</v>
      </c>
      <c r="H16" s="67">
        <f t="shared" si="1"/>
        <v>217.54631922401205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15.15</v>
      </c>
      <c r="N16" s="13">
        <f>IF('Données projet'!$A$36&gt;35,N15+M16-V15,IF(A16&lt;'Données projet'!$A$36,$K$205^A16,IF(A16='Données projet'!$A$36,'Données projet'!$B$36,N15+M16-V15)))</f>
        <v>41.014527104959527</v>
      </c>
      <c r="O16" s="13">
        <f>N16*VLOOKUP('Données projet'!$B$9,Paramètres!$A$1:$I$89,3,0)*VLOOKUP('Données projet'!$B$9,Paramètres!$A$1:$I$89,5,0)</f>
        <v>22.927120651672375</v>
      </c>
      <c r="P16" s="13">
        <f t="shared" si="33"/>
        <v>7.3376483975459479</v>
      </c>
      <c r="Q16" s="20">
        <f t="shared" si="2"/>
        <v>52.711139427388581</v>
      </c>
      <c r="R16" s="59">
        <f t="shared" si="0"/>
        <v>280.72781624754276</v>
      </c>
      <c r="S16" s="59">
        <f ca="1">AVERAGE(OFFSET($R$3,0,0,'Données projet'!$E$9+1,1))-AVERAGE(OFFSET($H$3,0,0,'Données projet'!$E$9+1,1))</f>
        <v>542.23071537860039</v>
      </c>
      <c r="T16" s="59">
        <f t="shared" si="34"/>
        <v>667.26143680054633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13.4</v>
      </c>
      <c r="AI16" s="13">
        <f>IF('Données projet'!$A$62&gt;35,AI15+AH16-AQ15,IF(A16&lt;'Données projet'!$A$62,$AF$205^A16,IF(A16='Données projet'!$A$62,'Données projet'!$B$62,AI15+AH16-AQ15)))</f>
        <v>20.560008963382117</v>
      </c>
      <c r="AJ16" s="13">
        <f>AI16*VLOOKUP('Données projet'!$B$10,Paramètres!$A$1:$I$89,3,0)*VLOOKUP('Données projet'!$B$10,Paramètres!$A$1:$I$89,5,0)</f>
        <v>11.493045010530604</v>
      </c>
      <c r="AK16" s="13">
        <f t="shared" si="35"/>
        <v>3.9861397990423186</v>
      </c>
      <c r="AL16" s="20">
        <f t="shared" si="4"/>
        <v>26.95958021000617</v>
      </c>
      <c r="AM16" s="59">
        <f t="shared" si="5"/>
        <v>254.97625703016035</v>
      </c>
      <c r="AN16" s="59">
        <f ca="1">AVERAGE(OFFSET($AM$3,0,0,'Données projet'!$E$10+1,1))-AVERAGE(OFFSET($H$3,0,0,'Données projet'!$E$10+1,1))</f>
        <v>427.83834708696861</v>
      </c>
      <c r="AO16" s="59">
        <f t="shared" si="36"/>
        <v>545.63950537101903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5.75</v>
      </c>
      <c r="BD16" s="12">
        <f>IF('Données projet'!$A$88&gt;35,BD15+BC16-BL15,IF(A16&lt;'Données projet'!$A$88,$BA$205^A16,IF(A16='Données projet'!$A$88,'Données projet'!$B$88,BD15+BC16-BL15)))</f>
        <v>21.850108417664106</v>
      </c>
      <c r="BE16" s="13">
        <f>BD16*VLOOKUP('Données projet'!$B$11,Paramètres!$A$1:$I$89,3,0)*VLOOKUP('Données projet'!$B$11,Paramètres!$A$1:$I$89,5,0)</f>
        <v>10.225850739466802</v>
      </c>
      <c r="BF16" s="13">
        <f t="shared" si="37"/>
        <v>3.5951953906669201</v>
      </c>
      <c r="BG16" s="20">
        <f t="shared" si="7"/>
        <v>24.071655343316234</v>
      </c>
      <c r="BH16" s="59">
        <f t="shared" si="8"/>
        <v>252.0883321634704</v>
      </c>
      <c r="BI16" s="59">
        <f ca="1">AVERAGE(OFFSET($BH$3,0,0,'Données projet'!$E$11+1,1))-AVERAGE(OFFSET($H$3,0,0,'Données projet'!$E$11+1,1))</f>
        <v>210.62109466714364</v>
      </c>
      <c r="BJ16" s="59">
        <f t="shared" si="38"/>
        <v>193.35729443770401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5.5909090909090908</v>
      </c>
      <c r="BY16" s="12">
        <f>IF('Données projet'!$A$114&gt;35,BY15+BX16-CG15,IF(A16&lt;'Données projet'!$A$114,$BV$205^A16,IF(A16='Données projet'!$A$114,'Données projet'!$B$114,BY15+BX16-CG15)))</f>
        <v>17.17686607257264</v>
      </c>
      <c r="BZ16" s="13">
        <f>BY16*VLOOKUP('Données projet'!$B$12,Paramètres!$A$1:$I$89,3,0)*VLOOKUP('Données projet'!$B$12,Paramètres!$A$1:$I$89,5,0)</f>
        <v>10.27176591139844</v>
      </c>
      <c r="CA16" s="13">
        <f t="shared" si="39"/>
        <v>3.609455460548272</v>
      </c>
      <c r="CB16" s="20">
        <f t="shared" si="10"/>
        <v>24.176460556140523</v>
      </c>
      <c r="CC16" s="59">
        <f t="shared" si="11"/>
        <v>252.19313737629469</v>
      </c>
      <c r="CD16" s="59">
        <f ca="1">AVERAGE(OFFSET($CC$3,0,0,'Données projet'!$E$12+1,1))-AVERAGE(OFFSET($H$3,0,0,'Données projet'!$E$12+1,1))</f>
        <v>368.16165268258442</v>
      </c>
      <c r="CE16" s="59">
        <f t="shared" si="40"/>
        <v>291.32219253157041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15.25</v>
      </c>
      <c r="CT16" s="12">
        <f>IF('Données projet'!$A$140&gt;35,CT15+CS16-DB15,IF(A16&lt;'Données projet'!$A$140,$CQ$205^A16,IF(A16='Données projet'!$A$140,'Données projet'!$B$140,CT15+CS16-DB15)))</f>
        <v>61.25</v>
      </c>
      <c r="CU16" s="17">
        <f>CT16*VLOOKUP('Données projet'!$B$13,Paramètres!$A$1:$I$89,3,0)*VLOOKUP('Données projet'!$B$13,Paramètres!$A$1:$I$89,5,0)</f>
        <v>36.627500000000005</v>
      </c>
      <c r="CV16" s="13">
        <f t="shared" si="41"/>
        <v>11.100235041832279</v>
      </c>
      <c r="CW16" s="20">
        <f t="shared" si="13"/>
        <v>83.125805197857886</v>
      </c>
      <c r="CX16" s="59">
        <f t="shared" si="14"/>
        <v>311.14248201801206</v>
      </c>
      <c r="CY16" s="59">
        <f ca="1">AVERAGE(OFFSET($CX$3,0,0,'Données projet'!$E$13+1,1))-AVERAGE(OFFSET($H$3,0,0,'Données projet'!$E$13+1,1))</f>
        <v>317.12995176362455</v>
      </c>
      <c r="CZ16" s="59">
        <f t="shared" si="42"/>
        <v>328.11301015275262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6.6</v>
      </c>
      <c r="DO16" s="12">
        <f>IF('Données projet'!$A$166&gt;35,DO15+DN16-DW15,IF(A16&lt;'Données projet'!$A$166,$DL$205^A16,IF(A16='Données projet'!$A$166,'Données projet'!$B$166,DO15+DN16-DW15)))</f>
        <v>23.89863273788427</v>
      </c>
      <c r="DP16" s="17">
        <f>DO16*VLOOKUP('Données projet'!$B$14,Paramètres!$A$1:$I$89,3,0)*VLOOKUP('Données projet'!$B$14,Paramètres!$A$1:$I$89,5,0)</f>
        <v>20.8778455598157</v>
      </c>
      <c r="DQ16" s="13">
        <f t="shared" si="43"/>
        <v>6.7550152262411558</v>
      </c>
      <c r="DR16" s="20">
        <f t="shared" si="16"/>
        <v>48.127232535715684</v>
      </c>
      <c r="DS16" s="59">
        <f t="shared" si="17"/>
        <v>276.14390935586988</v>
      </c>
      <c r="DT16" s="59">
        <f ca="1">AVERAGE(OFFSET($DS$3,0,0,'Données projet'!$E$14+1,1))-AVERAGE(OFFSET($H$3,0,0,'Données projet'!$E$14+1,1))</f>
        <v>325.5873213944476</v>
      </c>
      <c r="DU16" s="59">
        <f t="shared" si="44"/>
        <v>347.9042278368363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8.5</v>
      </c>
      <c r="EJ16" s="12">
        <f>IF('Données projet'!$A$192&gt;35,EJ15+EI16-ER15,IF(A16&lt;'Données projet'!$A$192,$EG$205^A16,IF(A16='Données projet'!$A$192,'Données projet'!$B$192,EJ15+EI16-ER15)))</f>
        <v>33.5</v>
      </c>
      <c r="EK16" s="17">
        <f>EJ16*VLOOKUP('Données projet'!$B$15,Paramètres!$A$1:$I$89,3,0)*VLOOKUP('Données projet'!$B$15,Paramètres!$A$1:$I$89,5,0)</f>
        <v>20.033000000000001</v>
      </c>
      <c r="EL16" s="13">
        <f t="shared" si="45"/>
        <v>6.5129061865703672</v>
      </c>
      <c r="EM16" s="20">
        <f t="shared" si="19"/>
        <v>46.234119941610061</v>
      </c>
      <c r="EN16" s="59">
        <f t="shared" si="20"/>
        <v>274.25079676176426</v>
      </c>
      <c r="EO16" s="59">
        <f ca="1">AVERAGE(OFFSET($EN$3,0,0,'Données projet'!$E$15+1,1))-AVERAGE(OFFSET($H$3,0,0,'Données projet'!$E$15+1,1))</f>
        <v>205.5480000480477</v>
      </c>
      <c r="EP16" s="59">
        <f t="shared" si="46"/>
        <v>229.86812144828366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3.05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2.4460799999999994</v>
      </c>
      <c r="D17" s="11">
        <f t="shared" si="32"/>
        <v>1.0157918806388055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16.156097557788485</v>
      </c>
      <c r="H17" s="67">
        <f t="shared" si="1"/>
        <v>217.96276019211257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15.15</v>
      </c>
      <c r="N17" s="13">
        <f>IF('Données projet'!$A$36&gt;35,N16+M17-V16,IF(A17&lt;'Données projet'!$A$36,$K$205^A17,IF(A17='Données projet'!$A$36,'Données projet'!$B$36,N16+M17-V16)))</f>
        <v>54.577022664507709</v>
      </c>
      <c r="O17" s="13">
        <f>N17*VLOOKUP('Données projet'!$B$9,Paramètres!$A$1:$I$89,3,0)*VLOOKUP('Données projet'!$B$9,Paramètres!$A$1:$I$89,5,0)</f>
        <v>30.50855566945981</v>
      </c>
      <c r="P17" s="13">
        <f t="shared" si="33"/>
        <v>9.4446753231405243</v>
      </c>
      <c r="Q17" s="20">
        <f t="shared" si="2"/>
        <v>69.585210645445571</v>
      </c>
      <c r="R17" s="59">
        <f t="shared" si="0"/>
        <v>299.59675965986554</v>
      </c>
      <c r="S17" s="59">
        <f ca="1">AVERAGE(OFFSET($R$3,0,0,'Données projet'!$E$9+1,1))-AVERAGE(OFFSET($H$3,0,0,'Données projet'!$E$9+1,1))</f>
        <v>542.23071537860039</v>
      </c>
      <c r="T17" s="59">
        <f t="shared" si="34"/>
        <v>667.26143680054633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13.4</v>
      </c>
      <c r="AI17" s="13">
        <f>IF('Données projet'!$A$62&gt;35,AI16+AH17-AQ16,IF(A17&lt;'Données projet'!$A$62,$AF$205^A17,IF(A17='Données projet'!$A$62,'Données projet'!$B$62,AI16+AH17-AQ16)))</f>
        <v>25.943292486076189</v>
      </c>
      <c r="AJ17" s="13">
        <f>AI17*VLOOKUP('Données projet'!$B$10,Paramètres!$A$1:$I$89,3,0)*VLOOKUP('Données projet'!$B$10,Paramètres!$A$1:$I$89,5,0)</f>
        <v>14.502300499716588</v>
      </c>
      <c r="AK17" s="13">
        <f t="shared" si="35"/>
        <v>4.8955073794567685</v>
      </c>
      <c r="AL17" s="20">
        <f t="shared" si="4"/>
        <v>33.784515389560262</v>
      </c>
      <c r="AM17" s="59">
        <f t="shared" si="5"/>
        <v>263.79606440398027</v>
      </c>
      <c r="AN17" s="59">
        <f ca="1">AVERAGE(OFFSET($AM$3,0,0,'Données projet'!$E$10+1,1))-AVERAGE(OFFSET($H$3,0,0,'Données projet'!$E$10+1,1))</f>
        <v>427.83834708696861</v>
      </c>
      <c r="AO17" s="59">
        <f t="shared" si="36"/>
        <v>545.63950537101903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5.75</v>
      </c>
      <c r="BD17" s="12">
        <f>IF('Données projet'!$A$88&gt;35,BD16+BC17-BL16,IF(A17&lt;'Données projet'!$A$88,$BA$205^A17,IF(A17='Données projet'!$A$88,'Données projet'!$B$88,BD16+BC17-BL16)))</f>
        <v>27.700556129091808</v>
      </c>
      <c r="BE17" s="13">
        <f>BD17*VLOOKUP('Données projet'!$B$11,Paramètres!$A$1:$I$89,3,0)*VLOOKUP('Données projet'!$B$11,Paramètres!$A$1:$I$89,5,0)</f>
        <v>12.963860268414967</v>
      </c>
      <c r="BF17" s="13">
        <f t="shared" si="37"/>
        <v>4.4336777956113931</v>
      </c>
      <c r="BG17" s="20">
        <f t="shared" si="7"/>
        <v>30.300712128179242</v>
      </c>
      <c r="BH17" s="59">
        <f t="shared" si="8"/>
        <v>260.31226114259925</v>
      </c>
      <c r="BI17" s="59">
        <f ca="1">AVERAGE(OFFSET($BH$3,0,0,'Données projet'!$E$11+1,1))-AVERAGE(OFFSET($H$3,0,0,'Données projet'!$E$11+1,1))</f>
        <v>210.62109466714364</v>
      </c>
      <c r="BJ17" s="59">
        <f t="shared" si="38"/>
        <v>193.35729443770401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5.5909090909090908</v>
      </c>
      <c r="BY17" s="12">
        <f>IF('Données projet'!$A$114&gt;35,BY16+BX17-CG16,IF(A17&lt;'Données projet'!$A$114,$BV$205^A17,IF(A17='Données projet'!$A$114,'Données projet'!$B$114,BY16+BX17-CG16)))</f>
        <v>21.376648512419013</v>
      </c>
      <c r="BZ17" s="13">
        <f>BY17*VLOOKUP('Données projet'!$B$12,Paramètres!$A$1:$I$89,3,0)*VLOOKUP('Données projet'!$B$12,Paramètres!$A$1:$I$89,5,0)</f>
        <v>12.783235810426572</v>
      </c>
      <c r="CA17" s="13">
        <f t="shared" si="39"/>
        <v>4.3790497183898731</v>
      </c>
      <c r="CB17" s="20">
        <f t="shared" si="10"/>
        <v>29.890980629355308</v>
      </c>
      <c r="CC17" s="59">
        <f t="shared" si="11"/>
        <v>259.90252964377527</v>
      </c>
      <c r="CD17" s="59">
        <f ca="1">AVERAGE(OFFSET($CC$3,0,0,'Données projet'!$E$12+1,1))-AVERAGE(OFFSET($H$3,0,0,'Données projet'!$E$12+1,1))</f>
        <v>368.16165268258442</v>
      </c>
      <c r="CE17" s="59">
        <f t="shared" si="40"/>
        <v>291.32219253157041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15.25</v>
      </c>
      <c r="CT17" s="12">
        <f>IF('Données projet'!$A$140&gt;35,CT16+CS17-DB16,IF(A17&lt;'Données projet'!$A$140,$CQ$205^A17,IF(A17='Données projet'!$A$140,'Données projet'!$B$140,CT16+CS17-DB16)))</f>
        <v>76.5</v>
      </c>
      <c r="CU17" s="17">
        <f>CT17*VLOOKUP('Données projet'!$B$13,Paramètres!$A$1:$I$89,3,0)*VLOOKUP('Données projet'!$B$13,Paramètres!$A$1:$I$89,5,0)</f>
        <v>45.747000000000007</v>
      </c>
      <c r="CV17" s="13">
        <f t="shared" si="41"/>
        <v>13.509786169595499</v>
      </c>
      <c r="CW17" s="20">
        <f t="shared" si="13"/>
        <v>103.20556924537884</v>
      </c>
      <c r="CX17" s="59">
        <f t="shared" si="14"/>
        <v>333.21711825979884</v>
      </c>
      <c r="CY17" s="59">
        <f ca="1">AVERAGE(OFFSET($CX$3,0,0,'Données projet'!$E$13+1,1))-AVERAGE(OFFSET($H$3,0,0,'Données projet'!$E$13+1,1))</f>
        <v>317.12995176362455</v>
      </c>
      <c r="CZ17" s="59">
        <f t="shared" si="42"/>
        <v>328.11301015275262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6.6</v>
      </c>
      <c r="DO17" s="12">
        <f>IF('Données projet'!$A$166&gt;35,DO16+DN17-DW16,IF(A17&lt;'Données projet'!$A$166,$DL$205^A17,IF(A17='Données projet'!$A$166,'Données projet'!$B$166,DO16+DN17-DW16)))</f>
        <v>30.50715803683886</v>
      </c>
      <c r="DP17" s="17">
        <f>DO17*VLOOKUP('Données projet'!$B$14,Paramètres!$A$1:$I$89,3,0)*VLOOKUP('Données projet'!$B$14,Paramètres!$A$1:$I$89,5,0)</f>
        <v>26.651053260982433</v>
      </c>
      <c r="DQ17" s="13">
        <f t="shared" si="43"/>
        <v>8.3813367159737684</v>
      </c>
      <c r="DR17" s="20">
        <f t="shared" si="16"/>
        <v>61.014745876532061</v>
      </c>
      <c r="DS17" s="59">
        <f t="shared" si="17"/>
        <v>291.02629489095204</v>
      </c>
      <c r="DT17" s="59">
        <f ca="1">AVERAGE(OFFSET($DS$3,0,0,'Données projet'!$E$14+1,1))-AVERAGE(OFFSET($H$3,0,0,'Données projet'!$E$14+1,1))</f>
        <v>325.5873213944476</v>
      </c>
      <c r="DU17" s="59">
        <f t="shared" si="44"/>
        <v>347.9042278368363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8.5</v>
      </c>
      <c r="EJ17" s="12">
        <f>IF('Données projet'!$A$192&gt;35,EJ16+EI17-ER16,IF(A17&lt;'Données projet'!$A$192,$EG$205^A17,IF(A17='Données projet'!$A$192,'Données projet'!$B$192,EJ16+EI17-ER16)))</f>
        <v>42</v>
      </c>
      <c r="EK17" s="17">
        <f>EJ17*VLOOKUP('Données projet'!$B$15,Paramètres!$A$1:$I$89,3,0)*VLOOKUP('Données projet'!$B$15,Paramètres!$A$1:$I$89,5,0)</f>
        <v>25.116</v>
      </c>
      <c r="EL17" s="13">
        <f t="shared" si="45"/>
        <v>7.9533172071367026</v>
      </c>
      <c r="EM17" s="20">
        <f t="shared" si="19"/>
        <v>57.595727469096431</v>
      </c>
      <c r="EN17" s="59">
        <f t="shared" si="20"/>
        <v>287.60727648351644</v>
      </c>
      <c r="EO17" s="59">
        <f ca="1">AVERAGE(OFFSET($EN$3,0,0,'Données projet'!$E$15+1,1))-AVERAGE(OFFSET($H$3,0,0,'Données projet'!$E$15+1,1))</f>
        <v>205.5480000480477</v>
      </c>
      <c r="EP17" s="59">
        <f t="shared" si="46"/>
        <v>229.86812144828366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3.05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2.6207999999999991</v>
      </c>
      <c r="D18" s="11">
        <f t="shared" si="32"/>
        <v>1.0796431690647792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16.745410494812646</v>
      </c>
      <c r="H18" s="67">
        <f t="shared" si="1"/>
        <v>218.3782718527878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15.15</v>
      </c>
      <c r="N18" s="13">
        <f>IF('Données projet'!$A$36&gt;35,N17+M18-V17,IF(A18&lt;'Données projet'!$A$36,$K$205^A18,IF(A18='Données projet'!$A$36,'Données projet'!$B$36,N17+M18-V17)))</f>
        <v>72.624302001570669</v>
      </c>
      <c r="O18" s="13">
        <f>N18*VLOOKUP('Données projet'!$B$9,Paramètres!$A$1:$I$89,3,0)*VLOOKUP('Données projet'!$B$9,Paramètres!$A$1:$I$89,5,0)</f>
        <v>40.596984818878006</v>
      </c>
      <c r="P18" s="13">
        <f t="shared" si="33"/>
        <v>12.156741114683665</v>
      </c>
      <c r="Q18" s="20">
        <f t="shared" si="2"/>
        <v>91.879406000953239</v>
      </c>
      <c r="R18" s="59">
        <f t="shared" si="0"/>
        <v>323.87242346001068</v>
      </c>
      <c r="S18" s="59">
        <f ca="1">AVERAGE(OFFSET($R$3,0,0,'Données projet'!$E$9+1,1))-AVERAGE(OFFSET($H$3,0,0,'Données projet'!$E$9+1,1))</f>
        <v>542.23071537860039</v>
      </c>
      <c r="T18" s="59">
        <f t="shared" si="34"/>
        <v>667.26143680054633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13.4</v>
      </c>
      <c r="AI18" s="13">
        <f>IF('Données projet'!$A$62&gt;35,AI17+AH18-AQ17,IF(A18&lt;'Données projet'!$A$62,$AF$205^A18,IF(A18='Données projet'!$A$62,'Données projet'!$B$62,AI17+AH18-AQ17)))</f>
        <v>32.736095894550616</v>
      </c>
      <c r="AJ18" s="13">
        <f>AI18*VLOOKUP('Données projet'!$B$10,Paramètres!$A$1:$I$89,3,0)*VLOOKUP('Données projet'!$B$10,Paramètres!$A$1:$I$89,5,0)</f>
        <v>18.299477605053795</v>
      </c>
      <c r="AK18" s="13">
        <f t="shared" si="35"/>
        <v>6.0123311550873311</v>
      </c>
      <c r="AL18" s="20">
        <f t="shared" si="4"/>
        <v>42.343066923912453</v>
      </c>
      <c r="AM18" s="59">
        <f t="shared" si="5"/>
        <v>274.33608438296989</v>
      </c>
      <c r="AN18" s="59">
        <f ca="1">AVERAGE(OFFSET($AM$3,0,0,'Données projet'!$E$10+1,1))-AVERAGE(OFFSET($H$3,0,0,'Données projet'!$E$10+1,1))</f>
        <v>427.83834708696861</v>
      </c>
      <c r="AO18" s="59">
        <f t="shared" si="36"/>
        <v>545.63950537101903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5.75</v>
      </c>
      <c r="BD18" s="12">
        <f>IF('Données projet'!$A$88&gt;35,BD17+BC18-BL17,IF(A18&lt;'Données projet'!$A$88,$BA$205^A18,IF(A18='Données projet'!$A$88,'Données projet'!$B$88,BD17+BC18-BL17)))</f>
        <v>35.117482952196561</v>
      </c>
      <c r="BE18" s="13">
        <f>BD18*VLOOKUP('Données projet'!$B$11,Paramètres!$A$1:$I$89,3,0)*VLOOKUP('Données projet'!$B$11,Paramètres!$A$1:$I$89,5,0)</f>
        <v>16.434982021627992</v>
      </c>
      <c r="BF18" s="13">
        <f t="shared" si="37"/>
        <v>5.4677136175486121</v>
      </c>
      <c r="BG18" s="20">
        <f t="shared" si="7"/>
        <v>38.147194904899251</v>
      </c>
      <c r="BH18" s="59">
        <f t="shared" si="8"/>
        <v>270.14021236395672</v>
      </c>
      <c r="BI18" s="59">
        <f ca="1">AVERAGE(OFFSET($BH$3,0,0,'Données projet'!$E$11+1,1))-AVERAGE(OFFSET($H$3,0,0,'Données projet'!$E$11+1,1))</f>
        <v>210.62109466714364</v>
      </c>
      <c r="BJ18" s="59">
        <f t="shared" si="38"/>
        <v>193.35729443770401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5.5909090909090908</v>
      </c>
      <c r="BY18" s="12">
        <f>IF('Données projet'!$A$114&gt;35,BY17+BX18-CG17,IF(A18&lt;'Données projet'!$A$114,$BV$205^A18,IF(A18='Données projet'!$A$114,'Données projet'!$B$114,BY17+BX18-CG17)))</f>
        <v>26.603287217402478</v>
      </c>
      <c r="BZ18" s="13">
        <f>BY18*VLOOKUP('Données projet'!$B$12,Paramètres!$A$1:$I$89,3,0)*VLOOKUP('Données projet'!$B$12,Paramètres!$A$1:$I$89,5,0)</f>
        <v>15.908765756006684</v>
      </c>
      <c r="CA18" s="13">
        <f t="shared" si="39"/>
        <v>5.312733913945455</v>
      </c>
      <c r="CB18" s="20">
        <f t="shared" si="10"/>
        <v>36.960778591833304</v>
      </c>
      <c r="CC18" s="59">
        <f t="shared" si="11"/>
        <v>268.95379605089079</v>
      </c>
      <c r="CD18" s="59">
        <f ca="1">AVERAGE(OFFSET($CC$3,0,0,'Données projet'!$E$12+1,1))-AVERAGE(OFFSET($H$3,0,0,'Données projet'!$E$12+1,1))</f>
        <v>368.16165268258442</v>
      </c>
      <c r="CE18" s="59">
        <f t="shared" si="40"/>
        <v>291.32219253157041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15.25</v>
      </c>
      <c r="CT18" s="12">
        <f>IF('Données projet'!$A$140&gt;35,CT17+CS18-DB17,IF(A18&lt;'Données projet'!$A$140,$CQ$205^A18,IF(A18='Données projet'!$A$140,'Données projet'!$B$140,CT17+CS18-DB17)))</f>
        <v>91.75</v>
      </c>
      <c r="CU18" s="17">
        <f>CT18*VLOOKUP('Données projet'!$B$13,Paramètres!$A$1:$I$89,3,0)*VLOOKUP('Données projet'!$B$13,Paramètres!$A$1:$I$89,5,0)</f>
        <v>54.866500000000002</v>
      </c>
      <c r="CV18" s="13">
        <f t="shared" si="41"/>
        <v>15.863680596172721</v>
      </c>
      <c r="CW18" s="20">
        <f t="shared" si="13"/>
        <v>123.18839787166746</v>
      </c>
      <c r="CX18" s="59">
        <f t="shared" si="14"/>
        <v>355.18141533072492</v>
      </c>
      <c r="CY18" s="59">
        <f ca="1">AVERAGE(OFFSET($CX$3,0,0,'Données projet'!$E$13+1,1))-AVERAGE(OFFSET($H$3,0,0,'Données projet'!$E$13+1,1))</f>
        <v>317.12995176362455</v>
      </c>
      <c r="CZ18" s="59">
        <f t="shared" si="42"/>
        <v>328.11301015275262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6.6</v>
      </c>
      <c r="DO18" s="12">
        <f>IF('Données projet'!$A$166&gt;35,DO17+DN18-DW17,IF(A18&lt;'Données projet'!$A$166,$DL$205^A18,IF(A18='Données projet'!$A$166,'Données projet'!$B$166,DO17+DN18-DW17)))</f>
        <v>38.943093594192561</v>
      </c>
      <c r="DP18" s="17">
        <f>DO18*VLOOKUP('Données projet'!$B$14,Paramètres!$A$1:$I$89,3,0)*VLOOKUP('Données projet'!$B$14,Paramètres!$A$1:$I$89,5,0)</f>
        <v>34.02068656388662</v>
      </c>
      <c r="DQ18" s="13">
        <f t="shared" si="43"/>
        <v>10.399207521197393</v>
      </c>
      <c r="DR18" s="20">
        <f t="shared" si="16"/>
        <v>77.364648864854644</v>
      </c>
      <c r="DS18" s="59">
        <f t="shared" si="17"/>
        <v>309.3576663239121</v>
      </c>
      <c r="DT18" s="59">
        <f ca="1">AVERAGE(OFFSET($DS$3,0,0,'Données projet'!$E$14+1,1))-AVERAGE(OFFSET($H$3,0,0,'Données projet'!$E$14+1,1))</f>
        <v>325.5873213944476</v>
      </c>
      <c r="DU18" s="59">
        <f t="shared" si="44"/>
        <v>347.9042278368363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8.5</v>
      </c>
      <c r="EJ18" s="12">
        <f>IF('Données projet'!$A$192&gt;35,EJ17+EI18-ER17,IF(A18&lt;'Données projet'!$A$192,$EG$205^A18,IF(A18='Données projet'!$A$192,'Données projet'!$B$192,EJ17+EI18-ER17)))</f>
        <v>50.5</v>
      </c>
      <c r="EK18" s="17">
        <f>EJ18*VLOOKUP('Données projet'!$B$15,Paramètres!$A$1:$I$89,3,0)*VLOOKUP('Données projet'!$B$15,Paramètres!$A$1:$I$89,5,0)</f>
        <v>30.199000000000002</v>
      </c>
      <c r="EL18" s="13">
        <f t="shared" si="45"/>
        <v>9.3599492233623032</v>
      </c>
      <c r="EM18" s="20">
        <f t="shared" si="19"/>
        <v>68.898503230689343</v>
      </c>
      <c r="EN18" s="59">
        <f t="shared" si="20"/>
        <v>300.89152068974681</v>
      </c>
      <c r="EO18" s="59">
        <f ca="1">AVERAGE(OFFSET($EN$3,0,0,'Données projet'!$E$15+1,1))-AVERAGE(OFFSET($H$3,0,0,'Données projet'!$E$15+1,1))</f>
        <v>205.5480000480477</v>
      </c>
      <c r="EP18" s="59">
        <f t="shared" si="46"/>
        <v>229.86812144828366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3.05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2.7955199999999989</v>
      </c>
      <c r="D19" s="11">
        <f t="shared" si="32"/>
        <v>1.1430005029118118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17.333503277368123</v>
      </c>
      <c r="H19" s="67">
        <f t="shared" si="1"/>
        <v>218.79292320923804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15.15</v>
      </c>
      <c r="N19" s="13">
        <f>IF('Données projet'!$A$36&gt;35,N18+M19-V18,IF(A19&lt;'Données projet'!$A$36,$K$205^A19,IF(A19='Données projet'!$A$36,'Données projet'!$B$36,N18+M19-V18)))</f>
        <v>96.639372829791554</v>
      </c>
      <c r="O19" s="13">
        <f>N19*VLOOKUP('Données projet'!$B$9,Paramètres!$A$1:$I$89,3,0)*VLOOKUP('Données projet'!$B$9,Paramètres!$A$1:$I$89,5,0)</f>
        <v>54.021409411853483</v>
      </c>
      <c r="P19" s="13">
        <f t="shared" si="33"/>
        <v>15.647584429646512</v>
      </c>
      <c r="Q19" s="20">
        <f t="shared" si="2"/>
        <v>121.34016427394583</v>
      </c>
      <c r="R19" s="59">
        <f t="shared" si="0"/>
        <v>355.30147895310205</v>
      </c>
      <c r="S19" s="59">
        <f ca="1">AVERAGE(OFFSET($R$3,0,0,'Données projet'!$E$9+1,1))-AVERAGE(OFFSET($H$3,0,0,'Données projet'!$E$9+1,1))</f>
        <v>542.23071537860039</v>
      </c>
      <c r="T19" s="59">
        <f t="shared" si="34"/>
        <v>667.26143680054633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13.4</v>
      </c>
      <c r="AI19" s="13">
        <f>IF('Données projet'!$A$62&gt;35,AI18+AH19-AQ18,IF(A19&lt;'Données projet'!$A$62,$AF$205^A19,IF(A19='Données projet'!$A$62,'Données projet'!$B$62,AI18+AH19-AQ18)))</f>
        <v>41.307477645421123</v>
      </c>
      <c r="AJ19" s="13">
        <f>AI19*VLOOKUP('Données projet'!$B$10,Paramètres!$A$1:$I$89,3,0)*VLOOKUP('Données projet'!$B$10,Paramètres!$A$1:$I$89,5,0)</f>
        <v>23.090880003790407</v>
      </c>
      <c r="AK19" s="13">
        <f t="shared" si="35"/>
        <v>7.3839386025897387</v>
      </c>
      <c r="AL19" s="20">
        <f t="shared" si="4"/>
        <v>53.076975739445423</v>
      </c>
      <c r="AM19" s="59">
        <f t="shared" si="5"/>
        <v>287.03829041860166</v>
      </c>
      <c r="AN19" s="59">
        <f ca="1">AVERAGE(OFFSET($AM$3,0,0,'Données projet'!$E$10+1,1))-AVERAGE(OFFSET($H$3,0,0,'Données projet'!$E$10+1,1))</f>
        <v>427.83834708696861</v>
      </c>
      <c r="AO19" s="59">
        <f t="shared" si="36"/>
        <v>545.63950537101903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5.75</v>
      </c>
      <c r="BD19" s="12">
        <f>IF('Données projet'!$A$88&gt;35,BD18+BC19-BL18,IF(A19&lt;'Données projet'!$A$88,$BA$205^A19,IF(A19='Données projet'!$A$88,'Données projet'!$B$88,BD18+BC19-BL18)))</f>
        <v>44.52031948927695</v>
      </c>
      <c r="BE19" s="13">
        <f>BD19*VLOOKUP('Données projet'!$B$11,Paramètres!$A$1:$I$89,3,0)*VLOOKUP('Données projet'!$B$11,Paramètres!$A$1:$I$89,5,0)</f>
        <v>20.835509520981613</v>
      </c>
      <c r="BF19" s="13">
        <f t="shared" si="37"/>
        <v>6.7429104192276883</v>
      </c>
      <c r="BG19" s="20">
        <f t="shared" si="7"/>
        <v>48.03241472919786</v>
      </c>
      <c r="BH19" s="59">
        <f t="shared" si="8"/>
        <v>281.99372940835411</v>
      </c>
      <c r="BI19" s="59">
        <f ca="1">AVERAGE(OFFSET($BH$3,0,0,'Données projet'!$E$11+1,1))-AVERAGE(OFFSET($H$3,0,0,'Données projet'!$E$11+1,1))</f>
        <v>210.62109466714364</v>
      </c>
      <c r="BJ19" s="59">
        <f t="shared" si="38"/>
        <v>193.35729443770401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5.5909090909090908</v>
      </c>
      <c r="BY19" s="12">
        <f>IF('Données projet'!$A$114&gt;35,BY18+BX19-CG18,IF(A19&lt;'Données projet'!$A$114,$BV$205^A19,IF(A19='Données projet'!$A$114,'Données projet'!$B$114,BY18+BX19-CG18)))</f>
        <v>33.107850856996748</v>
      </c>
      <c r="BZ19" s="13">
        <f>BY19*VLOOKUP('Données projet'!$B$12,Paramètres!$A$1:$I$89,3,0)*VLOOKUP('Données projet'!$B$12,Paramètres!$A$1:$I$89,5,0)</f>
        <v>19.798494812484059</v>
      </c>
      <c r="CA19" s="13">
        <f t="shared" si="39"/>
        <v>6.4454946747588586</v>
      </c>
      <c r="CB19" s="20">
        <f t="shared" si="10"/>
        <v>45.70828169028141</v>
      </c>
      <c r="CC19" s="59">
        <f t="shared" si="11"/>
        <v>279.66959636943761</v>
      </c>
      <c r="CD19" s="59">
        <f ca="1">AVERAGE(OFFSET($CC$3,0,0,'Données projet'!$E$12+1,1))-AVERAGE(OFFSET($H$3,0,0,'Données projet'!$E$12+1,1))</f>
        <v>368.16165268258442</v>
      </c>
      <c r="CE19" s="59">
        <f t="shared" si="40"/>
        <v>291.32219253157041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>
        <f>VLOOKUP(A19,'Données projet'!$A$139:$I$159,2,0)</f>
        <v>107</v>
      </c>
      <c r="CR19" s="12">
        <f>VLOOKUP(A19,'Données projet'!$A$139:$I$159,9,0)</f>
        <v>15.25</v>
      </c>
      <c r="CS19" s="12">
        <f t="array" ref="CS19">INDEX(CR:CR,MIN(IF(ISNUMBER(CR19:CR215),ROW(CR19:CR215),"")))</f>
        <v>15.25</v>
      </c>
      <c r="CT19" s="12">
        <f>IF('Données projet'!$A$140&gt;35,CT18+CS19-DB18,IF(A19&lt;'Données projet'!$A$140,$CQ$205^A19,IF(A19='Données projet'!$A$140,'Données projet'!$B$140,CT18+CS19-DB18)))</f>
        <v>107</v>
      </c>
      <c r="CU19" s="17">
        <f>CT19*VLOOKUP('Données projet'!$B$13,Paramètres!$A$1:$I$89,3,0)*VLOOKUP('Données projet'!$B$13,Paramètres!$A$1:$I$89,5,0)</f>
        <v>63.986000000000004</v>
      </c>
      <c r="CV19" s="13">
        <f t="shared" si="41"/>
        <v>18.172251427996663</v>
      </c>
      <c r="CW19" s="20">
        <f t="shared" si="13"/>
        <v>143.09228790376088</v>
      </c>
      <c r="CX19" s="59">
        <f t="shared" si="14"/>
        <v>377.05360258291711</v>
      </c>
      <c r="CY19" s="59">
        <f ca="1">AVERAGE(OFFSET($CX$3,0,0,'Données projet'!$E$13+1,1))-AVERAGE(OFFSET($H$3,0,0,'Données projet'!$E$13+1,1))</f>
        <v>317.12995176362455</v>
      </c>
      <c r="CZ19" s="59">
        <f t="shared" si="42"/>
        <v>328.11301015275262</v>
      </c>
      <c r="DA19" s="15">
        <f>IF(ISNA(VLOOKUP(A19,'Données projet'!$A$139:$I$159,3,0)),0,VLOOKUP(A19,'Données projet'!$A$139:$I$159,3,0))</f>
        <v>2</v>
      </c>
      <c r="DB19" s="15">
        <f>IF(ISNA(VLOOKUP(A19,'Données projet'!$A$139:$I$159,4,0)),0,VLOOKUP(A19,'Données projet'!$A$139:$I$159,4,0))</f>
        <v>25</v>
      </c>
      <c r="DC19" s="16">
        <f>IF(ISNA(VLOOKUP(A19,'Données projet'!$A$139:$I$159,5,0)),0%,VLOOKUP(A19,'Données projet'!$A$139:$I$159,5,0)*VLOOKUP('Données projet'!$B$13,Paramètres!$A$1:$I$89,7,0))</f>
        <v>9.0000000000000011E-2</v>
      </c>
      <c r="DD19" s="16">
        <f>IF(ISNA(VLOOKUP(A19,'Données projet'!$A$139:$I$159,6,0)),0%,VLOOKUP(A19,'Données projet'!$A$139:$I$159,6,0)*VLOOKUP('Données projet'!$B$13,Paramètres!$A$1:$I$89,7,0))</f>
        <v>9.0000000000000011E-2</v>
      </c>
      <c r="DE19" s="16">
        <f>IF(ISNA(VLOOKUP(A19,'Données projet'!$A$139:$I$159,7,0)),0%,VLOOKUP(A19,'Données projet'!$A$139:$I$159,7,0))</f>
        <v>0.6</v>
      </c>
      <c r="DF19" s="21">
        <f>EXP(-LN(2)/35)*DF18+(1-EXP(-LN(2)/35))/(LN(2)/35)*DB19*DC19*VLOOKUP('Données projet'!$B$13,Paramètres!$A$1:$I$89,3,0)*0.475*44/12</f>
        <v>1.7848924747939015</v>
      </c>
      <c r="DG19" s="21">
        <f>EXP(-LN(2)/25)*DG18+(1-EXP(-LN(2)/25))/(LN(2)/25)*Calculateur!DB19*Calculateur!DD19*VLOOKUP('Données projet'!$B$13,Paramètres!$A$1:$I$89,3,0)*0.475*44/12</f>
        <v>1.7778646730232861</v>
      </c>
      <c r="DH19" s="21">
        <f>EXP(-LN(2)/2)*DH18+(1-EXP(-LN(2)/2))/(LN(2)/2)*DB19*DE19*VLOOKUP('Données projet'!$B$13,Paramètres!$A$1:$I$89,3,0)*0.475*44/12</f>
        <v>10.1561237088124</v>
      </c>
      <c r="DI19" s="22">
        <f t="shared" si="15"/>
        <v>13.718880856629587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6.6</v>
      </c>
      <c r="DO19" s="12">
        <f>IF('Données projet'!$A$166&gt;35,DO18+DN19-DW18,IF(A19&lt;'Données projet'!$A$166,$DL$205^A19,IF(A19='Données projet'!$A$166,'Données projet'!$B$166,DO18+DN19-DW18)))</f>
        <v>49.711760658095955</v>
      </c>
      <c r="DP19" s="17">
        <f>DO19*VLOOKUP('Données projet'!$B$14,Paramètres!$A$1:$I$89,3,0)*VLOOKUP('Données projet'!$B$14,Paramètres!$A$1:$I$89,5,0)</f>
        <v>43.428194110912635</v>
      </c>
      <c r="DQ19" s="13">
        <f t="shared" si="43"/>
        <v>12.902896129065022</v>
      </c>
      <c r="DR19" s="20">
        <f t="shared" si="16"/>
        <v>98.109982167961064</v>
      </c>
      <c r="DS19" s="59">
        <f t="shared" si="17"/>
        <v>332.07129684711731</v>
      </c>
      <c r="DT19" s="59">
        <f ca="1">AVERAGE(OFFSET($DS$3,0,0,'Données projet'!$E$14+1,1))-AVERAGE(OFFSET($H$3,0,0,'Données projet'!$E$14+1,1))</f>
        <v>325.5873213944476</v>
      </c>
      <c r="DU19" s="59">
        <f t="shared" si="44"/>
        <v>347.9042278368363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>
        <f>VLOOKUP(A19,'Données projet'!$A$191:$I$211,2,0)</f>
        <v>59</v>
      </c>
      <c r="EH19" s="12">
        <f>VLOOKUP(A19,'Données projet'!$A$191:$I$211,9,0)</f>
        <v>8.5</v>
      </c>
      <c r="EI19" s="12">
        <f t="array" ref="EI19">INDEX(EH:EH,MIN(IF(ISNUMBER(EH19:EH215),ROW(EH19:EH215),"")))</f>
        <v>8.5</v>
      </c>
      <c r="EJ19" s="12">
        <f>IF('Données projet'!$A$192&gt;35,EJ18+EI19-ER18,IF(A19&lt;'Données projet'!$A$192,$EG$205^A19,IF(A19='Données projet'!$A$192,'Données projet'!$B$192,EJ18+EI19-ER18)))</f>
        <v>59</v>
      </c>
      <c r="EK19" s="17">
        <f>EJ19*VLOOKUP('Données projet'!$B$15,Paramètres!$A$1:$I$89,3,0)*VLOOKUP('Données projet'!$B$15,Paramètres!$A$1:$I$89,5,0)</f>
        <v>35.282000000000004</v>
      </c>
      <c r="EL19" s="13">
        <f t="shared" si="45"/>
        <v>10.73915395799758</v>
      </c>
      <c r="EM19" s="20">
        <f t="shared" si="19"/>
        <v>80.153509810179131</v>
      </c>
      <c r="EN19" s="59">
        <f t="shared" si="20"/>
        <v>314.11482448933538</v>
      </c>
      <c r="EO19" s="59">
        <f ca="1">AVERAGE(OFFSET($EN$3,0,0,'Données projet'!$E$15+1,1))-AVERAGE(OFFSET($H$3,0,0,'Données projet'!$E$15+1,1))</f>
        <v>205.5480000480477</v>
      </c>
      <c r="EP19" s="59">
        <f t="shared" si="46"/>
        <v>229.86812144828366</v>
      </c>
      <c r="EQ19" s="15">
        <f>IF(ISNA(VLOOKUP(A19,'Données projet'!$A$191:$I$211,3,0)),0,VLOOKUP(A19,'Données projet'!$A$191:$I$211,3,0))</f>
        <v>2</v>
      </c>
      <c r="ER19" s="15">
        <f>IF(ISNA(VLOOKUP(A19,'Données projet'!$A$191:$I$211,4,0)),0,VLOOKUP(A19,'Données projet'!$A$191:$I$211,4,0))</f>
        <v>8</v>
      </c>
      <c r="ES19" s="16">
        <f>IF(ISNA(VLOOKUP(A19,'Données projet'!$A$191:$I$211,5,0)),0%,VLOOKUP(A19,'Données projet'!$A$191:$I$211,5,0)*VLOOKUP('Données projet'!$B$15,Paramètres!$A$1:$I$89,7,0))</f>
        <v>9.0000000000000011E-2</v>
      </c>
      <c r="ET19" s="16">
        <f>IF(ISNA(VLOOKUP(A19,'Données projet'!$A$191:$I$211,6,0)),0%,VLOOKUP(A19,'Données projet'!$A$191:$I$211,6,0)*VLOOKUP('Données projet'!$B$15,Paramètres!$A$1:$I$89,7,0))</f>
        <v>9.0000000000000011E-2</v>
      </c>
      <c r="EU19" s="16">
        <f>IF(ISNA(VLOOKUP(A19,'Données projet'!$A$191:$I$211,7,0)),0%,VLOOKUP(A19,'Données projet'!$A$191:$I$211,7,0))</f>
        <v>0.6</v>
      </c>
      <c r="EV19" s="21">
        <f>EXP(-LN(2)/35)*EV18+(1-EXP(-LN(2)/35))/(LN(2)/35)*ER19*ES19*VLOOKUP('Données projet'!$B$15,Paramètres!$A$1:$I$89,3,0)*0.475*44/12</f>
        <v>0.57116559193404848</v>
      </c>
      <c r="EW19" s="21">
        <f>EXP(-LN(2)/25)*EW18+(1-EXP(-LN(2)/25))/(LN(2)/25)*Calculateur!ER19*Calculateur!ET19*VLOOKUP('Données projet'!$B$15,Paramètres!$A$1:$I$89,3,0)*0.475*44/12</f>
        <v>0.5689166953674516</v>
      </c>
      <c r="EX19" s="21">
        <f>EXP(-LN(2)/2)*EX18+(1-EXP(-LN(2)/2))/(LN(2)/2)*ER19*EU19*VLOOKUP('Données projet'!$B$15,Paramètres!$A$1:$I$89,3,0)*0.475*44/12</f>
        <v>3.2499595868199673</v>
      </c>
      <c r="EY19" s="22">
        <f t="shared" si="21"/>
        <v>4.3900418741214668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3.05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2.9702399999999987</v>
      </c>
      <c r="D20" s="11">
        <f t="shared" si="32"/>
        <v>1.2058982689498869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17.92046084680954</v>
      </c>
      <c r="H20" s="67">
        <f t="shared" si="1"/>
        <v>219.20677415175436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15.15</v>
      </c>
      <c r="N20" s="13">
        <f>IF('Données projet'!$A$36&gt;35,N19+M20-V19,IF(A20&lt;'Données projet'!$A$36,$K$205^A20,IF(A20='Données projet'!$A$36,'Données projet'!$B$36,N19+M20-V19)))</f>
        <v>128.59563704630816</v>
      </c>
      <c r="O20" s="13">
        <f>N20*VLOOKUP('Données projet'!$B$9,Paramètres!$A$1:$I$89,3,0)*VLOOKUP('Données projet'!$B$9,Paramètres!$A$1:$I$89,5,0)</f>
        <v>71.884961108886259</v>
      </c>
      <c r="P20" s="13">
        <f t="shared" si="33"/>
        <v>20.140833482681852</v>
      </c>
      <c r="Q20" s="20">
        <f t="shared" si="2"/>
        <v>160.27825891364779</v>
      </c>
      <c r="R20" s="59">
        <f t="shared" si="0"/>
        <v>396.1949280796635</v>
      </c>
      <c r="S20" s="59">
        <f ca="1">AVERAGE(OFFSET($R$3,0,0,'Données projet'!$E$9+1,1))-AVERAGE(OFFSET($H$3,0,0,'Données projet'!$E$9+1,1))</f>
        <v>542.23071537860039</v>
      </c>
      <c r="T20" s="59">
        <f t="shared" si="34"/>
        <v>667.26143680054633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13.4</v>
      </c>
      <c r="AI20" s="13">
        <f>IF('Données projet'!$A$62&gt;35,AI19+AH20-AQ19,IF(A20&lt;'Données projet'!$A$62,$AF$205^A20,IF(A20='Données projet'!$A$62,'Données projet'!$B$62,AI19+AH20-AQ19)))</f>
        <v>52.123127782962186</v>
      </c>
      <c r="AJ20" s="13">
        <f>AI20*VLOOKUP('Données projet'!$B$10,Paramètres!$A$1:$I$89,3,0)*VLOOKUP('Données projet'!$B$10,Paramètres!$A$1:$I$89,5,0)</f>
        <v>29.136828430675862</v>
      </c>
      <c r="AK20" s="13">
        <f t="shared" si="35"/>
        <v>9.0684541287584697</v>
      </c>
      <c r="AL20" s="20">
        <f t="shared" si="4"/>
        <v>66.540867124348125</v>
      </c>
      <c r="AM20" s="59">
        <f t="shared" si="5"/>
        <v>302.45753629036381</v>
      </c>
      <c r="AN20" s="59">
        <f ca="1">AVERAGE(OFFSET($AM$3,0,0,'Données projet'!$E$10+1,1))-AVERAGE(OFFSET($H$3,0,0,'Données projet'!$E$10+1,1))</f>
        <v>427.83834708696861</v>
      </c>
      <c r="AO20" s="59">
        <f t="shared" si="36"/>
        <v>545.63950537101903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5.75</v>
      </c>
      <c r="BD20" s="12">
        <f>IF('Données projet'!$A$88&gt;35,BD19+BC20-BL19,IF(A20&lt;'Données projet'!$A$88,$BA$205^A20,IF(A20='Données projet'!$A$88,'Données projet'!$B$88,BD19+BC20-BL19)))</f>
        <v>56.440800444763006</v>
      </c>
      <c r="BE20" s="13">
        <f>BD20*VLOOKUP('Données projet'!$B$11,Paramètres!$A$1:$I$89,3,0)*VLOOKUP('Données projet'!$B$11,Paramètres!$A$1:$I$89,5,0)</f>
        <v>26.414294608149088</v>
      </c>
      <c r="BF20" s="13">
        <f t="shared" si="37"/>
        <v>8.3155124979120405</v>
      </c>
      <c r="BG20" s="20">
        <f t="shared" si="7"/>
        <v>60.487747376389791</v>
      </c>
      <c r="BH20" s="59">
        <f t="shared" si="8"/>
        <v>296.4044165424055</v>
      </c>
      <c r="BI20" s="59">
        <f ca="1">AVERAGE(OFFSET($BH$3,0,0,'Données projet'!$E$11+1,1))-AVERAGE(OFFSET($H$3,0,0,'Données projet'!$E$11+1,1))</f>
        <v>210.62109466714364</v>
      </c>
      <c r="BJ20" s="59">
        <f t="shared" si="38"/>
        <v>193.35729443770401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5.5909090909090908</v>
      </c>
      <c r="BY20" s="12">
        <f>IF('Données projet'!$A$114&gt;35,BY19+BX20-CG19,IF(A20&lt;'Données projet'!$A$114,$BV$205^A20,IF(A20='Données projet'!$A$114,'Données projet'!$B$114,BY19+BX20-CG19)))</f>
        <v>41.202794955809431</v>
      </c>
      <c r="BZ20" s="13">
        <f>BY20*VLOOKUP('Données projet'!$B$12,Paramètres!$A$1:$I$89,3,0)*VLOOKUP('Données projet'!$B$12,Paramètres!$A$1:$I$89,5,0)</f>
        <v>24.639271383574041</v>
      </c>
      <c r="CA20" s="13">
        <f t="shared" si="39"/>
        <v>7.8197783429910519</v>
      </c>
      <c r="CB20" s="20">
        <f t="shared" si="10"/>
        <v>56.532844940434195</v>
      </c>
      <c r="CC20" s="59">
        <f t="shared" si="11"/>
        <v>292.4495141064499</v>
      </c>
      <c r="CD20" s="59">
        <f ca="1">AVERAGE(OFFSET($CC$3,0,0,'Données projet'!$E$12+1,1))-AVERAGE(OFFSET($H$3,0,0,'Données projet'!$E$12+1,1))</f>
        <v>368.16165268258442</v>
      </c>
      <c r="CE20" s="59">
        <f t="shared" si="40"/>
        <v>291.32219253157041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24.75</v>
      </c>
      <c r="CT20" s="12">
        <f>IF('Données projet'!$A$140&gt;35,CT19+CS20-DB19,IF(A20&lt;'Données projet'!$A$140,$CQ$205^A20,IF(A20='Données projet'!$A$140,'Données projet'!$B$140,CT19+CS20-DB19)))</f>
        <v>106.75</v>
      </c>
      <c r="CU20" s="17">
        <f>CT20*VLOOKUP('Données projet'!$B$13,Paramètres!$A$1:$I$89,3,0)*VLOOKUP('Données projet'!$B$13,Paramètres!$A$1:$I$89,5,0)</f>
        <v>63.836500000000008</v>
      </c>
      <c r="CV20" s="13">
        <f t="shared" si="41"/>
        <v>18.134729963710132</v>
      </c>
      <c r="CW20" s="20">
        <f t="shared" si="13"/>
        <v>142.76655885346182</v>
      </c>
      <c r="CX20" s="59">
        <f t="shared" si="14"/>
        <v>378.6832280194775</v>
      </c>
      <c r="CY20" s="59">
        <f ca="1">AVERAGE(OFFSET($CX$3,0,0,'Données projet'!$E$13+1,1))-AVERAGE(OFFSET($H$3,0,0,'Données projet'!$E$13+1,1))</f>
        <v>317.12995176362455</v>
      </c>
      <c r="CZ20" s="59">
        <f t="shared" si="42"/>
        <v>328.11301015275262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1.7498918220401047</v>
      </c>
      <c r="DG20" s="21">
        <f>EXP(-LN(2)/25)*DG19+(1-EXP(-LN(2)/25))/(LN(2)/25)*Calculateur!DB20*Calculateur!DD20*VLOOKUP('Données projet'!$B$13,Paramètres!$A$1:$I$89,3,0)*0.475*44/12</f>
        <v>1.7292488700456246</v>
      </c>
      <c r="DH20" s="21">
        <f>EXP(-LN(2)/2)*DH19+(1-EXP(-LN(2)/2))/(LN(2)/2)*DB20*DE20*VLOOKUP('Données projet'!$B$13,Paramètres!$A$1:$I$89,3,0)*0.475*44/12</f>
        <v>7.1814639450707176</v>
      </c>
      <c r="DI20" s="22">
        <f t="shared" si="15"/>
        <v>10.660604637156446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6.6</v>
      </c>
      <c r="DO20" s="12">
        <f>IF('Données projet'!$A$166&gt;35,DO19+DN20-DW19,IF(A20&lt;'Données projet'!$A$166,$DL$205^A20,IF(A20='Données projet'!$A$166,'Données projet'!$B$166,DO19+DN20-DW19)))</f>
        <v>63.458213501978861</v>
      </c>
      <c r="DP20" s="17">
        <f>DO20*VLOOKUP('Données projet'!$B$14,Paramètres!$A$1:$I$89,3,0)*VLOOKUP('Données projet'!$B$14,Paramètres!$A$1:$I$89,5,0)</f>
        <v>55.437095315328747</v>
      </c>
      <c r="DQ20" s="13">
        <f t="shared" si="43"/>
        <v>16.009366884744278</v>
      </c>
      <c r="DR20" s="20">
        <f t="shared" si="16"/>
        <v>124.4359216651272</v>
      </c>
      <c r="DS20" s="59">
        <f t="shared" si="17"/>
        <v>360.35259083114289</v>
      </c>
      <c r="DT20" s="59">
        <f ca="1">AVERAGE(OFFSET($DS$3,0,0,'Données projet'!$E$14+1,1))-AVERAGE(OFFSET($H$3,0,0,'Données projet'!$E$14+1,1))</f>
        <v>325.5873213944476</v>
      </c>
      <c r="DU20" s="59">
        <f t="shared" si="44"/>
        <v>347.9042278368363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10</v>
      </c>
      <c r="EJ20" s="12">
        <f>IF('Données projet'!$A$192&gt;35,EJ19+EI20-ER19,IF(A20&lt;'Données projet'!$A$192,$EG$205^A20,IF(A20='Données projet'!$A$192,'Données projet'!$B$192,EJ19+EI20-ER19)))</f>
        <v>61</v>
      </c>
      <c r="EK20" s="17">
        <f>EJ20*VLOOKUP('Données projet'!$B$15,Paramètres!$A$1:$I$89,3,0)*VLOOKUP('Données projet'!$B$15,Paramètres!$A$1:$I$89,5,0)</f>
        <v>36.478000000000002</v>
      </c>
      <c r="EL20" s="13">
        <f t="shared" si="45"/>
        <v>11.06019217991456</v>
      </c>
      <c r="EM20" s="20">
        <f t="shared" si="19"/>
        <v>82.795684713351179</v>
      </c>
      <c r="EN20" s="59">
        <f t="shared" si="20"/>
        <v>318.7123538793669</v>
      </c>
      <c r="EO20" s="59">
        <f ca="1">AVERAGE(OFFSET($EN$3,0,0,'Données projet'!$E$15+1,1))-AVERAGE(OFFSET($H$3,0,0,'Données projet'!$E$15+1,1))</f>
        <v>205.5480000480477</v>
      </c>
      <c r="EP20" s="59">
        <f t="shared" si="46"/>
        <v>229.86812144828366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0.5599653830528335</v>
      </c>
      <c r="EW20" s="21">
        <f>EXP(-LN(2)/25)*EW19+(1-EXP(-LN(2)/25))/(LN(2)/25)*Calculateur!ER20*Calculateur!ET20*VLOOKUP('Données projet'!$B$15,Paramètres!$A$1:$I$89,3,0)*0.475*44/12</f>
        <v>0.5533596384145999</v>
      </c>
      <c r="EX20" s="21">
        <f>EXP(-LN(2)/2)*EX19+(1-EXP(-LN(2)/2))/(LN(2)/2)*ER20*EU20*VLOOKUP('Données projet'!$B$15,Paramètres!$A$1:$I$89,3,0)*0.475*44/12</f>
        <v>2.2980684624226293</v>
      </c>
      <c r="EY20" s="22">
        <f t="shared" si="21"/>
        <v>3.4113934838900626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3.05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3.1449599999999984</v>
      </c>
      <c r="D21" s="11">
        <f t="shared" si="32"/>
        <v>1.2683665799132602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18.506357586873449</v>
      </c>
      <c r="H21" s="67">
        <f t="shared" si="1"/>
        <v>219.61987712668224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15.15</v>
      </c>
      <c r="N21" s="13">
        <f>IF('Données projet'!$A$36&gt;35,N20+M21-V20,IF(A21&lt;'Données projet'!$A$36,$K$205^A21,IF(A21='Données projet'!$A$36,'Données projet'!$B$36,N20+M21-V20)))</f>
        <v>171.11905202936001</v>
      </c>
      <c r="O21" s="13">
        <f>N21*VLOOKUP('Données projet'!$B$9,Paramètres!$A$1:$I$89,3,0)*VLOOKUP('Données projet'!$B$9,Paramètres!$A$1:$I$89,5,0)</f>
        <v>95.655550084412241</v>
      </c>
      <c r="P21" s="13">
        <f t="shared" si="33"/>
        <v>25.924331976030281</v>
      </c>
      <c r="Q21" s="20">
        <f t="shared" si="2"/>
        <v>211.75162792193737</v>
      </c>
      <c r="R21" s="59">
        <f t="shared" si="0"/>
        <v>449.61093336905924</v>
      </c>
      <c r="S21" s="59">
        <f ca="1">AVERAGE(OFFSET($R$3,0,0,'Données projet'!$E$9+1,1))-AVERAGE(OFFSET($H$3,0,0,'Données projet'!$E$9+1,1))</f>
        <v>542.23071537860039</v>
      </c>
      <c r="T21" s="59">
        <f t="shared" si="34"/>
        <v>667.26143680054633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13.4</v>
      </c>
      <c r="AI21" s="13">
        <f>IF('Données projet'!$A$62&gt;35,AI20+AH21-AQ20,IF(A21&lt;'Données projet'!$A$62,$AF$205^A21,IF(A21='Données projet'!$A$62,'Données projet'!$B$62,AI20+AH21-AQ20)))</f>
        <v>65.770669252668839</v>
      </c>
      <c r="AJ21" s="13">
        <f>AI21*VLOOKUP('Données projet'!$B$10,Paramètres!$A$1:$I$89,3,0)*VLOOKUP('Données projet'!$B$10,Paramètres!$A$1:$I$89,5,0)</f>
        <v>36.765804112241881</v>
      </c>
      <c r="AK21" s="13">
        <f t="shared" si="35"/>
        <v>11.137262199953007</v>
      </c>
      <c r="AL21" s="20">
        <f t="shared" si="4"/>
        <v>83.431173827072755</v>
      </c>
      <c r="AM21" s="59">
        <f t="shared" si="5"/>
        <v>321.29047927419464</v>
      </c>
      <c r="AN21" s="59">
        <f ca="1">AVERAGE(OFFSET($AM$3,0,0,'Données projet'!$E$10+1,1))-AVERAGE(OFFSET($H$3,0,0,'Données projet'!$E$10+1,1))</f>
        <v>427.83834708696861</v>
      </c>
      <c r="AO21" s="59">
        <f t="shared" si="36"/>
        <v>545.63950537101903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5.75</v>
      </c>
      <c r="BD21" s="12">
        <f>IF('Données projet'!$A$88&gt;35,BD20+BC21-BL20,IF(A21&lt;'Données projet'!$A$88,$BA$205^A21,IF(A21='Données projet'!$A$88,'Données projet'!$B$88,BD20+BC21-BL20)))</f>
        <v>71.55303446582019</v>
      </c>
      <c r="BE21" s="13">
        <f>BD21*VLOOKUP('Données projet'!$B$11,Paramètres!$A$1:$I$89,3,0)*VLOOKUP('Données projet'!$B$11,Paramètres!$A$1:$I$89,5,0)</f>
        <v>33.486820130003849</v>
      </c>
      <c r="BF21" s="13">
        <f t="shared" si="37"/>
        <v>10.254881616957807</v>
      </c>
      <c r="BG21" s="20">
        <f t="shared" si="7"/>
        <v>76.183463875958196</v>
      </c>
      <c r="BH21" s="59">
        <f t="shared" si="8"/>
        <v>314.04276932308011</v>
      </c>
      <c r="BI21" s="59">
        <f ca="1">AVERAGE(OFFSET($BH$3,0,0,'Données projet'!$E$11+1,1))-AVERAGE(OFFSET($H$3,0,0,'Données projet'!$E$11+1,1))</f>
        <v>210.62109466714364</v>
      </c>
      <c r="BJ21" s="59">
        <f t="shared" si="38"/>
        <v>193.35729443770401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5.5909090909090908</v>
      </c>
      <c r="BY21" s="12">
        <f>IF('Données projet'!$A$114&gt;35,BY20+BX21-CG20,IF(A21&lt;'Données projet'!$A$114,$BV$205^A21,IF(A21='Données projet'!$A$114,'Données projet'!$B$114,BY20+BX21-CG20)))</f>
        <v>51.276971117915458</v>
      </c>
      <c r="BZ21" s="13">
        <f>BY21*VLOOKUP('Données projet'!$B$12,Paramètres!$A$1:$I$89,3,0)*VLOOKUP('Données projet'!$B$12,Paramètres!$A$1:$I$89,5,0)</f>
        <v>30.663628728513448</v>
      </c>
      <c r="CA21" s="13">
        <f t="shared" si="39"/>
        <v>9.4870815071768995</v>
      </c>
      <c r="CB21" s="20">
        <f t="shared" si="10"/>
        <v>69.929153660494023</v>
      </c>
      <c r="CC21" s="59">
        <f t="shared" si="11"/>
        <v>307.78845910761595</v>
      </c>
      <c r="CD21" s="59">
        <f ca="1">AVERAGE(OFFSET($CC$3,0,0,'Données projet'!$E$12+1,1))-AVERAGE(OFFSET($H$3,0,0,'Données projet'!$E$12+1,1))</f>
        <v>368.16165268258442</v>
      </c>
      <c r="CE21" s="59">
        <f t="shared" si="40"/>
        <v>291.32219253157041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24.75</v>
      </c>
      <c r="CT21" s="12">
        <f>IF('Données projet'!$A$140&gt;35,CT20+CS21-DB20,IF(A21&lt;'Données projet'!$A$140,$CQ$205^A21,IF(A21='Données projet'!$A$140,'Données projet'!$B$140,CT20+CS21-DB20)))</f>
        <v>131.5</v>
      </c>
      <c r="CU21" s="17">
        <f>CT21*VLOOKUP('Données projet'!$B$13,Paramètres!$A$1:$I$89,3,0)*VLOOKUP('Données projet'!$B$13,Paramètres!$A$1:$I$89,5,0)</f>
        <v>78.637</v>
      </c>
      <c r="CV21" s="13">
        <f t="shared" si="41"/>
        <v>21.803590973216835</v>
      </c>
      <c r="CW21" s="20">
        <f t="shared" si="13"/>
        <v>174.93402927835265</v>
      </c>
      <c r="CX21" s="59">
        <f t="shared" si="14"/>
        <v>412.79333472547455</v>
      </c>
      <c r="CY21" s="59">
        <f ca="1">AVERAGE(OFFSET($CX$3,0,0,'Données projet'!$E$13+1,1))-AVERAGE(OFFSET($H$3,0,0,'Données projet'!$E$13+1,1))</f>
        <v>317.12995176362455</v>
      </c>
      <c r="CZ21" s="59">
        <f t="shared" si="42"/>
        <v>328.11301015275262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1.7155775107385198</v>
      </c>
      <c r="DG21" s="21">
        <f>EXP(-LN(2)/25)*DG20+(1-EXP(-LN(2)/25))/(LN(2)/25)*Calculateur!DB21*Calculateur!DD21*VLOOKUP('Données projet'!$B$13,Paramètres!$A$1:$I$89,3,0)*0.475*44/12</f>
        <v>1.6819624687569812</v>
      </c>
      <c r="DH21" s="21">
        <f>EXP(-LN(2)/2)*DH20+(1-EXP(-LN(2)/2))/(LN(2)/2)*DB21*DE21*VLOOKUP('Données projet'!$B$13,Paramètres!$A$1:$I$89,3,0)*0.475*44/12</f>
        <v>5.0780618544062008</v>
      </c>
      <c r="DI21" s="22">
        <f t="shared" si="15"/>
        <v>8.4756018339017025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6.6</v>
      </c>
      <c r="DO21" s="12">
        <f>IF('Données projet'!$A$166&gt;35,DO20+DN21-DW20,IF(A21&lt;'Données projet'!$A$166,$DL$205^A21,IF(A21='Données projet'!$A$166,'Données projet'!$B$166,DO20+DN21-DW20)))</f>
        <v>81.005878841406769</v>
      </c>
      <c r="DP21" s="17">
        <f>DO21*VLOOKUP('Données projet'!$B$14,Paramètres!$A$1:$I$89,3,0)*VLOOKUP('Données projet'!$B$14,Paramètres!$A$1:$I$89,5,0)</f>
        <v>70.766735755852963</v>
      </c>
      <c r="DQ21" s="13">
        <f t="shared" si="43"/>
        <v>19.863744192515547</v>
      </c>
      <c r="DR21" s="20">
        <f t="shared" si="16"/>
        <v>157.84808591007513</v>
      </c>
      <c r="DS21" s="59">
        <f t="shared" si="17"/>
        <v>395.70739135719703</v>
      </c>
      <c r="DT21" s="59">
        <f ca="1">AVERAGE(OFFSET($DS$3,0,0,'Données projet'!$E$14+1,1))-AVERAGE(OFFSET($H$3,0,0,'Données projet'!$E$14+1,1))</f>
        <v>325.5873213944476</v>
      </c>
      <c r="DU21" s="59">
        <f t="shared" si="44"/>
        <v>347.9042278368363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10</v>
      </c>
      <c r="EJ21" s="12">
        <f>IF('Données projet'!$A$192&gt;35,EJ20+EI21-ER20,IF(A21&lt;'Données projet'!$A$192,$EG$205^A21,IF(A21='Données projet'!$A$192,'Données projet'!$B$192,EJ20+EI21-ER20)))</f>
        <v>71</v>
      </c>
      <c r="EK21" s="17">
        <f>EJ21*VLOOKUP('Données projet'!$B$15,Paramètres!$A$1:$I$89,3,0)*VLOOKUP('Données projet'!$B$15,Paramètres!$A$1:$I$89,5,0)</f>
        <v>42.458000000000006</v>
      </c>
      <c r="EL21" s="13">
        <f t="shared" si="45"/>
        <v>12.647861696503936</v>
      </c>
      <c r="EM21" s="20">
        <f t="shared" si="19"/>
        <v>95.976042454744359</v>
      </c>
      <c r="EN21" s="59">
        <f t="shared" si="20"/>
        <v>333.83534790186627</v>
      </c>
      <c r="EO21" s="59">
        <f ca="1">AVERAGE(OFFSET($EN$3,0,0,'Données projet'!$E$15+1,1))-AVERAGE(OFFSET($H$3,0,0,'Données projet'!$E$15+1,1))</f>
        <v>205.5480000480477</v>
      </c>
      <c r="EP21" s="59">
        <f t="shared" si="46"/>
        <v>229.86812144828366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0.54898480343632627</v>
      </c>
      <c r="EW21" s="21">
        <f>EXP(-LN(2)/25)*EW20+(1-EXP(-LN(2)/25))/(LN(2)/25)*Calculateur!ER21*Calculateur!ET21*VLOOKUP('Données projet'!$B$15,Paramètres!$A$1:$I$89,3,0)*0.475*44/12</f>
        <v>0.53822799000223398</v>
      </c>
      <c r="EX21" s="21">
        <f>EXP(-LN(2)/2)*EX20+(1-EXP(-LN(2)/2))/(LN(2)/2)*ER21*EU21*VLOOKUP('Données projet'!$B$15,Paramètres!$A$1:$I$89,3,0)*0.475*44/12</f>
        <v>1.6249797934099839</v>
      </c>
      <c r="EY21" s="22">
        <f t="shared" si="21"/>
        <v>2.7121925868485439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3.05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3.3196799999999982</v>
      </c>
      <c r="D22" s="11">
        <f t="shared" si="32"/>
        <v>1.3304320137062153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19.091259149646227</v>
      </c>
      <c r="H22" s="67">
        <f t="shared" si="1"/>
        <v>220.03227842387162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15.15</v>
      </c>
      <c r="N22" s="13">
        <f>IF('Données projet'!$A$36&gt;35,N21+M22-V21,IF(A22&lt;'Données projet'!$A$36,$K$205^A22,IF(A22='Données projet'!$A$36,'Données projet'!$B$36,N21+M22-V21)))</f>
        <v>227.70391468944055</v>
      </c>
      <c r="O22" s="13">
        <f>N22*VLOOKUP('Données projet'!$B$9,Paramètres!$A$1:$I$89,3,0)*VLOOKUP('Données projet'!$B$9,Paramètres!$A$1:$I$89,5,0)</f>
        <v>127.28648831139728</v>
      </c>
      <c r="P22" s="13">
        <f t="shared" si="33"/>
        <v>33.368578762209985</v>
      </c>
      <c r="Q22" s="20">
        <f t="shared" si="2"/>
        <v>279.80757515319931</v>
      </c>
      <c r="R22" s="59">
        <f t="shared" si="0"/>
        <v>519.59701930811036</v>
      </c>
      <c r="S22" s="59">
        <f ca="1">AVERAGE(OFFSET($R$3,0,0,'Données projet'!$E$9+1,1))-AVERAGE(OFFSET($H$3,0,0,'Données projet'!$E$9+1,1))</f>
        <v>542.23071537860039</v>
      </c>
      <c r="T22" s="59">
        <f t="shared" si="34"/>
        <v>667.26143680054633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13.4</v>
      </c>
      <c r="AI22" s="13">
        <f>IF('Données projet'!$A$62&gt;35,AI21+AH22-AQ21,IF(A22&lt;'Données projet'!$A$62,$AF$205^A22,IF(A22='Données projet'!$A$62,'Données projet'!$B$62,AI21+AH22-AQ21)))</f>
        <v>82.991583927124836</v>
      </c>
      <c r="AJ22" s="13">
        <f>AI22*VLOOKUP('Données projet'!$B$10,Paramètres!$A$1:$I$89,3,0)*VLOOKUP('Données projet'!$B$10,Paramètres!$A$1:$I$89,5,0)</f>
        <v>46.392295415262787</v>
      </c>
      <c r="AK22" s="13">
        <f t="shared" si="35"/>
        <v>13.678032391115355</v>
      </c>
      <c r="AL22" s="20">
        <f t="shared" si="4"/>
        <v>104.62248759610861</v>
      </c>
      <c r="AM22" s="59">
        <f t="shared" si="5"/>
        <v>344.41193175101967</v>
      </c>
      <c r="AN22" s="59">
        <f ca="1">AVERAGE(OFFSET($AM$3,0,0,'Données projet'!$E$10+1,1))-AVERAGE(OFFSET($H$3,0,0,'Données projet'!$E$10+1,1))</f>
        <v>427.83834708696861</v>
      </c>
      <c r="AO22" s="59">
        <f t="shared" si="36"/>
        <v>545.63950537101903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5.75</v>
      </c>
      <c r="BD22" s="12">
        <f>IF('Données projet'!$A$88&gt;35,BD21+BC22-BL21,IF(A22&lt;'Données projet'!$A$88,$BA$205^A22,IF(A22='Données projet'!$A$88,'Données projet'!$B$88,BD21+BC22-BL21)))</f>
        <v>90.711625294497551</v>
      </c>
      <c r="BE22" s="13">
        <f>BD22*VLOOKUP('Données projet'!$B$11,Paramètres!$A$1:$I$89,3,0)*VLOOKUP('Données projet'!$B$11,Paramètres!$A$1:$I$89,5,0)</f>
        <v>42.453040637824856</v>
      </c>
      <c r="BF22" s="13">
        <f t="shared" si="37"/>
        <v>12.646556301156998</v>
      </c>
      <c r="BG22" s="20">
        <f t="shared" si="7"/>
        <v>95.96513133539338</v>
      </c>
      <c r="BH22" s="59">
        <f t="shared" si="8"/>
        <v>335.75457549030443</v>
      </c>
      <c r="BI22" s="59">
        <f ca="1">AVERAGE(OFFSET($BH$3,0,0,'Données projet'!$E$11+1,1))-AVERAGE(OFFSET($H$3,0,0,'Données projet'!$E$11+1,1))</f>
        <v>210.62109466714364</v>
      </c>
      <c r="BJ22" s="59">
        <f t="shared" si="38"/>
        <v>193.35729443770401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5.5909090909090908</v>
      </c>
      <c r="BY22" s="12">
        <f>IF('Données projet'!$A$114&gt;35,BY21+BX22-CG21,IF(A22&lt;'Données projet'!$A$114,$BV$205^A22,IF(A22='Données projet'!$A$114,'Données projet'!$B$114,BY21+BX22-CG21)))</f>
        <v>63.814306040343304</v>
      </c>
      <c r="BZ22" s="13">
        <f>BY22*VLOOKUP('Données projet'!$B$12,Paramètres!$A$1:$I$89,3,0)*VLOOKUP('Données projet'!$B$12,Paramètres!$A$1:$I$89,5,0)</f>
        <v>38.160955012125299</v>
      </c>
      <c r="CA22" s="13">
        <f t="shared" si="39"/>
        <v>11.509880661066306</v>
      </c>
      <c r="CB22" s="20">
        <f t="shared" si="10"/>
        <v>86.510038797475374</v>
      </c>
      <c r="CC22" s="59">
        <f t="shared" si="11"/>
        <v>326.29948295238643</v>
      </c>
      <c r="CD22" s="59">
        <f ca="1">AVERAGE(OFFSET($CC$3,0,0,'Données projet'!$E$12+1,1))-AVERAGE(OFFSET($H$3,0,0,'Données projet'!$E$12+1,1))</f>
        <v>368.16165268258442</v>
      </c>
      <c r="CE22" s="59">
        <f t="shared" si="40"/>
        <v>291.32219253157041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24.75</v>
      </c>
      <c r="CT22" s="12">
        <f>IF('Données projet'!$A$140&gt;35,CT21+CS22-DB21,IF(A22&lt;'Données projet'!$A$140,$CQ$205^A22,IF(A22='Données projet'!$A$140,'Données projet'!$B$140,CT21+CS22-DB21)))</f>
        <v>156.25</v>
      </c>
      <c r="CU22" s="17">
        <f>CT22*VLOOKUP('Données projet'!$B$13,Paramètres!$A$1:$I$89,3,0)*VLOOKUP('Données projet'!$B$13,Paramètres!$A$1:$I$89,5,0)</f>
        <v>93.4375</v>
      </c>
      <c r="CV22" s="13">
        <f t="shared" si="41"/>
        <v>25.392450004049856</v>
      </c>
      <c r="CW22" s="20">
        <f t="shared" si="13"/>
        <v>206.96216292372014</v>
      </c>
      <c r="CX22" s="59">
        <f t="shared" si="14"/>
        <v>446.7516070786312</v>
      </c>
      <c r="CY22" s="59">
        <f ca="1">AVERAGE(OFFSET($CX$3,0,0,'Données projet'!$E$13+1,1))-AVERAGE(OFFSET($H$3,0,0,'Données projet'!$E$13+1,1))</f>
        <v>317.12995176362455</v>
      </c>
      <c r="CZ22" s="59">
        <f t="shared" si="42"/>
        <v>328.11301015275262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1.6819360821518956</v>
      </c>
      <c r="DG22" s="21">
        <f>EXP(-LN(2)/25)*DG21+(1-EXP(-LN(2)/25))/(LN(2)/25)*Calculateur!DB22*Calculateur!DD22*VLOOKUP('Données projet'!$B$13,Paramètres!$A$1:$I$89,3,0)*0.475*44/12</f>
        <v>1.6359691165982595</v>
      </c>
      <c r="DH22" s="21">
        <f>EXP(-LN(2)/2)*DH21+(1-EXP(-LN(2)/2))/(LN(2)/2)*DB22*DE22*VLOOKUP('Données projet'!$B$13,Paramètres!$A$1:$I$89,3,0)*0.475*44/12</f>
        <v>3.5907319725353593</v>
      </c>
      <c r="DI22" s="22">
        <f t="shared" si="15"/>
        <v>6.9086371712855144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6.6</v>
      </c>
      <c r="DO22" s="12">
        <f>IF('Données projet'!$A$166&gt;35,DO21+DN22-DW21,IF(A22&lt;'Données projet'!$A$166,$DL$205^A22,IF(A22='Données projet'!$A$166,'Données projet'!$B$166,DO21+DN22-DW21)))</f>
        <v>103.40587994435182</v>
      </c>
      <c r="DP22" s="17">
        <f>DO22*VLOOKUP('Données projet'!$B$14,Paramètres!$A$1:$I$89,3,0)*VLOOKUP('Données projet'!$B$14,Paramètres!$A$1:$I$89,5,0)</f>
        <v>90.335376719385764</v>
      </c>
      <c r="DQ22" s="13">
        <f t="shared" si="43"/>
        <v>24.646092265003244</v>
      </c>
      <c r="DR22" s="20">
        <f t="shared" si="16"/>
        <v>200.25939181447754</v>
      </c>
      <c r="DS22" s="59">
        <f t="shared" si="17"/>
        <v>440.04883596938862</v>
      </c>
      <c r="DT22" s="59">
        <f ca="1">AVERAGE(OFFSET($DS$3,0,0,'Données projet'!$E$14+1,1))-AVERAGE(OFFSET($H$3,0,0,'Données projet'!$E$14+1,1))</f>
        <v>325.5873213944476</v>
      </c>
      <c r="DU22" s="59">
        <f t="shared" si="44"/>
        <v>347.9042278368363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10</v>
      </c>
      <c r="EJ22" s="12">
        <f>IF('Données projet'!$A$192&gt;35,EJ21+EI22-ER21,IF(A22&lt;'Données projet'!$A$192,$EG$205^A22,IF(A22='Données projet'!$A$192,'Données projet'!$B$192,EJ21+EI22-ER21)))</f>
        <v>81</v>
      </c>
      <c r="EK22" s="17">
        <f>EJ22*VLOOKUP('Données projet'!$B$15,Paramètres!$A$1:$I$89,3,0)*VLOOKUP('Données projet'!$B$15,Paramètres!$A$1:$I$89,5,0)</f>
        <v>48.438000000000009</v>
      </c>
      <c r="EL22" s="13">
        <f t="shared" si="45"/>
        <v>14.209624244846971</v>
      </c>
      <c r="EM22" s="20">
        <f t="shared" si="19"/>
        <v>109.11127889310849</v>
      </c>
      <c r="EN22" s="59">
        <f t="shared" si="20"/>
        <v>348.90072304801953</v>
      </c>
      <c r="EO22" s="59">
        <f ca="1">AVERAGE(OFFSET($EN$3,0,0,'Données projet'!$E$15+1,1))-AVERAGE(OFFSET($H$3,0,0,'Données projet'!$E$15+1,1))</f>
        <v>205.5480000480477</v>
      </c>
      <c r="EP22" s="59">
        <f t="shared" si="46"/>
        <v>229.86812144828366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0.53821954628860658</v>
      </c>
      <c r="EW22" s="21">
        <f>EXP(-LN(2)/25)*EW21+(1-EXP(-LN(2)/25))/(LN(2)/25)*Calculateur!ER22*Calculateur!ET22*VLOOKUP('Données projet'!$B$15,Paramètres!$A$1:$I$89,3,0)*0.475*44/12</f>
        <v>0.52351011731144304</v>
      </c>
      <c r="EX22" s="21">
        <f>EXP(-LN(2)/2)*EX21+(1-EXP(-LN(2)/2))/(LN(2)/2)*ER22*EU22*VLOOKUP('Données projet'!$B$15,Paramètres!$A$1:$I$89,3,0)*0.475*44/12</f>
        <v>1.1490342312113146</v>
      </c>
      <c r="EY22" s="22">
        <f t="shared" si="21"/>
        <v>2.2107638948113646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3.05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3.494399999999998</v>
      </c>
      <c r="D23" s="11">
        <f t="shared" si="32"/>
        <v>1.3921181925470016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19.675223886151187</v>
      </c>
      <c r="H23" s="67">
        <f t="shared" si="1"/>
        <v>220.44401918535266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303</v>
      </c>
      <c r="L23" s="12">
        <f>VLOOKUP(A23,'Données projet'!$A$35:$I$55,9,0)</f>
        <v>15.15</v>
      </c>
      <c r="M23" s="12">
        <f t="array" ref="M23">INDEX(L:L,MIN(IF(ISNUMBER(L23:L219),ROW(L23:L219),"")))</f>
        <v>15.15</v>
      </c>
      <c r="N23" s="13">
        <f>IF('Données projet'!$A$36&gt;35,N22+M23-V22,IF(A23&lt;'Données projet'!$A$36,$K$205^A23,IF(A23='Données projet'!$A$36,'Données projet'!$B$36,N22+M23-V22)))</f>
        <v>303</v>
      </c>
      <c r="O23" s="13">
        <f>N23*VLOOKUP('Données projet'!$B$9,Paramètres!$A$1:$I$89,3,0)*VLOOKUP('Données projet'!$B$9,Paramètres!$A$1:$I$89,5,0)</f>
        <v>169.37700000000001</v>
      </c>
      <c r="P23" s="13">
        <f t="shared" si="33"/>
        <v>42.950462509094685</v>
      </c>
      <c r="Q23" s="20">
        <f t="shared" si="2"/>
        <v>369.80366387000657</v>
      </c>
      <c r="R23" s="59">
        <f t="shared" si="0"/>
        <v>611.51096596434627</v>
      </c>
      <c r="S23" s="59">
        <f ca="1">AVERAGE(OFFSET($R$3,0,0,'Données projet'!$E$9+1,1))-AVERAGE(OFFSET($H$3,0,0,'Données projet'!$E$9+1,1))</f>
        <v>542.23071537860039</v>
      </c>
      <c r="T23" s="59">
        <f t="shared" si="34"/>
        <v>667.26143680054633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0.33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10.481156401339309</v>
      </c>
      <c r="AB23" s="21">
        <f>EXP(-LN(2)/2)*AB22+(1-EXP(-LN(2)/2))/(LN(2)/2)*V23*Y23*VLOOKUP('Données projet'!$B$9,Paramètres!$A$1:$I$89,3,0)*0.475*44/12</f>
        <v>10.886187094257464</v>
      </c>
      <c r="AC23" s="22">
        <f t="shared" si="3"/>
        <v>21.367343495596771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13.4</v>
      </c>
      <c r="AI23" s="13">
        <f>IF('Données projet'!$A$62&gt;35,AI22+AH23-AQ22,IF(A23&lt;'Données projet'!$A$62,$AF$205^A23,IF(A23='Données projet'!$A$62,'Données projet'!$B$62,AI22+AH23-AQ22)))</f>
        <v>104.72149791076546</v>
      </c>
      <c r="AJ23" s="13">
        <f>AI23*VLOOKUP('Données projet'!$B$10,Paramètres!$A$1:$I$89,3,0)*VLOOKUP('Données projet'!$B$10,Paramètres!$A$1:$I$89,5,0)</f>
        <v>58.539317332117896</v>
      </c>
      <c r="AK23" s="13">
        <f t="shared" si="35"/>
        <v>16.798434546435502</v>
      </c>
      <c r="AL23" s="20">
        <f t="shared" si="4"/>
        <v>131.21325118848048</v>
      </c>
      <c r="AM23" s="59">
        <f t="shared" si="5"/>
        <v>372.92055328282021</v>
      </c>
      <c r="AN23" s="59">
        <f ca="1">AVERAGE(OFFSET($AM$3,0,0,'Données projet'!$E$10+1,1))-AVERAGE(OFFSET($H$3,0,0,'Données projet'!$E$10+1,1))</f>
        <v>427.83834708696861</v>
      </c>
      <c r="AO23" s="59">
        <f t="shared" si="36"/>
        <v>545.63950537101903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115</v>
      </c>
      <c r="BB23" s="12">
        <f>VLOOKUP(A23,'Données projet'!$A$87:$I$107,9,0)</f>
        <v>5.75</v>
      </c>
      <c r="BC23" s="12">
        <f t="array" ref="BC23">INDEX(BB:BB,MIN(IF(ISNUMBER(BB23:BB219),ROW(BB23:BB219),"")))</f>
        <v>5.75</v>
      </c>
      <c r="BD23" s="12">
        <f>IF('Données projet'!$A$88&gt;35,BD22+BC23-BL22,IF(A23&lt;'Données projet'!$A$88,$BA$205^A23,IF(A23='Données projet'!$A$88,'Données projet'!$B$88,BD22+BC23-BL22)))</f>
        <v>115</v>
      </c>
      <c r="BE23" s="13">
        <f>BD23*VLOOKUP('Données projet'!$B$11,Paramètres!$A$1:$I$89,3,0)*VLOOKUP('Données projet'!$B$11,Paramètres!$A$1:$I$89,5,0)</f>
        <v>53.82</v>
      </c>
      <c r="BF23" s="13">
        <f t="shared" si="37"/>
        <v>15.596024630246266</v>
      </c>
      <c r="BG23" s="20">
        <f t="shared" si="7"/>
        <v>120.89957623101225</v>
      </c>
      <c r="BH23" s="59">
        <f t="shared" si="8"/>
        <v>362.606878325352</v>
      </c>
      <c r="BI23" s="59">
        <f ca="1">AVERAGE(OFFSET($BH$3,0,0,'Données projet'!$E$11+1,1))-AVERAGE(OFFSET($H$3,0,0,'Données projet'!$E$11+1,1))</f>
        <v>210.62109466714364</v>
      </c>
      <c r="BJ23" s="59">
        <f t="shared" si="38"/>
        <v>193.35729443770401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28.75</v>
      </c>
      <c r="BM23" s="16">
        <f>IF(ISNA(VLOOKUP(A23,'Données projet'!$A$87:$I$107,5,0)),0%,VLOOKUP(A23,'Données projet'!$A$87:$I$107,5,0)*VLOOKUP('Données projet'!$B$11,Paramètres!$A$1:$I$89,7,0))</f>
        <v>0.11000000000000001</v>
      </c>
      <c r="BN23" s="16">
        <f>IF(ISNA(VLOOKUP(A23,'Données projet'!$A$87:$I$107,6,0)),0%,VLOOKUP(A23,'Données projet'!$A$87:$I$107,6,0)*VLOOKUP('Données projet'!$B$11,Paramètres!$A$1:$I$89,7,0))</f>
        <v>0.11000000000000001</v>
      </c>
      <c r="BO23" s="16">
        <f>IF(ISNA(VLOOKUP(A23,'Données projet'!$A$87:$I$107,7,0)),0%,VLOOKUP(A23,'Données projet'!$A$87:$I$107,7,0))</f>
        <v>0.6</v>
      </c>
      <c r="BP23" s="21">
        <f>EXP(-LN(2)/35)*BP22+(1-EXP(-LN(2)/35))/(LN(2)/35)*BL23*BM23*VLOOKUP('Données projet'!$B$11,Paramètres!$A$1:$I$89,3,0)*0.475*44/12</f>
        <v>1.9633817222732919</v>
      </c>
      <c r="BQ23" s="21">
        <f>EXP(-LN(2)/25)*BQ22+(1-EXP(-LN(2)/25))/(LN(2)/25)*Calculateur!BL23*Calculateur!BN23*VLOOKUP('Données projet'!$B$11,Paramètres!$A$1:$I$89,3,0)*0.475*44/12</f>
        <v>1.9556511403256149</v>
      </c>
      <c r="BR23" s="21">
        <f>EXP(-LN(2)/2)*BR22+(1-EXP(-LN(2)/2))/(LN(2)/2)*BL23*BO23*VLOOKUP('Données projet'!$B$11,Paramètres!$A$1:$I$89,3,0)*0.475*44/12</f>
        <v>9.1405113379311587</v>
      </c>
      <c r="BS23" s="22">
        <f t="shared" si="9"/>
        <v>13.059544200530066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5.5909090909090908</v>
      </c>
      <c r="BY23" s="12">
        <f>IF('Données projet'!$A$114&gt;35,BY22+BX23-CG22,IF(A23&lt;'Données projet'!$A$114,$BV$205^A23,IF(A23='Données projet'!$A$114,'Données projet'!$B$114,BY22+BX23-CG22)))</f>
        <v>79.417047587426694</v>
      </c>
      <c r="BZ23" s="13">
        <f>BY23*VLOOKUP('Données projet'!$B$12,Paramètres!$A$1:$I$89,3,0)*VLOOKUP('Données projet'!$B$12,Paramètres!$A$1:$I$89,5,0)</f>
        <v>47.49139445728116</v>
      </c>
      <c r="CA23" s="13">
        <f t="shared" si="39"/>
        <v>13.96397329692701</v>
      </c>
      <c r="CB23" s="20">
        <f t="shared" si="10"/>
        <v>107.03476550524589</v>
      </c>
      <c r="CC23" s="59">
        <f t="shared" si="11"/>
        <v>348.7420675995856</v>
      </c>
      <c r="CD23" s="59">
        <f ca="1">AVERAGE(OFFSET($CC$3,0,0,'Données projet'!$E$12+1,1))-AVERAGE(OFFSET($H$3,0,0,'Données projet'!$E$12+1,1))</f>
        <v>368.16165268258442</v>
      </c>
      <c r="CE23" s="59">
        <f t="shared" si="40"/>
        <v>291.32219253157041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181</v>
      </c>
      <c r="CR23" s="12">
        <f>VLOOKUP(A23,'Données projet'!$A$139:$I$159,9,0)</f>
        <v>24.75</v>
      </c>
      <c r="CS23" s="12">
        <f t="array" ref="CS23">INDEX(CR:CR,MIN(IF(ISNUMBER(CR23:CR219),ROW(CR23:CR219),"")))</f>
        <v>24.75</v>
      </c>
      <c r="CT23" s="12">
        <f>IF('Données projet'!$A$140&gt;35,CT22+CS23-DB22,IF(A23&lt;'Données projet'!$A$140,$CQ$205^A23,IF(A23='Données projet'!$A$140,'Données projet'!$B$140,CT22+CS23-DB22)))</f>
        <v>181</v>
      </c>
      <c r="CU23" s="17">
        <f>CT23*VLOOKUP('Données projet'!$B$13,Paramètres!$A$1:$I$89,3,0)*VLOOKUP('Données projet'!$B$13,Paramètres!$A$1:$I$89,5,0)</f>
        <v>108.23800000000001</v>
      </c>
      <c r="CV23" s="13">
        <f t="shared" si="41"/>
        <v>28.915454284197679</v>
      </c>
      <c r="CW23" s="20">
        <f t="shared" si="13"/>
        <v>238.87559954497763</v>
      </c>
      <c r="CX23" s="59">
        <f t="shared" si="14"/>
        <v>480.58290163931736</v>
      </c>
      <c r="CY23" s="59">
        <f ca="1">AVERAGE(OFFSET($CX$3,0,0,'Données projet'!$E$13+1,1))-AVERAGE(OFFSET($H$3,0,0,'Données projet'!$E$13+1,1))</f>
        <v>317.12995176362455</v>
      </c>
      <c r="CZ23" s="59">
        <f t="shared" si="42"/>
        <v>328.11301015275262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64</v>
      </c>
      <c r="DC23" s="16">
        <f>IF(ISNA(VLOOKUP(A23,'Données projet'!$A$139:$I$159,5,0)),0%,VLOOKUP(A23,'Données projet'!$A$139:$I$159,5,0)*VLOOKUP('Données projet'!$B$13,Paramètres!$A$1:$I$89,7,0))</f>
        <v>0.13500000000000001</v>
      </c>
      <c r="DD23" s="16">
        <f>IF(ISNA(VLOOKUP(A23,'Données projet'!$A$139:$I$159,6,0)),0%,VLOOKUP(A23,'Données projet'!$A$139:$I$159,6,0)*VLOOKUP('Données projet'!$B$13,Paramètres!$A$1:$I$89,7,0))</f>
        <v>0.18000000000000002</v>
      </c>
      <c r="DE23" s="16">
        <f>IF(ISNA(VLOOKUP(A23,'Données projet'!$A$139:$I$159,7,0)),0%,VLOOKUP(A23,'Données projet'!$A$139:$I$159,7,0))</f>
        <v>0.3</v>
      </c>
      <c r="DF23" s="21">
        <f>EXP(-LN(2)/35)*DF22+(1-EXP(-LN(2)/35))/(LN(2)/35)*DB23*DC23*VLOOKUP('Données projet'!$B$13,Paramètres!$A$1:$I$89,3,0)*0.475*44/12</f>
        <v>8.502941444669192</v>
      </c>
      <c r="DG23" s="21">
        <f>EXP(-LN(2)/25)*DG22+(1-EXP(-LN(2)/25))/(LN(2)/25)*Calculateur!DB23*Calculateur!DD23*VLOOKUP('Données projet'!$B$13,Paramètres!$A$1:$I$89,3,0)*0.475*44/12</f>
        <v>10.69390058095223</v>
      </c>
      <c r="DH23" s="21">
        <f>EXP(-LN(2)/2)*DH22+(1-EXP(-LN(2)/2))/(LN(2)/2)*DB23*DE23*VLOOKUP('Données projet'!$B$13,Paramètres!$A$1:$I$89,3,0)*0.475*44/12</f>
        <v>15.53886927448297</v>
      </c>
      <c r="DI23" s="22">
        <f t="shared" si="15"/>
        <v>34.735711300104391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132</v>
      </c>
      <c r="DM23" s="12">
        <f>VLOOKUP(A23,'Données projet'!$A$165:$I$185,9,0)</f>
        <v>6.6</v>
      </c>
      <c r="DN23" s="12">
        <f t="array" ref="DN23">INDEX(DM:DM,MIN(IF(ISNUMBER(DM23:DM219),ROW(DM23:DM219),"")))</f>
        <v>6.6</v>
      </c>
      <c r="DO23" s="12">
        <f>IF('Données projet'!$A$166&gt;35,DO22+DN23-DW22,IF(A23&lt;'Données projet'!$A$166,$DL$205^A23,IF(A23='Données projet'!$A$166,'Données projet'!$B$166,DO22+DN23-DW22)))</f>
        <v>132</v>
      </c>
      <c r="DP23" s="17">
        <f>DO23*VLOOKUP('Données projet'!$B$14,Paramètres!$A$1:$I$89,3,0)*VLOOKUP('Données projet'!$B$14,Paramètres!$A$1:$I$89,5,0)</f>
        <v>115.3152</v>
      </c>
      <c r="DQ23" s="13">
        <f t="shared" si="43"/>
        <v>30.579827148797317</v>
      </c>
      <c r="DR23" s="20">
        <f t="shared" si="16"/>
        <v>254.10050561748861</v>
      </c>
      <c r="DS23" s="59">
        <f t="shared" si="17"/>
        <v>495.80780771182833</v>
      </c>
      <c r="DT23" s="59">
        <f ca="1">AVERAGE(OFFSET($DS$3,0,0,'Données projet'!$E$14+1,1))-AVERAGE(OFFSET($H$3,0,0,'Données projet'!$E$14+1,1))</f>
        <v>325.5873213944476</v>
      </c>
      <c r="DU23" s="59">
        <f t="shared" si="44"/>
        <v>347.9042278368363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50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4.3000000000000003E-2</v>
      </c>
      <c r="DZ23" s="16">
        <f>IF(ISNA(VLOOKUP(A23,'Données projet'!$A$165:$I$185,7,0)),0%,VLOOKUP(A23,'Données projet'!$A$165:$I$185,7,0))</f>
        <v>0.5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2.0681633491014852</v>
      </c>
      <c r="EC23" s="21">
        <f>EXP(-LN(2)/2)*EC22+(1-EXP(-LN(2)/2))/(LN(2)/2)*DW23*DZ23*VLOOKUP('Données projet'!$B$14,Paramètres!$A$1:$I$89,3,0)*0.475*44/12</f>
        <v>20.606627814981682</v>
      </c>
      <c r="ED23" s="22">
        <f t="shared" si="18"/>
        <v>22.674791164083167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91</v>
      </c>
      <c r="EH23" s="12">
        <f>VLOOKUP(A23,'Données projet'!$A$191:$I$211,9,0)</f>
        <v>10</v>
      </c>
      <c r="EI23" s="12">
        <f t="array" ref="EI23">INDEX(EH:EH,MIN(IF(ISNUMBER(EH23:EH219),ROW(EH23:EH219),"")))</f>
        <v>10</v>
      </c>
      <c r="EJ23" s="12">
        <f>IF('Données projet'!$A$192&gt;35,EJ22+EI23-ER22,IF(A23&lt;'Données projet'!$A$192,$EG$205^A23,IF(A23='Données projet'!$A$192,'Données projet'!$B$192,EJ22+EI23-ER22)))</f>
        <v>91</v>
      </c>
      <c r="EK23" s="17">
        <f>EJ23*VLOOKUP('Données projet'!$B$15,Paramètres!$A$1:$I$89,3,0)*VLOOKUP('Données projet'!$B$15,Paramètres!$A$1:$I$89,5,0)</f>
        <v>54.417999999999999</v>
      </c>
      <c r="EL23" s="13">
        <f t="shared" si="45"/>
        <v>15.749044324804036</v>
      </c>
      <c r="EM23" s="20">
        <f t="shared" si="19"/>
        <v>122.20760219903367</v>
      </c>
      <c r="EN23" s="59">
        <f t="shared" si="20"/>
        <v>363.91490429337341</v>
      </c>
      <c r="EO23" s="59">
        <f ca="1">AVERAGE(OFFSET($EN$3,0,0,'Données projet'!$E$15+1,1))-AVERAGE(OFFSET($H$3,0,0,'Données projet'!$E$15+1,1))</f>
        <v>205.5480000480477</v>
      </c>
      <c r="EP23" s="59">
        <f t="shared" si="46"/>
        <v>229.86812144828366</v>
      </c>
      <c r="EQ23" s="15">
        <f>IF(ISNA(VLOOKUP(A23,'Données projet'!$A$191:$I$211,3,0)),0,VLOOKUP(A23,'Données projet'!$A$191:$I$211,3,0))</f>
        <v>3</v>
      </c>
      <c r="ER23" s="15">
        <f>IF(ISNA(VLOOKUP(A23,'Données projet'!$A$191:$I$211,4,0)),0,VLOOKUP(A23,'Données projet'!$A$191:$I$211,4,0))</f>
        <v>14</v>
      </c>
      <c r="ES23" s="16">
        <f>IF(ISNA(VLOOKUP(A23,'Données projet'!$A$191:$I$211,5,0)),0%,VLOOKUP(A23,'Données projet'!$A$191:$I$211,5,0)*VLOOKUP('Données projet'!$B$15,Paramètres!$A$1:$I$89,7,0))</f>
        <v>0.13500000000000001</v>
      </c>
      <c r="ET23" s="16">
        <f>IF(ISNA(VLOOKUP(A23,'Données projet'!$A$191:$I$211,6,0)),0%,VLOOKUP(A23,'Données projet'!$A$191:$I$211,6,0)*VLOOKUP('Données projet'!$B$15,Paramètres!$A$1:$I$89,7,0))</f>
        <v>0.18000000000000002</v>
      </c>
      <c r="EU23" s="16">
        <f>IF(ISNA(VLOOKUP(A23,'Données projet'!$A$191:$I$211,7,0)),0%,VLOOKUP(A23,'Données projet'!$A$191:$I$211,7,0))</f>
        <v>0.3</v>
      </c>
      <c r="EV23" s="21">
        <f>EXP(-LN(2)/35)*EV22+(1-EXP(-LN(2)/35))/(LN(2)/35)*ER23*ES23*VLOOKUP('Données projet'!$B$15,Paramètres!$A$1:$I$89,3,0)*0.475*44/12</f>
        <v>2.0269750680942726</v>
      </c>
      <c r="EW23" s="21">
        <f>EXP(-LN(2)/25)*EW22+(1-EXP(-LN(2)/25))/(LN(2)/25)*Calculateur!ER23*Calculateur!ET23*VLOOKUP('Données projet'!$B$15,Paramètres!$A$1:$I$89,3,0)*0.475*44/12</f>
        <v>2.5004031394094417</v>
      </c>
      <c r="EX23" s="21">
        <f>EXP(-LN(2)/2)*EX22+(1-EXP(-LN(2)/2))/(LN(2)/2)*ER23*EU23*VLOOKUP('Données projet'!$B$15,Paramètres!$A$1:$I$89,3,0)*0.475*44/12</f>
        <v>3.6562045351724635</v>
      </c>
      <c r="EY23" s="22">
        <f t="shared" si="21"/>
        <v>8.1835827426761778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3.05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3.6691199999999977</v>
      </c>
      <c r="D24" s="11">
        <f t="shared" si="32"/>
        <v>1.453446242991328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20.258303982687345</v>
      </c>
      <c r="H24" s="67">
        <f t="shared" si="1"/>
        <v>220.85513620654319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31.8</v>
      </c>
      <c r="N24" s="13">
        <f>IF('Données projet'!$A$36&gt;35,N23+M24-V23,IF(A24&lt;'Données projet'!$A$36,$K$205^A24,IF(A24='Données projet'!$A$36,'Données projet'!$B$36,N23+M24-V23)))</f>
        <v>291.8</v>
      </c>
      <c r="O24" s="13">
        <f>N24*VLOOKUP('Données projet'!$B$9,Paramètres!$A$1:$I$89,3,0)*VLOOKUP('Données projet'!$B$9,Paramètres!$A$1:$I$89,5,0)</f>
        <v>163.11620000000002</v>
      </c>
      <c r="P24" s="13">
        <f t="shared" si="33"/>
        <v>41.544592017733144</v>
      </c>
      <c r="Q24" s="20">
        <f t="shared" si="2"/>
        <v>356.45087943088532</v>
      </c>
      <c r="R24" s="59">
        <f t="shared" si="0"/>
        <v>600.06397174016865</v>
      </c>
      <c r="S24" s="59">
        <f ca="1">AVERAGE(OFFSET($R$3,0,0,'Données projet'!$E$9+1,1))-AVERAGE(OFFSET($H$3,0,0,'Données projet'!$E$9+1,1))</f>
        <v>542.23071537860039</v>
      </c>
      <c r="T24" s="59">
        <f t="shared" si="34"/>
        <v>667.26143680054633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10.194548628364625</v>
      </c>
      <c r="AB24" s="21">
        <f>EXP(-LN(2)/2)*AB23+(1-EXP(-LN(2)/2))/(LN(2)/2)*V24*Y24*VLOOKUP('Données projet'!$B$9,Paramètres!$A$1:$I$89,3,0)*0.475*44/12</f>
        <v>7.6976967156149305</v>
      </c>
      <c r="AC24" s="22">
        <f t="shared" si="3"/>
        <v>17.892245343979557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13.4</v>
      </c>
      <c r="AI24" s="13">
        <f>IF('Données projet'!$A$62&gt;35,AI23+AH24-AQ23,IF(A24&lt;'Données projet'!$A$62,$AF$205^A24,IF(A24='Données projet'!$A$62,'Données projet'!$B$62,AI23+AH24-AQ23)))</f>
        <v>132.1410148564492</v>
      </c>
      <c r="AJ24" s="13">
        <f>AI24*VLOOKUP('Données projet'!$B$10,Paramètres!$A$1:$I$89,3,0)*VLOOKUP('Données projet'!$B$10,Paramètres!$A$1:$I$89,5,0)</f>
        <v>73.866827304755105</v>
      </c>
      <c r="AK24" s="13">
        <f t="shared" si="35"/>
        <v>20.630701488481218</v>
      </c>
      <c r="AL24" s="20">
        <f t="shared" si="4"/>
        <v>164.58319598155325</v>
      </c>
      <c r="AM24" s="59">
        <f t="shared" si="5"/>
        <v>408.19628829083661</v>
      </c>
      <c r="AN24" s="59">
        <f ca="1">AVERAGE(OFFSET($AM$3,0,0,'Données projet'!$E$10+1,1))-AVERAGE(OFFSET($H$3,0,0,'Données projet'!$E$10+1,1))</f>
        <v>427.83834708696861</v>
      </c>
      <c r="AO24" s="59">
        <f t="shared" si="36"/>
        <v>545.63950537101903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6.4749999999999996</v>
      </c>
      <c r="BD24" s="12">
        <f>IF('Données projet'!$A$88&gt;35,BD23+BC24-BL23,IF(A24&lt;'Données projet'!$A$88,$BA$205^A24,IF(A24='Données projet'!$A$88,'Données projet'!$B$88,BD23+BC24-BL23)))</f>
        <v>92.724999999999994</v>
      </c>
      <c r="BE24" s="13">
        <f>BD24*VLOOKUP('Données projet'!$B$11,Paramètres!$A$1:$I$89,3,0)*VLOOKUP('Données projet'!$B$11,Paramètres!$A$1:$I$89,5,0)</f>
        <v>43.395299999999999</v>
      </c>
      <c r="BF24" s="13">
        <f t="shared" si="37"/>
        <v>12.894260212449144</v>
      </c>
      <c r="BG24" s="20">
        <f t="shared" si="7"/>
        <v>98.037650703348916</v>
      </c>
      <c r="BH24" s="59">
        <f t="shared" si="8"/>
        <v>341.65074301263229</v>
      </c>
      <c r="BI24" s="59">
        <f ca="1">AVERAGE(OFFSET($BH$3,0,0,'Données projet'!$E$11+1,1))-AVERAGE(OFFSET($H$3,0,0,'Données projet'!$E$11+1,1))</f>
        <v>210.62109466714364</v>
      </c>
      <c r="BJ24" s="59">
        <f t="shared" si="38"/>
        <v>193.35729443770401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1.9248810042441156</v>
      </c>
      <c r="BQ24" s="21">
        <f>EXP(-LN(2)/25)*BQ23+(1-EXP(-LN(2)/25))/(LN(2)/25)*Calculateur!BL24*Calculateur!BN24*VLOOKUP('Données projet'!$B$11,Paramètres!$A$1:$I$89,3,0)*0.475*44/12</f>
        <v>1.9021737570501873</v>
      </c>
      <c r="BR24" s="21">
        <f>EXP(-LN(2)/2)*BR23+(1-EXP(-LN(2)/2))/(LN(2)/2)*BL24*BO24*VLOOKUP('Données projet'!$B$11,Paramètres!$A$1:$I$89,3,0)*0.475*44/12</f>
        <v>6.4633175505636453</v>
      </c>
      <c r="BS24" s="22">
        <f t="shared" si="9"/>
        <v>10.290372311857947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5.5909090909090908</v>
      </c>
      <c r="BY24" s="12">
        <f>IF('Données projet'!$A$114&gt;35,BY23+BX24-CG23,IF(A24&lt;'Données projet'!$A$114,$BV$205^A24,IF(A24='Données projet'!$A$114,'Données projet'!$B$114,BY23+BX24-CG23)))</f>
        <v>98.834694582689295</v>
      </c>
      <c r="BZ24" s="13">
        <f>BY24*VLOOKUP('Données projet'!$B$12,Paramètres!$A$1:$I$89,3,0)*VLOOKUP('Données projet'!$B$12,Paramètres!$A$1:$I$89,5,0)</f>
        <v>59.103147360448204</v>
      </c>
      <c r="CA24" s="13">
        <f t="shared" si="39"/>
        <v>16.94131815778756</v>
      </c>
      <c r="CB24" s="20">
        <f t="shared" si="10"/>
        <v>132.44411077759398</v>
      </c>
      <c r="CC24" s="59">
        <f t="shared" si="11"/>
        <v>376.05720308687739</v>
      </c>
      <c r="CD24" s="59">
        <f ca="1">AVERAGE(OFFSET($CC$3,0,0,'Données projet'!$E$12+1,1))-AVERAGE(OFFSET($H$3,0,0,'Données projet'!$E$12+1,1))</f>
        <v>368.16165268258442</v>
      </c>
      <c r="CE24" s="59">
        <f t="shared" si="40"/>
        <v>291.32219253157041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20</v>
      </c>
      <c r="CT24" s="12">
        <f>IF('Données projet'!$A$140&gt;35,CT23+CS24-DB23,IF(A24&lt;'Données projet'!$A$140,$CQ$205^A24,IF(A24='Données projet'!$A$140,'Données projet'!$B$140,CT23+CS24-DB23)))</f>
        <v>137</v>
      </c>
      <c r="CU24" s="17">
        <f>CT24*VLOOKUP('Données projet'!$B$13,Paramètres!$A$1:$I$89,3,0)*VLOOKUP('Données projet'!$B$13,Paramètres!$A$1:$I$89,5,0)</f>
        <v>81.926000000000002</v>
      </c>
      <c r="CV24" s="13">
        <f t="shared" si="41"/>
        <v>22.607447146245146</v>
      </c>
      <c r="CW24" s="20">
        <f t="shared" si="13"/>
        <v>182.06242044637693</v>
      </c>
      <c r="CX24" s="59">
        <f t="shared" si="14"/>
        <v>425.67551275566029</v>
      </c>
      <c r="CY24" s="59">
        <f ca="1">AVERAGE(OFFSET($CX$3,0,0,'Données projet'!$E$13+1,1))-AVERAGE(OFFSET($H$3,0,0,'Données projet'!$E$13+1,1))</f>
        <v>317.12995176362455</v>
      </c>
      <c r="CZ24" s="59">
        <f t="shared" si="42"/>
        <v>328.11301015275262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8.3362039492214084</v>
      </c>
      <c r="DG24" s="21">
        <f>EXP(-LN(2)/25)*DG23+(1-EXP(-LN(2)/25))/(LN(2)/25)*Calculateur!DB24*Calculateur!DD24*VLOOKUP('Données projet'!$B$13,Paramètres!$A$1:$I$89,3,0)*0.475*44/12</f>
        <v>10.4014753071983</v>
      </c>
      <c r="DH24" s="21">
        <f>EXP(-LN(2)/2)*DH23+(1-EXP(-LN(2)/2))/(LN(2)/2)*DB24*DE24*VLOOKUP('Données projet'!$B$13,Paramètres!$A$1:$I$89,3,0)*0.475*44/12</f>
        <v>10.987639835958197</v>
      </c>
      <c r="DI24" s="22">
        <f t="shared" si="15"/>
        <v>29.725319092377909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12.2</v>
      </c>
      <c r="DO24" s="12">
        <f>IF('Données projet'!$A$166&gt;35,DO23+DN24-DW23,IF(A24&lt;'Données projet'!$A$166,$DL$205^A24,IF(A24='Données projet'!$A$166,'Données projet'!$B$166,DO23+DN24-DW23)))</f>
        <v>94.199999999999989</v>
      </c>
      <c r="DP24" s="17">
        <f>DO24*VLOOKUP('Données projet'!$B$14,Paramètres!$A$1:$I$89,3,0)*VLOOKUP('Données projet'!$B$14,Paramètres!$A$1:$I$89,5,0)</f>
        <v>82.293120000000002</v>
      </c>
      <c r="DQ24" s="13">
        <f t="shared" si="43"/>
        <v>22.696938367376966</v>
      </c>
      <c r="DR24" s="20">
        <f t="shared" si="16"/>
        <v>182.85768498984825</v>
      </c>
      <c r="DS24" s="59">
        <f t="shared" si="17"/>
        <v>426.47077729913167</v>
      </c>
      <c r="DT24" s="59">
        <f ca="1">AVERAGE(OFFSET($DS$3,0,0,'Données projet'!$E$14+1,1))-AVERAGE(OFFSET($H$3,0,0,'Données projet'!$E$14+1,1))</f>
        <v>325.5873213944476</v>
      </c>
      <c r="DU24" s="59">
        <f t="shared" si="44"/>
        <v>347.9042278368363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2.0116093135603212</v>
      </c>
      <c r="EC24" s="21">
        <f>EXP(-LN(2)/2)*EC23+(1-EXP(-LN(2)/2))/(LN(2)/2)*DW24*DZ24*VLOOKUP('Données projet'!$B$14,Paramètres!$A$1:$I$89,3,0)*0.475*44/12</f>
        <v>14.571086265360877</v>
      </c>
      <c r="ED24" s="22">
        <f t="shared" si="18"/>
        <v>16.5826955789212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11</v>
      </c>
      <c r="EJ24" s="12">
        <f>IF('Données projet'!$A$192&gt;35,EJ23+EI24-ER23,IF(A24&lt;'Données projet'!$A$192,$EG$205^A24,IF(A24='Données projet'!$A$192,'Données projet'!$B$192,EJ23+EI24-ER23)))</f>
        <v>88</v>
      </c>
      <c r="EK24" s="17">
        <f>EJ24*VLOOKUP('Données projet'!$B$15,Paramètres!$A$1:$I$89,3,0)*VLOOKUP('Données projet'!$B$15,Paramètres!$A$1:$I$89,5,0)</f>
        <v>52.624000000000009</v>
      </c>
      <c r="EL24" s="13">
        <f t="shared" si="45"/>
        <v>15.289388641788772</v>
      </c>
      <c r="EM24" s="20">
        <f t="shared" si="19"/>
        <v>118.28248521778211</v>
      </c>
      <c r="EN24" s="59">
        <f t="shared" si="20"/>
        <v>361.89557752706548</v>
      </c>
      <c r="EO24" s="59">
        <f ca="1">AVERAGE(OFFSET($EN$3,0,0,'Données projet'!$E$15+1,1))-AVERAGE(OFFSET($H$3,0,0,'Données projet'!$E$15+1,1))</f>
        <v>205.5480000480477</v>
      </c>
      <c r="EP24" s="59">
        <f t="shared" si="46"/>
        <v>229.86812144828366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1.9872273233416577</v>
      </c>
      <c r="EW24" s="21">
        <f>EXP(-LN(2)/25)*EW23+(1-EXP(-LN(2)/25))/(LN(2)/25)*Calculateur!ER24*Calculateur!ET24*VLOOKUP('Données projet'!$B$15,Paramètres!$A$1:$I$89,3,0)*0.475*44/12</f>
        <v>2.432029484071804</v>
      </c>
      <c r="EX24" s="21">
        <f>EXP(-LN(2)/2)*EX23+(1-EXP(-LN(2)/2))/(LN(2)/2)*ER24*EU24*VLOOKUP('Données projet'!$B$15,Paramètres!$A$1:$I$89,3,0)*0.475*44/12</f>
        <v>2.5853270202254581</v>
      </c>
      <c r="EY24" s="22">
        <f t="shared" si="21"/>
        <v>7.0045838276389194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3.05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3.8438399999999975</v>
      </c>
      <c r="D25" s="11">
        <f t="shared" si="32"/>
        <v>1.514435165849654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20.840546374590019</v>
      </c>
      <c r="H25" s="67">
        <f t="shared" si="1"/>
        <v>221.26566258052145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31.8</v>
      </c>
      <c r="N25" s="13">
        <f>IF('Données projet'!$A$36&gt;35,N24+M25-V24,IF(A25&lt;'Données projet'!$A$36,$K$205^A25,IF(A25='Données projet'!$A$36,'Données projet'!$B$36,N24+M25-V24)))</f>
        <v>323.60000000000002</v>
      </c>
      <c r="O25" s="13">
        <f>N25*VLOOKUP('Données projet'!$B$9,Paramètres!$A$1:$I$89,3,0)*VLOOKUP('Données projet'!$B$9,Paramètres!$A$1:$I$89,5,0)</f>
        <v>180.89240000000001</v>
      </c>
      <c r="P25" s="13">
        <f t="shared" si="33"/>
        <v>45.520671542487669</v>
      </c>
      <c r="Q25" s="20">
        <f t="shared" si="2"/>
        <v>394.33609960316602</v>
      </c>
      <c r="R25" s="59">
        <f t="shared" si="0"/>
        <v>639.84312375094839</v>
      </c>
      <c r="S25" s="59">
        <f ca="1">AVERAGE(OFFSET($R$3,0,0,'Données projet'!$E$9+1,1))-AVERAGE(OFFSET($H$3,0,0,'Données projet'!$E$9+1,1))</f>
        <v>542.23071537860039</v>
      </c>
      <c r="T25" s="59">
        <f t="shared" si="34"/>
        <v>667.26143680054633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9.915778160013982</v>
      </c>
      <c r="AB25" s="21">
        <f>EXP(-LN(2)/2)*AB24+(1-EXP(-LN(2)/2))/(LN(2)/2)*V25*Y25*VLOOKUP('Données projet'!$B$9,Paramètres!$A$1:$I$89,3,0)*0.475*44/12</f>
        <v>5.4430935471287327</v>
      </c>
      <c r="AC25" s="22">
        <f t="shared" si="3"/>
        <v>15.358871707142715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13.4</v>
      </c>
      <c r="AI25" s="13">
        <f>IF('Données projet'!$A$62&gt;35,AI24+AH25-AQ24,IF(A25&lt;'Données projet'!$A$62,$AF$205^A25,IF(A25='Données projet'!$A$62,'Données projet'!$B$62,AI24+AH25-AQ24)))</f>
        <v>166.73985910869308</v>
      </c>
      <c r="AJ25" s="13">
        <f>AI25*VLOOKUP('Données projet'!$B$10,Paramètres!$A$1:$I$89,3,0)*VLOOKUP('Données projet'!$B$10,Paramètres!$A$1:$I$89,5,0)</f>
        <v>93.207581241759442</v>
      </c>
      <c r="AK25" s="13">
        <f t="shared" si="35"/>
        <v>25.337232629044916</v>
      </c>
      <c r="AL25" s="20">
        <f t="shared" si="4"/>
        <v>206.46555082498423</v>
      </c>
      <c r="AM25" s="59">
        <f t="shared" si="5"/>
        <v>451.97257497276655</v>
      </c>
      <c r="AN25" s="59">
        <f ca="1">AVERAGE(OFFSET($AM$3,0,0,'Données projet'!$E$10+1,1))-AVERAGE(OFFSET($H$3,0,0,'Données projet'!$E$10+1,1))</f>
        <v>427.83834708696861</v>
      </c>
      <c r="AO25" s="59">
        <f t="shared" si="36"/>
        <v>545.63950537101903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6.4749999999999996</v>
      </c>
      <c r="BD25" s="12">
        <f>IF('Données projet'!$A$88&gt;35,BD24+BC25-BL24,IF(A25&lt;'Données projet'!$A$88,$BA$205^A25,IF(A25='Données projet'!$A$88,'Données projet'!$B$88,BD24+BC25-BL24)))</f>
        <v>99.199999999999989</v>
      </c>
      <c r="BE25" s="13">
        <f>BD25*VLOOKUP('Données projet'!$B$11,Paramètres!$A$1:$I$89,3,0)*VLOOKUP('Données projet'!$B$11,Paramètres!$A$1:$I$89,5,0)</f>
        <v>46.425599999999996</v>
      </c>
      <c r="BF25" s="13">
        <f t="shared" si="37"/>
        <v>13.686708387370782</v>
      </c>
      <c r="BG25" s="20">
        <f t="shared" si="7"/>
        <v>104.69560377467076</v>
      </c>
      <c r="BH25" s="59">
        <f t="shared" si="8"/>
        <v>350.20262792245308</v>
      </c>
      <c r="BI25" s="59">
        <f ca="1">AVERAGE(OFFSET($BH$3,0,0,'Données projet'!$E$11+1,1))-AVERAGE(OFFSET($H$3,0,0,'Données projet'!$E$11+1,1))</f>
        <v>210.62109466714364</v>
      </c>
      <c r="BJ25" s="59">
        <f t="shared" si="38"/>
        <v>193.35729443770401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1.887135261812372</v>
      </c>
      <c r="BQ25" s="21">
        <f>EXP(-LN(2)/25)*BQ24+(1-EXP(-LN(2)/25))/(LN(2)/25)*Calculateur!BL25*Calculateur!BN25*VLOOKUP('Données projet'!$B$11,Paramètres!$A$1:$I$89,3,0)*0.475*44/12</f>
        <v>1.8501587156326795</v>
      </c>
      <c r="BR25" s="21">
        <f>EXP(-LN(2)/2)*BR24+(1-EXP(-LN(2)/2))/(LN(2)/2)*BL25*BO25*VLOOKUP('Données projet'!$B$11,Paramètres!$A$1:$I$89,3,0)*0.475*44/12</f>
        <v>4.5702556689655802</v>
      </c>
      <c r="BS25" s="22">
        <f t="shared" si="9"/>
        <v>8.3075496464106315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123</v>
      </c>
      <c r="BW25" s="12">
        <f>VLOOKUP(A25,'Données projet'!$A$113:$I$133,9,0)</f>
        <v>5.5909090909090908</v>
      </c>
      <c r="BX25" s="12">
        <f t="array" ref="BX25">INDEX(BW:BW,MIN(IF(ISNUMBER(BW25:BW221),ROW(BW25:BW221),"")))</f>
        <v>5.5909090909090908</v>
      </c>
      <c r="BY25" s="12">
        <f>IF('Données projet'!$A$114&gt;35,BY24+BX25-CG24,IF(A25&lt;'Données projet'!$A$114,$BV$205^A25,IF(A25='Données projet'!$A$114,'Données projet'!$B$114,BY24+BX25-CG24)))</f>
        <v>123</v>
      </c>
      <c r="BZ25" s="13">
        <f>BY25*VLOOKUP('Données projet'!$B$12,Paramètres!$A$1:$I$89,3,0)*VLOOKUP('Données projet'!$B$12,Paramètres!$A$1:$I$89,5,0)</f>
        <v>73.554000000000016</v>
      </c>
      <c r="CA25" s="13">
        <f t="shared" si="39"/>
        <v>20.553481077376691</v>
      </c>
      <c r="CB25" s="20">
        <f t="shared" si="10"/>
        <v>163.90386287643108</v>
      </c>
      <c r="CC25" s="59">
        <f t="shared" si="11"/>
        <v>409.41088702421342</v>
      </c>
      <c r="CD25" s="59">
        <f ca="1">AVERAGE(OFFSET($CC$3,0,0,'Données projet'!$E$12+1,1))-AVERAGE(OFFSET($H$3,0,0,'Données projet'!$E$12+1,1))</f>
        <v>368.16165268258442</v>
      </c>
      <c r="CE25" s="59">
        <f t="shared" si="40"/>
        <v>291.32219253157041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16</v>
      </c>
      <c r="CH25" s="16">
        <f>IF(ISNA(VLOOKUP(A25,'Données projet'!$A$113:$I$133,5,0)),0%,VLOOKUP(A25,'Données projet'!$A$113:$I$133,5,0)*VLOOKUP('Données projet'!$B$12,Paramètres!$A$1:$I$89,7,0))</f>
        <v>9.0000000000000011E-2</v>
      </c>
      <c r="CI25" s="16">
        <f>IF(ISNA(VLOOKUP(A25,'Données projet'!$A$113:$I$133,6,0)),0%,VLOOKUP(A25,'Données projet'!$A$113:$I$133,6,0)*VLOOKUP('Données projet'!$B$12,Paramètres!$A$1:$I$89,7,0))</f>
        <v>9.0000000000000011E-2</v>
      </c>
      <c r="CJ25" s="16">
        <f>IF(ISNA(VLOOKUP(A25,'Données projet'!$A$113:$I$133,7,0)),0%,VLOOKUP(A25,'Données projet'!$A$113:$I$133,7,0))</f>
        <v>0.6</v>
      </c>
      <c r="CK25" s="21">
        <f>EXP(-LN(2)/35)*CK24+(1-EXP(-LN(2)/35))/(LN(2)/35)*CG25*CH25*VLOOKUP('Données projet'!$B$12,Paramètres!$A$1:$I$89,3,0)*0.475*44/12</f>
        <v>1.142331183868097</v>
      </c>
      <c r="CL25" s="21">
        <f>EXP(-LN(2)/25)*CL24+(1-EXP(-LN(2)/25))/(LN(2)/25)*Calculateur!CG25*Calculateur!CI25*VLOOKUP('Données projet'!$B$12,Paramètres!$A$1:$I$89,3,0)*0.475*44/12</f>
        <v>1.1378333907349032</v>
      </c>
      <c r="CM25" s="21">
        <f>EXP(-LN(2)/2)*CM24+(1-EXP(-LN(2)/2))/(LN(2)/2)*CG25*CJ25*VLOOKUP('Données projet'!$B$12,Paramètres!$A$1:$I$89,3,0)*0.475*44/12</f>
        <v>6.4999191736399347</v>
      </c>
      <c r="CN25" s="22">
        <f t="shared" si="12"/>
        <v>8.7800837482429337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20</v>
      </c>
      <c r="CT25" s="12">
        <f>IF('Données projet'!$A$140&gt;35,CT24+CS25-DB24,IF(A25&lt;'Données projet'!$A$140,$CQ$205^A25,IF(A25='Données projet'!$A$140,'Données projet'!$B$140,CT24+CS25-DB24)))</f>
        <v>157</v>
      </c>
      <c r="CU25" s="17">
        <f>CT25*VLOOKUP('Données projet'!$B$13,Paramètres!$A$1:$I$89,3,0)*VLOOKUP('Données projet'!$B$13,Paramètres!$A$1:$I$89,5,0)</f>
        <v>93.885999999999996</v>
      </c>
      <c r="CV25" s="13">
        <f t="shared" si="41"/>
        <v>25.500116461916402</v>
      </c>
      <c r="CW25" s="20">
        <f t="shared" si="13"/>
        <v>207.9308195045044</v>
      </c>
      <c r="CX25" s="59">
        <f t="shared" si="14"/>
        <v>453.43784365228674</v>
      </c>
      <c r="CY25" s="59">
        <f ca="1">AVERAGE(OFFSET($CX$3,0,0,'Données projet'!$E$13+1,1))-AVERAGE(OFFSET($H$3,0,0,'Données projet'!$E$13+1,1))</f>
        <v>317.12995176362455</v>
      </c>
      <c r="CZ25" s="59">
        <f t="shared" si="42"/>
        <v>328.11301015275262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8.1727360743595252</v>
      </c>
      <c r="DG25" s="21">
        <f>EXP(-LN(2)/25)*DG24+(1-EXP(-LN(2)/25))/(LN(2)/25)*Calculateur!DB25*Calculateur!DD25*VLOOKUP('Données projet'!$B$13,Paramètres!$A$1:$I$89,3,0)*0.475*44/12</f>
        <v>10.11704641793315</v>
      </c>
      <c r="DH25" s="21">
        <f>EXP(-LN(2)/2)*DH24+(1-EXP(-LN(2)/2))/(LN(2)/2)*DB25*DE25*VLOOKUP('Données projet'!$B$13,Paramètres!$A$1:$I$89,3,0)*0.475*44/12</f>
        <v>7.7694346372414858</v>
      </c>
      <c r="DI25" s="22">
        <f t="shared" si="15"/>
        <v>26.059217129534158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12.2</v>
      </c>
      <c r="DO25" s="12">
        <f>IF('Données projet'!$A$166&gt;35,DO24+DN25-DW24,IF(A25&lt;'Données projet'!$A$166,$DL$205^A25,IF(A25='Données projet'!$A$166,'Données projet'!$B$166,DO24+DN25-DW24)))</f>
        <v>106.39999999999999</v>
      </c>
      <c r="DP25" s="17">
        <f>DO25*VLOOKUP('Données projet'!$B$14,Paramètres!$A$1:$I$89,3,0)*VLOOKUP('Données projet'!$B$14,Paramètres!$A$1:$I$89,5,0)</f>
        <v>92.951040000000006</v>
      </c>
      <c r="DQ25" s="13">
        <f t="shared" si="43"/>
        <v>25.275602869272223</v>
      </c>
      <c r="DR25" s="20">
        <f t="shared" si="16"/>
        <v>205.9114029973158</v>
      </c>
      <c r="DS25" s="59">
        <f t="shared" si="17"/>
        <v>451.41842714509812</v>
      </c>
      <c r="DT25" s="59">
        <f ca="1">AVERAGE(OFFSET($DS$3,0,0,'Données projet'!$E$14+1,1))-AVERAGE(OFFSET($H$3,0,0,'Données projet'!$E$14+1,1))</f>
        <v>325.5873213944476</v>
      </c>
      <c r="DU25" s="59">
        <f t="shared" si="44"/>
        <v>347.9042278368363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1.9566017510950779</v>
      </c>
      <c r="EC25" s="21">
        <f>EXP(-LN(2)/2)*EC24+(1-EXP(-LN(2)/2))/(LN(2)/2)*DW25*DZ25*VLOOKUP('Données projet'!$B$14,Paramètres!$A$1:$I$89,3,0)*0.475*44/12</f>
        <v>10.303313907490843</v>
      </c>
      <c r="ED25" s="22">
        <f t="shared" si="18"/>
        <v>12.259915658585921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11</v>
      </c>
      <c r="EJ25" s="12">
        <f>IF('Données projet'!$A$192&gt;35,EJ24+EI25-ER24,IF(A25&lt;'Données projet'!$A$192,$EG$205^A25,IF(A25='Données projet'!$A$192,'Données projet'!$B$192,EJ24+EI25-ER24)))</f>
        <v>99</v>
      </c>
      <c r="EK25" s="17">
        <f>EJ25*VLOOKUP('Données projet'!$B$15,Paramètres!$A$1:$I$89,3,0)*VLOOKUP('Données projet'!$B$15,Paramètres!$A$1:$I$89,5,0)</f>
        <v>59.201999999999998</v>
      </c>
      <c r="EL25" s="13">
        <f t="shared" si="45"/>
        <v>16.966352622896878</v>
      </c>
      <c r="EM25" s="20">
        <f t="shared" si="19"/>
        <v>132.65988081821206</v>
      </c>
      <c r="EN25" s="59">
        <f t="shared" si="20"/>
        <v>378.16690496599438</v>
      </c>
      <c r="EO25" s="59">
        <f ca="1">AVERAGE(OFFSET($EN$3,0,0,'Données projet'!$E$15+1,1))-AVERAGE(OFFSET($H$3,0,0,'Données projet'!$E$15+1,1))</f>
        <v>205.5480000480477</v>
      </c>
      <c r="EP25" s="59">
        <f t="shared" si="46"/>
        <v>229.86812144828366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1.9482590076199113</v>
      </c>
      <c r="EW25" s="21">
        <f>EXP(-LN(2)/25)*EW24+(1-EXP(-LN(2)/25))/(LN(2)/25)*Calculateur!ER25*Calculateur!ET25*VLOOKUP('Données projet'!$B$15,Paramètres!$A$1:$I$89,3,0)*0.475*44/12</f>
        <v>2.3655255099349883</v>
      </c>
      <c r="EX25" s="21">
        <f>EXP(-LN(2)/2)*EX24+(1-EXP(-LN(2)/2))/(LN(2)/2)*ER25*EU25*VLOOKUP('Données projet'!$B$15,Paramètres!$A$1:$I$89,3,0)*0.475*44/12</f>
        <v>1.8281022675862322</v>
      </c>
      <c r="EY25" s="22">
        <f t="shared" si="21"/>
        <v>6.1418867851411321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3.05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4.0185599999999972</v>
      </c>
      <c r="D26" s="11">
        <f t="shared" si="32"/>
        <v>1.5751021369455829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21.421993489156804</v>
      </c>
      <c r="H26" s="67">
        <f t="shared" si="1"/>
        <v>221.67562822184686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31.8</v>
      </c>
      <c r="N26" s="13">
        <f>IF('Données projet'!$A$36&gt;35,N25+M26-V25,IF(A26&lt;'Données projet'!$A$36,$K$205^A26,IF(A26='Données projet'!$A$36,'Données projet'!$B$36,N25+M26-V25)))</f>
        <v>355.40000000000003</v>
      </c>
      <c r="O26" s="13">
        <f>N26*VLOOKUP('Données projet'!$B$9,Paramètres!$A$1:$I$89,3,0)*VLOOKUP('Données projet'!$B$9,Paramètres!$A$1:$I$89,5,0)</f>
        <v>198.6686</v>
      </c>
      <c r="P26" s="13">
        <f t="shared" si="33"/>
        <v>49.451452656287465</v>
      </c>
      <c r="Q26" s="20">
        <f t="shared" si="2"/>
        <v>432.14242504303394</v>
      </c>
      <c r="R26" s="59">
        <f t="shared" si="0"/>
        <v>679.53172836919066</v>
      </c>
      <c r="S26" s="59">
        <f ca="1">AVERAGE(OFFSET($R$3,0,0,'Données projet'!$E$9+1,1))-AVERAGE(OFFSET($H$3,0,0,'Données projet'!$E$9+1,1))</f>
        <v>542.23071537860039</v>
      </c>
      <c r="T26" s="59">
        <f t="shared" si="34"/>
        <v>667.26143680054633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9.6446306847802887</v>
      </c>
      <c r="AB26" s="21">
        <f>EXP(-LN(2)/2)*AB25+(1-EXP(-LN(2)/2))/(LN(2)/2)*V26*Y26*VLOOKUP('Données projet'!$B$9,Paramètres!$A$1:$I$89,3,0)*0.475*44/12</f>
        <v>3.8488483578074657</v>
      </c>
      <c r="AC26" s="22">
        <f t="shared" si="3"/>
        <v>13.493479042587754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13.4</v>
      </c>
      <c r="AI26" s="13">
        <f>IF('Données projet'!$A$62&gt;35,AI25+AH26-AQ25,IF(A26&lt;'Données projet'!$A$62,$AF$205^A26,IF(A26='Données projet'!$A$62,'Données projet'!$B$62,AI25+AH26-AQ25)))</f>
        <v>210.39781362198246</v>
      </c>
      <c r="AJ26" s="13">
        <f>AI26*VLOOKUP('Données projet'!$B$10,Paramètres!$A$1:$I$89,3,0)*VLOOKUP('Données projet'!$B$10,Paramètres!$A$1:$I$89,5,0)</f>
        <v>117.6123778146882</v>
      </c>
      <c r="AK26" s="13">
        <f t="shared" si="35"/>
        <v>31.11747594509929</v>
      </c>
      <c r="AL26" s="20">
        <f t="shared" si="4"/>
        <v>259.03782863162985</v>
      </c>
      <c r="AM26" s="59">
        <f t="shared" si="5"/>
        <v>506.42713195778663</v>
      </c>
      <c r="AN26" s="59">
        <f ca="1">AVERAGE(OFFSET($AM$3,0,0,'Données projet'!$E$10+1,1))-AVERAGE(OFFSET($H$3,0,0,'Données projet'!$E$10+1,1))</f>
        <v>427.83834708696861</v>
      </c>
      <c r="AO26" s="59">
        <f t="shared" si="36"/>
        <v>545.63950537101903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6.4749999999999996</v>
      </c>
      <c r="BD26" s="12">
        <f>IF('Données projet'!$A$88&gt;35,BD25+BC26-BL25,IF(A26&lt;'Données projet'!$A$88,$BA$205^A26,IF(A26='Données projet'!$A$88,'Données projet'!$B$88,BD25+BC26-BL25)))</f>
        <v>105.67499999999998</v>
      </c>
      <c r="BE26" s="13">
        <f>BD26*VLOOKUP('Données projet'!$B$11,Paramètres!$A$1:$I$89,3,0)*VLOOKUP('Données projet'!$B$11,Paramètres!$A$1:$I$89,5,0)</f>
        <v>49.455899999999993</v>
      </c>
      <c r="BF26" s="13">
        <f t="shared" si="37"/>
        <v>14.473154109823653</v>
      </c>
      <c r="BG26" s="20">
        <f t="shared" si="7"/>
        <v>111.34310257460952</v>
      </c>
      <c r="BH26" s="59">
        <f t="shared" si="8"/>
        <v>358.73240590076625</v>
      </c>
      <c r="BI26" s="59">
        <f ca="1">AVERAGE(OFFSET($BH$3,0,0,'Données projet'!$E$11+1,1))-AVERAGE(OFFSET($H$3,0,0,'Données projet'!$E$11+1,1))</f>
        <v>210.62109466714364</v>
      </c>
      <c r="BJ26" s="59">
        <f t="shared" si="38"/>
        <v>193.35729443770401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1.8501296903670854</v>
      </c>
      <c r="BQ26" s="21">
        <f>EXP(-LN(2)/25)*BQ25+(1-EXP(-LN(2)/25))/(LN(2)/25)*Calculateur!BL26*Calculateur!BN26*VLOOKUP('Données projet'!$B$11,Paramètres!$A$1:$I$89,3,0)*0.475*44/12</f>
        <v>1.7995660282580856</v>
      </c>
      <c r="BR26" s="21">
        <f>EXP(-LN(2)/2)*BR25+(1-EXP(-LN(2)/2))/(LN(2)/2)*BL26*BO26*VLOOKUP('Données projet'!$B$11,Paramètres!$A$1:$I$89,3,0)*0.475*44/12</f>
        <v>3.2316587752818231</v>
      </c>
      <c r="BS26" s="22">
        <f t="shared" si="9"/>
        <v>6.8813544939069944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12.333333333333334</v>
      </c>
      <c r="BY26" s="12">
        <f>IF('Données projet'!$A$114&gt;35,BY25+BX26-CG25,IF(A26&lt;'Données projet'!$A$114,$BV$205^A26,IF(A26='Données projet'!$A$114,'Données projet'!$B$114,BY25+BX26-CG25)))</f>
        <v>119.33333333333334</v>
      </c>
      <c r="BZ26" s="13">
        <f>BY26*VLOOKUP('Données projet'!$B$12,Paramètres!$A$1:$I$89,3,0)*VLOOKUP('Données projet'!$B$12,Paramètres!$A$1:$I$89,5,0)</f>
        <v>71.361333333333349</v>
      </c>
      <c r="CA26" s="13">
        <f t="shared" si="39"/>
        <v>20.011144716858571</v>
      </c>
      <c r="CB26" s="20">
        <f t="shared" si="10"/>
        <v>159.14039927075092</v>
      </c>
      <c r="CC26" s="59">
        <f t="shared" si="11"/>
        <v>406.52970259690767</v>
      </c>
      <c r="CD26" s="59">
        <f ca="1">AVERAGE(OFFSET($CC$3,0,0,'Données projet'!$E$12+1,1))-AVERAGE(OFFSET($H$3,0,0,'Données projet'!$E$12+1,1))</f>
        <v>368.16165268258442</v>
      </c>
      <c r="CE26" s="59">
        <f t="shared" si="40"/>
        <v>291.32219253157041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1.119930766105667</v>
      </c>
      <c r="CL26" s="21">
        <f>EXP(-LN(2)/25)*CL25+(1-EXP(-LN(2)/25))/(LN(2)/25)*Calculateur!CG26*Calculateur!CI26*VLOOKUP('Données projet'!$B$12,Paramètres!$A$1:$I$89,3,0)*0.475*44/12</f>
        <v>1.1067192768291998</v>
      </c>
      <c r="CM26" s="21">
        <f>EXP(-LN(2)/2)*CM25+(1-EXP(-LN(2)/2))/(LN(2)/2)*CG26*CJ26*VLOOKUP('Données projet'!$B$12,Paramètres!$A$1:$I$89,3,0)*0.475*44/12</f>
        <v>4.5961369248452586</v>
      </c>
      <c r="CN26" s="22">
        <f t="shared" si="12"/>
        <v>6.8227869677801252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20</v>
      </c>
      <c r="CT26" s="12">
        <f>IF('Données projet'!$A$140&gt;35,CT25+CS26-DB25,IF(A26&lt;'Données projet'!$A$140,$CQ$205^A26,IF(A26='Données projet'!$A$140,'Données projet'!$B$140,CT25+CS26-DB25)))</f>
        <v>177</v>
      </c>
      <c r="CU26" s="17">
        <f>CT26*VLOOKUP('Données projet'!$B$13,Paramètres!$A$1:$I$89,3,0)*VLOOKUP('Données projet'!$B$13,Paramètres!$A$1:$I$89,5,0)</f>
        <v>105.846</v>
      </c>
      <c r="CV26" s="13">
        <f t="shared" si="41"/>
        <v>28.350087862757704</v>
      </c>
      <c r="CW26" s="20">
        <f t="shared" si="13"/>
        <v>233.72485302763633</v>
      </c>
      <c r="CX26" s="59">
        <f t="shared" si="14"/>
        <v>481.11415635379308</v>
      </c>
      <c r="CY26" s="59">
        <f ca="1">AVERAGE(OFFSET($CX$3,0,0,'Données projet'!$E$13+1,1))-AVERAGE(OFFSET($H$3,0,0,'Données projet'!$E$13+1,1))</f>
        <v>317.12995176362455</v>
      </c>
      <c r="CZ26" s="59">
        <f t="shared" si="42"/>
        <v>328.11301015275262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8.0124737048181238</v>
      </c>
      <c r="DG26" s="21">
        <f>EXP(-LN(2)/25)*DG25+(1-EXP(-LN(2)/25))/(LN(2)/25)*Calculateur!DB26*Calculateur!DD26*VLOOKUP('Données projet'!$B$13,Paramètres!$A$1:$I$89,3,0)*0.475*44/12</f>
        <v>9.8403952516024198</v>
      </c>
      <c r="DH26" s="21">
        <f>EXP(-LN(2)/2)*DH25+(1-EXP(-LN(2)/2))/(LN(2)/2)*DB26*DE26*VLOOKUP('Données projet'!$B$13,Paramètres!$A$1:$I$89,3,0)*0.475*44/12</f>
        <v>5.4938199179790992</v>
      </c>
      <c r="DI26" s="22">
        <f t="shared" si="15"/>
        <v>23.346688874399643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12.2</v>
      </c>
      <c r="DO26" s="12">
        <f>IF('Données projet'!$A$166&gt;35,DO25+DN26-DW25,IF(A26&lt;'Données projet'!$A$166,$DL$205^A26,IF(A26='Données projet'!$A$166,'Données projet'!$B$166,DO25+DN26-DW25)))</f>
        <v>118.6</v>
      </c>
      <c r="DP26" s="17">
        <f>DO26*VLOOKUP('Données projet'!$B$14,Paramètres!$A$1:$I$89,3,0)*VLOOKUP('Données projet'!$B$14,Paramètres!$A$1:$I$89,5,0)</f>
        <v>103.60896</v>
      </c>
      <c r="DQ26" s="13">
        <f t="shared" si="43"/>
        <v>27.820000397643376</v>
      </c>
      <c r="DR26" s="20">
        <f t="shared" si="16"/>
        <v>228.90543935922889</v>
      </c>
      <c r="DS26" s="59">
        <f t="shared" si="17"/>
        <v>476.29474268538564</v>
      </c>
      <c r="DT26" s="59">
        <f ca="1">AVERAGE(OFFSET($DS$3,0,0,'Données projet'!$E$14+1,1))-AVERAGE(OFFSET($H$3,0,0,'Données projet'!$E$14+1,1))</f>
        <v>325.5873213944476</v>
      </c>
      <c r="DU26" s="59">
        <f t="shared" si="44"/>
        <v>347.9042278368363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1.9030983733181688</v>
      </c>
      <c r="EC26" s="21">
        <f>EXP(-LN(2)/2)*EC25+(1-EXP(-LN(2)/2))/(LN(2)/2)*DW26*DZ26*VLOOKUP('Données projet'!$B$14,Paramètres!$A$1:$I$89,3,0)*0.475*44/12</f>
        <v>7.2855431326804396</v>
      </c>
      <c r="ED26" s="22">
        <f t="shared" si="18"/>
        <v>9.1886415059986088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11</v>
      </c>
      <c r="EJ26" s="12">
        <f>IF('Données projet'!$A$192&gt;35,EJ25+EI26-ER25,IF(A26&lt;'Données projet'!$A$192,$EG$205^A26,IF(A26='Données projet'!$A$192,'Données projet'!$B$192,EJ25+EI26-ER25)))</f>
        <v>110</v>
      </c>
      <c r="EK26" s="17">
        <f>EJ26*VLOOKUP('Données projet'!$B$15,Paramètres!$A$1:$I$89,3,0)*VLOOKUP('Données projet'!$B$15,Paramètres!$A$1:$I$89,5,0)</f>
        <v>65.78</v>
      </c>
      <c r="EL26" s="13">
        <f t="shared" si="45"/>
        <v>18.621720661480644</v>
      </c>
      <c r="EM26" s="20">
        <f t="shared" si="19"/>
        <v>146.99966348541213</v>
      </c>
      <c r="EN26" s="59">
        <f t="shared" si="20"/>
        <v>394.38896681156888</v>
      </c>
      <c r="EO26" s="59">
        <f ca="1">AVERAGE(OFFSET($EN$3,0,0,'Données projet'!$E$15+1,1))-AVERAGE(OFFSET($H$3,0,0,'Données projet'!$E$15+1,1))</f>
        <v>205.5480000480477</v>
      </c>
      <c r="EP26" s="59">
        <f t="shared" si="46"/>
        <v>229.86812144828366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1.9100548368011425</v>
      </c>
      <c r="EW26" s="21">
        <f>EXP(-LN(2)/25)*EW25+(1-EXP(-LN(2)/25))/(LN(2)/25)*Calculateur!ER26*Calculateur!ET26*VLOOKUP('Données projet'!$B$15,Paramètres!$A$1:$I$89,3,0)*0.475*44/12</f>
        <v>2.300840090468236</v>
      </c>
      <c r="EX26" s="21">
        <f>EXP(-LN(2)/2)*EX25+(1-EXP(-LN(2)/2))/(LN(2)/2)*ER26*EU26*VLOOKUP('Données projet'!$B$15,Paramètres!$A$1:$I$89,3,0)*0.475*44/12</f>
        <v>1.2926635101127293</v>
      </c>
      <c r="EY26" s="22">
        <f t="shared" si="21"/>
        <v>5.5035584373821074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3.05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4.193279999999997</v>
      </c>
      <c r="D27" s="11">
        <f t="shared" si="32"/>
        <v>1.6354627540925299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22.002683855723298</v>
      </c>
      <c r="H27" s="67">
        <f t="shared" si="1"/>
        <v>222.08506029671113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31.8</v>
      </c>
      <c r="N27" s="13">
        <f>IF('Données projet'!$A$36&gt;35,N26+M27-V26,IF(A27&lt;'Données projet'!$A$36,$K$205^A27,IF(A27='Données projet'!$A$36,'Données projet'!$B$36,N26+M27-V26)))</f>
        <v>387.20000000000005</v>
      </c>
      <c r="O27" s="13">
        <f>N27*VLOOKUP('Données projet'!$B$9,Paramètres!$A$1:$I$89,3,0)*VLOOKUP('Données projet'!$B$9,Paramètres!$A$1:$I$89,5,0)</f>
        <v>216.44480000000001</v>
      </c>
      <c r="P27" s="13">
        <f t="shared" si="33"/>
        <v>53.341449419561528</v>
      </c>
      <c r="Q27" s="20">
        <f t="shared" si="2"/>
        <v>469.87771773906974</v>
      </c>
      <c r="R27" s="59">
        <f t="shared" si="0"/>
        <v>719.13784973107784</v>
      </c>
      <c r="S27" s="59">
        <f ca="1">AVERAGE(OFFSET($R$3,0,0,'Données projet'!$E$9+1,1))-AVERAGE(OFFSET($H$3,0,0,'Données projet'!$E$9+1,1))</f>
        <v>542.23071537860039</v>
      </c>
      <c r="T27" s="59">
        <f t="shared" si="34"/>
        <v>667.26143680054633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9.3808977515158869</v>
      </c>
      <c r="AB27" s="21">
        <f>EXP(-LN(2)/2)*AB26+(1-EXP(-LN(2)/2))/(LN(2)/2)*V27*Y27*VLOOKUP('Données projet'!$B$9,Paramètres!$A$1:$I$89,3,0)*0.475*44/12</f>
        <v>2.7215467735643668</v>
      </c>
      <c r="AC27" s="22">
        <f t="shared" si="3"/>
        <v>12.102444525080253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13.4</v>
      </c>
      <c r="AI27" s="13">
        <f>IF('Données projet'!$A$62&gt;35,AI26+AH27-AQ26,IF(A27&lt;'Données projet'!$A$62,$AF$205^A27,IF(A27='Données projet'!$A$62,'Données projet'!$B$62,AI26+AH27-AQ26)))</f>
        <v>265.48685007616501</v>
      </c>
      <c r="AJ27" s="13">
        <f>AI27*VLOOKUP('Données projet'!$B$10,Paramètres!$A$1:$I$89,3,0)*VLOOKUP('Données projet'!$B$10,Paramètres!$A$1:$I$89,5,0)</f>
        <v>148.40714919257624</v>
      </c>
      <c r="AK27" s="13">
        <f t="shared" si="35"/>
        <v>38.216379956343033</v>
      </c>
      <c r="AL27" s="20">
        <f t="shared" si="4"/>
        <v>325.03597993436773</v>
      </c>
      <c r="AM27" s="59">
        <f t="shared" si="5"/>
        <v>574.29611192637583</v>
      </c>
      <c r="AN27" s="59">
        <f ca="1">AVERAGE(OFFSET($AM$3,0,0,'Données projet'!$E$10+1,1))-AVERAGE(OFFSET($H$3,0,0,'Données projet'!$E$10+1,1))</f>
        <v>427.83834708696861</v>
      </c>
      <c r="AO27" s="59">
        <f t="shared" si="36"/>
        <v>545.63950537101903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6.4749999999999996</v>
      </c>
      <c r="BD27" s="12">
        <f>IF('Données projet'!$A$88&gt;35,BD26+BC27-BL26,IF(A27&lt;'Données projet'!$A$88,$BA$205^A27,IF(A27='Données projet'!$A$88,'Données projet'!$B$88,BD26+BC27-BL26)))</f>
        <v>112.14999999999998</v>
      </c>
      <c r="BE27" s="13">
        <f>BD27*VLOOKUP('Données projet'!$B$11,Paramètres!$A$1:$I$89,3,0)*VLOOKUP('Données projet'!$B$11,Paramètres!$A$1:$I$89,5,0)</f>
        <v>52.48619999999999</v>
      </c>
      <c r="BF27" s="13">
        <f t="shared" si="37"/>
        <v>15.254007044480641</v>
      </c>
      <c r="BG27" s="20">
        <f t="shared" si="7"/>
        <v>117.9808606024704</v>
      </c>
      <c r="BH27" s="59">
        <f t="shared" si="8"/>
        <v>367.24099259447848</v>
      </c>
      <c r="BI27" s="59">
        <f ca="1">AVERAGE(OFFSET($BH$3,0,0,'Données projet'!$E$11+1,1))-AVERAGE(OFFSET($H$3,0,0,'Données projet'!$E$11+1,1))</f>
        <v>210.62109466714364</v>
      </c>
      <c r="BJ27" s="59">
        <f t="shared" si="38"/>
        <v>193.35729443770401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1.8138497756066712</v>
      </c>
      <c r="BQ27" s="21">
        <f>EXP(-LN(2)/25)*BQ26+(1-EXP(-LN(2)/25))/(LN(2)/25)*Calculateur!BL27*Calculateur!BN27*VLOOKUP('Données projet'!$B$11,Paramètres!$A$1:$I$89,3,0)*0.475*44/12</f>
        <v>1.7503568005803039</v>
      </c>
      <c r="BR27" s="21">
        <f>EXP(-LN(2)/2)*BR26+(1-EXP(-LN(2)/2))/(LN(2)/2)*BL27*BO27*VLOOKUP('Données projet'!$B$11,Paramètres!$A$1:$I$89,3,0)*0.475*44/12</f>
        <v>2.2851278344827906</v>
      </c>
      <c r="BS27" s="22">
        <f t="shared" si="9"/>
        <v>5.8493344106697656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12.333333333333334</v>
      </c>
      <c r="BY27" s="12">
        <f>IF('Données projet'!$A$114&gt;35,BY26+BX27-CG26,IF(A27&lt;'Données projet'!$A$114,$BV$205^A27,IF(A27='Données projet'!$A$114,'Données projet'!$B$114,BY26+BX27-CG26)))</f>
        <v>131.66666666666669</v>
      </c>
      <c r="BZ27" s="13">
        <f>BY27*VLOOKUP('Données projet'!$B$12,Paramètres!$A$1:$I$89,3,0)*VLOOKUP('Données projet'!$B$12,Paramètres!$A$1:$I$89,5,0)</f>
        <v>78.736666666666679</v>
      </c>
      <c r="CA27" s="13">
        <f t="shared" si="39"/>
        <v>21.828006984037064</v>
      </c>
      <c r="CB27" s="20">
        <f t="shared" si="10"/>
        <v>175.15013994164235</v>
      </c>
      <c r="CC27" s="59">
        <f t="shared" si="11"/>
        <v>424.41027193365039</v>
      </c>
      <c r="CD27" s="59">
        <f ca="1">AVERAGE(OFFSET($CC$3,0,0,'Données projet'!$E$12+1,1))-AVERAGE(OFFSET($H$3,0,0,'Données projet'!$E$12+1,1))</f>
        <v>368.16165268258442</v>
      </c>
      <c r="CE27" s="59">
        <f t="shared" si="40"/>
        <v>291.32219253157041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1.0979696068726525</v>
      </c>
      <c r="CL27" s="21">
        <f>EXP(-LN(2)/25)*CL26+(1-EXP(-LN(2)/25))/(LN(2)/25)*Calculateur!CG27*Calculateur!CI27*VLOOKUP('Données projet'!$B$12,Paramètres!$A$1:$I$89,3,0)*0.475*44/12</f>
        <v>1.076455980004468</v>
      </c>
      <c r="CM27" s="21">
        <f>EXP(-LN(2)/2)*CM26+(1-EXP(-LN(2)/2))/(LN(2)/2)*CG27*CJ27*VLOOKUP('Données projet'!$B$12,Paramètres!$A$1:$I$89,3,0)*0.475*44/12</f>
        <v>3.2499595868199678</v>
      </c>
      <c r="CN27" s="22">
        <f t="shared" si="12"/>
        <v>5.4243851736970878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197</v>
      </c>
      <c r="CR27" s="12">
        <f>VLOOKUP(A27,'Données projet'!$A$139:$I$159,9,0)</f>
        <v>20</v>
      </c>
      <c r="CS27" s="12">
        <f t="array" ref="CS27">INDEX(CR:CR,MIN(IF(ISNUMBER(CR27:CR223),ROW(CR27:CR223),"")))</f>
        <v>20</v>
      </c>
      <c r="CT27" s="12">
        <f>IF('Données projet'!$A$140&gt;35,CT26+CS27-DB26,IF(A27&lt;'Données projet'!$A$140,$CQ$205^A27,IF(A27='Données projet'!$A$140,'Données projet'!$B$140,CT26+CS27-DB26)))</f>
        <v>197</v>
      </c>
      <c r="CU27" s="17">
        <f>CT27*VLOOKUP('Données projet'!$B$13,Paramètres!$A$1:$I$89,3,0)*VLOOKUP('Données projet'!$B$13,Paramètres!$A$1:$I$89,5,0)</f>
        <v>117.80600000000001</v>
      </c>
      <c r="CV27" s="13">
        <f t="shared" si="41"/>
        <v>31.162736572430632</v>
      </c>
      <c r="CW27" s="20">
        <f t="shared" si="13"/>
        <v>259.45388286365005</v>
      </c>
      <c r="CX27" s="59">
        <f t="shared" si="14"/>
        <v>508.71401485565809</v>
      </c>
      <c r="CY27" s="59">
        <f ca="1">AVERAGE(OFFSET($CX$3,0,0,'Données projet'!$E$13+1,1))-AVERAGE(OFFSET($H$3,0,0,'Données projet'!$E$13+1,1))</f>
        <v>317.12995176362455</v>
      </c>
      <c r="CZ27" s="59">
        <f t="shared" si="42"/>
        <v>328.11301015275262</v>
      </c>
      <c r="DA27" s="15">
        <f>IF(ISNA(VLOOKUP(A27,'Données projet'!$A$139:$I$159,3,0)),0,VLOOKUP(A27,'Données projet'!$A$139:$I$159,3,0))</f>
        <v>4</v>
      </c>
      <c r="DB27" s="15">
        <f>IF(ISNA(VLOOKUP(A27,'Données projet'!$A$139:$I$159,4,0)),0,VLOOKUP(A27,'Données projet'!$A$139:$I$159,4,0))</f>
        <v>43</v>
      </c>
      <c r="DC27" s="16">
        <f>IF(ISNA(VLOOKUP(A27,'Données projet'!$A$139:$I$159,5,0)),0%,VLOOKUP(A27,'Données projet'!$A$139:$I$159,5,0)*VLOOKUP('Données projet'!$B$13,Paramètres!$A$1:$I$89,7,0))</f>
        <v>0.18000000000000002</v>
      </c>
      <c r="DD27" s="16">
        <f>IF(ISNA(VLOOKUP(A27,'Données projet'!$A$139:$I$159,6,0)),0%,VLOOKUP(A27,'Données projet'!$A$139:$I$159,6,0)*VLOOKUP('Données projet'!$B$13,Paramètres!$A$1:$I$89,7,0))</f>
        <v>0.13500000000000001</v>
      </c>
      <c r="DE27" s="16">
        <f>IF(ISNA(VLOOKUP(A27,'Données projet'!$A$139:$I$159,7,0)),0%,VLOOKUP(A27,'Données projet'!$A$139:$I$159,7,0))</f>
        <v>0.3</v>
      </c>
      <c r="DF27" s="21">
        <f>EXP(-LN(2)/35)*DF26+(1-EXP(-LN(2)/35))/(LN(2)/35)*DB27*DC27*VLOOKUP('Données projet'!$B$13,Paramètres!$A$1:$I$89,3,0)*0.475*44/12</f>
        <v>13.995384095884058</v>
      </c>
      <c r="DG27" s="21">
        <f>EXP(-LN(2)/25)*DG26+(1-EXP(-LN(2)/25))/(LN(2)/25)*Calculateur!DB27*Calculateur!DD27*VLOOKUP('Données projet'!$B$13,Paramètres!$A$1:$I$89,3,0)*0.475*44/12</f>
        <v>14.158199982363534</v>
      </c>
      <c r="DH27" s="21">
        <f>EXP(-LN(2)/2)*DH26+(1-EXP(-LN(2)/2))/(LN(2)/2)*DB27*DE27*VLOOKUP('Données projet'!$B$13,Paramètres!$A$1:$I$89,3,0)*0.475*44/12</f>
        <v>12.618983708199407</v>
      </c>
      <c r="DI27" s="22">
        <f t="shared" si="15"/>
        <v>40.772567786446999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12.2</v>
      </c>
      <c r="DO27" s="12">
        <f>IF('Données projet'!$A$166&gt;35,DO26+DN27-DW26,IF(A27&lt;'Données projet'!$A$166,$DL$205^A27,IF(A27='Données projet'!$A$166,'Données projet'!$B$166,DO26+DN27-DW26)))</f>
        <v>130.79999999999998</v>
      </c>
      <c r="DP27" s="17">
        <f>DO27*VLOOKUP('Données projet'!$B$14,Paramètres!$A$1:$I$89,3,0)*VLOOKUP('Données projet'!$B$14,Paramètres!$A$1:$I$89,5,0)</f>
        <v>114.26687999999999</v>
      </c>
      <c r="DQ27" s="13">
        <f t="shared" si="43"/>
        <v>30.334057329879929</v>
      </c>
      <c r="DR27" s="20">
        <f t="shared" si="16"/>
        <v>251.84663251620748</v>
      </c>
      <c r="DS27" s="59">
        <f t="shared" si="17"/>
        <v>501.10676450821552</v>
      </c>
      <c r="DT27" s="59">
        <f ca="1">AVERAGE(OFFSET($DS$3,0,0,'Données projet'!$E$14+1,1))-AVERAGE(OFFSET($H$3,0,0,'Données projet'!$E$14+1,1))</f>
        <v>325.5873213944476</v>
      </c>
      <c r="DU27" s="59">
        <f t="shared" si="44"/>
        <v>347.9042278368363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1.8510580482201895</v>
      </c>
      <c r="EC27" s="21">
        <f>EXP(-LN(2)/2)*EC26+(1-EXP(-LN(2)/2))/(LN(2)/2)*DW27*DZ27*VLOOKUP('Données projet'!$B$14,Paramètres!$A$1:$I$89,3,0)*0.475*44/12</f>
        <v>5.1516569537454222</v>
      </c>
      <c r="ED27" s="22">
        <f t="shared" si="18"/>
        <v>7.0027150019656119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>
        <f>VLOOKUP(A27,'Données projet'!$A$191:$I$211,2,0)</f>
        <v>121</v>
      </c>
      <c r="EH27" s="12">
        <f>VLOOKUP(A27,'Données projet'!$A$191:$I$211,9,0)</f>
        <v>11</v>
      </c>
      <c r="EI27" s="12">
        <f t="array" ref="EI27">INDEX(EH:EH,MIN(IF(ISNUMBER(EH27:EH223),ROW(EH27:EH223),"")))</f>
        <v>11</v>
      </c>
      <c r="EJ27" s="12">
        <f>IF('Données projet'!$A$192&gt;35,EJ26+EI27-ER26,IF(A27&lt;'Données projet'!$A$192,$EG$205^A27,IF(A27='Données projet'!$A$192,'Données projet'!$B$192,EJ26+EI27-ER26)))</f>
        <v>121</v>
      </c>
      <c r="EK27" s="17">
        <f>EJ27*VLOOKUP('Données projet'!$B$15,Paramètres!$A$1:$I$89,3,0)*VLOOKUP('Données projet'!$B$15,Paramètres!$A$1:$I$89,5,0)</f>
        <v>72.358000000000004</v>
      </c>
      <c r="EL27" s="13">
        <f t="shared" si="45"/>
        <v>20.257898193815318</v>
      </c>
      <c r="EM27" s="20">
        <f t="shared" si="19"/>
        <v>161.30602268756169</v>
      </c>
      <c r="EN27" s="59">
        <f t="shared" si="20"/>
        <v>410.56615467956976</v>
      </c>
      <c r="EO27" s="59">
        <f ca="1">AVERAGE(OFFSET($EN$3,0,0,'Données projet'!$E$15+1,1))-AVERAGE(OFFSET($H$3,0,0,'Données projet'!$E$15+1,1))</f>
        <v>205.5480000480477</v>
      </c>
      <c r="EP27" s="59">
        <f t="shared" si="46"/>
        <v>229.86812144828366</v>
      </c>
      <c r="EQ27" s="15">
        <f>IF(ISNA(VLOOKUP(A27,'Données projet'!$A$191:$I$211,3,0)),0,VLOOKUP(A27,'Données projet'!$A$191:$I$211,3,0))</f>
        <v>4</v>
      </c>
      <c r="ER27" s="15">
        <f>IF(ISNA(VLOOKUP(A27,'Données projet'!$A$191:$I$211,4,0)),0,VLOOKUP(A27,'Données projet'!$A$191:$I$211,4,0))</f>
        <v>20</v>
      </c>
      <c r="ES27" s="16">
        <f>IF(ISNA(VLOOKUP(A27,'Données projet'!$A$191:$I$211,5,0)),0%,VLOOKUP(A27,'Données projet'!$A$191:$I$211,5,0)*VLOOKUP('Données projet'!$B$15,Paramètres!$A$1:$I$89,7,0))</f>
        <v>0.18000000000000002</v>
      </c>
      <c r="ET27" s="16">
        <f>IF(ISNA(VLOOKUP(A27,'Données projet'!$A$191:$I$211,6,0)),0%,VLOOKUP(A27,'Données projet'!$A$191:$I$211,6,0)*VLOOKUP('Données projet'!$B$15,Paramètres!$A$1:$I$89,7,0))</f>
        <v>0.13500000000000001</v>
      </c>
      <c r="EU27" s="16">
        <f>IF(ISNA(VLOOKUP(A27,'Données projet'!$A$191:$I$211,7,0)),0%,VLOOKUP(A27,'Données projet'!$A$191:$I$211,7,0))</f>
        <v>0.3</v>
      </c>
      <c r="EV27" s="21">
        <f>EXP(-LN(2)/35)*EV26+(1-EXP(-LN(2)/35))/(LN(2)/35)*ER27*ES27*VLOOKUP('Données projet'!$B$15,Paramètres!$A$1:$I$89,3,0)*0.475*44/12</f>
        <v>4.7284277861401289</v>
      </c>
      <c r="EW27" s="21">
        <f>EXP(-LN(2)/25)*EW26+(1-EXP(-LN(2)/25))/(LN(2)/25)*Calculateur!ER27*Calculateur!ET27*VLOOKUP('Données projet'!$B$15,Paramètres!$A$1:$I$89,3,0)*0.475*44/12</f>
        <v>4.3713611048264038</v>
      </c>
      <c r="EX27" s="21">
        <f>EXP(-LN(2)/2)*EX26+(1-EXP(-LN(2)/2))/(LN(2)/2)*ER27*EU27*VLOOKUP('Données projet'!$B$15,Paramètres!$A$1:$I$89,3,0)*0.475*44/12</f>
        <v>4.9765006173180755</v>
      </c>
      <c r="EY27" s="22">
        <f t="shared" si="21"/>
        <v>14.076289508284608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3.05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4.3679999999999968</v>
      </c>
      <c r="D28" s="11">
        <f t="shared" si="32"/>
        <v>1.6955312417477193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22.582652611194362</v>
      </c>
      <c r="H28" s="67">
        <f t="shared" si="1"/>
        <v>222.49398357937724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419</v>
      </c>
      <c r="L28" s="12">
        <f>VLOOKUP(A28,'Données projet'!$A$35:$I$55,9,0)</f>
        <v>31.8</v>
      </c>
      <c r="M28" s="12">
        <f t="array" ref="M28">INDEX(L:L,MIN(IF(ISNUMBER(L28:L224),ROW(L28:L224),"")))</f>
        <v>31.8</v>
      </c>
      <c r="N28" s="13">
        <f>IF('Données projet'!$A$36&gt;35,N27+M28-V27,IF(A28&lt;'Données projet'!$A$36,$K$205^A28,IF(A28='Données projet'!$A$36,'Données projet'!$B$36,N27+M28-V27)))</f>
        <v>419.00000000000006</v>
      </c>
      <c r="O28" s="13">
        <f>N28*VLOOKUP('Données projet'!$B$9,Paramètres!$A$1:$I$89,3,0)*VLOOKUP('Données projet'!$B$9,Paramètres!$A$1:$I$89,5,0)</f>
        <v>234.22100000000003</v>
      </c>
      <c r="P28" s="13">
        <f t="shared" si="33"/>
        <v>57.194392182630075</v>
      </c>
      <c r="Q28" s="20">
        <f t="shared" si="2"/>
        <v>507.5484747180808</v>
      </c>
      <c r="R28" s="59">
        <f t="shared" si="0"/>
        <v>758.66818350420999</v>
      </c>
      <c r="S28" s="59">
        <f ca="1">AVERAGE(OFFSET($R$3,0,0,'Données projet'!$E$9+1,1))-AVERAGE(OFFSET($H$3,0,0,'Données projet'!$E$9+1,1))</f>
        <v>542.23071537860039</v>
      </c>
      <c r="T28" s="59">
        <f t="shared" si="34"/>
        <v>667.26143680054633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60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0.33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23.749246006398351</v>
      </c>
      <c r="AB28" s="21">
        <f>EXP(-LN(2)/2)*AB27+(1-EXP(-LN(2)/2))/(LN(2)/2)*V28*Y28*VLOOKUP('Données projet'!$B$9,Paramètres!$A$1:$I$89,3,0)*0.475*44/12</f>
        <v>17.114452682518802</v>
      </c>
      <c r="AC28" s="22">
        <f t="shared" si="3"/>
        <v>40.863698688917154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335</v>
      </c>
      <c r="AG28" s="12">
        <f>VLOOKUP(A28,'Données projet'!$A$61:$I$81,9,0)</f>
        <v>13.4</v>
      </c>
      <c r="AH28" s="12">
        <f t="array" ref="AH28">INDEX(AG:AG,MIN(IF(ISNUMBER(AG28:AG224),ROW(AG28:AG224),"")))</f>
        <v>13.4</v>
      </c>
      <c r="AI28" s="13">
        <f>IF('Données projet'!$A$62&gt;35,AI27+AH28-AQ27,IF(A28&lt;'Données projet'!$A$62,$AF$205^A28,IF(A28='Données projet'!$A$62,'Données projet'!$B$62,AI27+AH28-AQ27)))</f>
        <v>335</v>
      </c>
      <c r="AJ28" s="13">
        <f>AI28*VLOOKUP('Données projet'!$B$10,Paramètres!$A$1:$I$89,3,0)*VLOOKUP('Données projet'!$B$10,Paramètres!$A$1:$I$89,5,0)</f>
        <v>187.26500000000001</v>
      </c>
      <c r="AK28" s="13">
        <f t="shared" si="35"/>
        <v>46.934773872544483</v>
      </c>
      <c r="AL28" s="20">
        <f t="shared" si="4"/>
        <v>407.89793949468162</v>
      </c>
      <c r="AM28" s="59">
        <f t="shared" si="5"/>
        <v>659.01764828081082</v>
      </c>
      <c r="AN28" s="59">
        <f ca="1">AVERAGE(OFFSET($AM$3,0,0,'Données projet'!$E$10+1,1))-AVERAGE(OFFSET($H$3,0,0,'Données projet'!$E$10+1,1))</f>
        <v>427.83834708696861</v>
      </c>
      <c r="AO28" s="59">
        <f t="shared" si="36"/>
        <v>545.63950537101903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0.33</v>
      </c>
      <c r="AT28" s="16">
        <f>IF(ISNA(VLOOKUP(A28,'Données projet'!$A$61:$I$81,7,0)),0%,VLOOKUP(A28,'Données projet'!$A$61:$I$81,7,0))</f>
        <v>0.4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13.162382457495875</v>
      </c>
      <c r="AW28" s="21">
        <f>EXP(-LN(2)/2)*AW27+(1-EXP(-LN(2)/2))/(LN(2)/2)*AQ28*AT28*VLOOKUP('Données projet'!$B$10,Paramètres!$A$1:$I$89,3,0)*0.475*44/12</f>
        <v>13.67102565325356</v>
      </c>
      <c r="AX28" s="21">
        <f t="shared" si="6"/>
        <v>26.833408110749435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6.4749999999999996</v>
      </c>
      <c r="BD28" s="12">
        <f>IF('Données projet'!$A$88&gt;35,BD27+BC28-BL27,IF(A28&lt;'Données projet'!$A$88,$BA$205^A28,IF(A28='Données projet'!$A$88,'Données projet'!$B$88,BD27+BC28-BL27)))</f>
        <v>118.62499999999997</v>
      </c>
      <c r="BE28" s="13">
        <f>BD28*VLOOKUP('Données projet'!$B$11,Paramètres!$A$1:$I$89,3,0)*VLOOKUP('Données projet'!$B$11,Paramètres!$A$1:$I$89,5,0)</f>
        <v>55.516499999999994</v>
      </c>
      <c r="BF28" s="13">
        <f t="shared" si="37"/>
        <v>16.02962687990243</v>
      </c>
      <c r="BG28" s="20">
        <f t="shared" si="7"/>
        <v>124.60950431583007</v>
      </c>
      <c r="BH28" s="59">
        <f t="shared" si="8"/>
        <v>375.72921310195932</v>
      </c>
      <c r="BI28" s="59">
        <f ca="1">AVERAGE(OFFSET($BH$3,0,0,'Données projet'!$E$11+1,1))-AVERAGE(OFFSET($H$3,0,0,'Données projet'!$E$11+1,1))</f>
        <v>210.62109466714364</v>
      </c>
      <c r="BJ28" s="59">
        <f t="shared" si="38"/>
        <v>193.35729443770401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1.7782812878461456</v>
      </c>
      <c r="BQ28" s="21">
        <f>EXP(-LN(2)/25)*BQ27+(1-EXP(-LN(2)/25))/(LN(2)/25)*Calculateur!BL28*Calculateur!BN28*VLOOKUP('Données projet'!$B$11,Paramètres!$A$1:$I$89,3,0)*0.475*44/12</f>
        <v>1.7024932018211718</v>
      </c>
      <c r="BR28" s="21">
        <f>EXP(-LN(2)/2)*BR27+(1-EXP(-LN(2)/2))/(LN(2)/2)*BL28*BO28*VLOOKUP('Données projet'!$B$11,Paramètres!$A$1:$I$89,3,0)*0.475*44/12</f>
        <v>1.6158293876409118</v>
      </c>
      <c r="BS28" s="22">
        <f t="shared" si="9"/>
        <v>5.0966038773082296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144</v>
      </c>
      <c r="BW28" s="12">
        <f>VLOOKUP(A28,'Données projet'!$A$113:$I$133,9,0)</f>
        <v>12.333333333333334</v>
      </c>
      <c r="BX28" s="12">
        <f t="array" ref="BX28">INDEX(BW:BW,MIN(IF(ISNUMBER(BW28:BW224),ROW(BW28:BW224),"")))</f>
        <v>12.333333333333334</v>
      </c>
      <c r="BY28" s="12">
        <f>IF('Données projet'!$A$114&gt;35,BY27+BX28-CG27,IF(A28&lt;'Données projet'!$A$114,$BV$205^A28,IF(A28='Données projet'!$A$114,'Données projet'!$B$114,BY27+BX28-CG27)))</f>
        <v>144.00000000000003</v>
      </c>
      <c r="BZ28" s="13">
        <f>BY28*VLOOKUP('Données projet'!$B$12,Paramètres!$A$1:$I$89,3,0)*VLOOKUP('Données projet'!$B$12,Paramètres!$A$1:$I$89,5,0)</f>
        <v>86.112000000000009</v>
      </c>
      <c r="CA28" s="13">
        <f t="shared" si="39"/>
        <v>23.625136642852297</v>
      </c>
      <c r="CB28" s="20">
        <f t="shared" si="10"/>
        <v>191.12551298630106</v>
      </c>
      <c r="CC28" s="59">
        <f t="shared" si="11"/>
        <v>442.24522177243028</v>
      </c>
      <c r="CD28" s="59">
        <f ca="1">AVERAGE(OFFSET($CC$3,0,0,'Données projet'!$E$12+1,1))-AVERAGE(OFFSET($H$3,0,0,'Données projet'!$E$12+1,1))</f>
        <v>368.16165268258442</v>
      </c>
      <c r="CE28" s="59">
        <f t="shared" si="40"/>
        <v>291.32219253157041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17</v>
      </c>
      <c r="CH28" s="16">
        <f>IF(ISNA(VLOOKUP(A28,'Données projet'!$A$113:$I$133,5,0)),0%,VLOOKUP(A28,'Données projet'!$A$113:$I$133,5,0)*VLOOKUP('Données projet'!$B$12,Paramètres!$A$1:$I$89,7,0))</f>
        <v>0.13500000000000001</v>
      </c>
      <c r="CI28" s="16">
        <f>IF(ISNA(VLOOKUP(A28,'Données projet'!$A$113:$I$133,6,0)),0%,VLOOKUP(A28,'Données projet'!$A$113:$I$133,6,0)*VLOOKUP('Données projet'!$B$12,Paramètres!$A$1:$I$89,7,0))</f>
        <v>0.18000000000000002</v>
      </c>
      <c r="CJ28" s="16">
        <f>IF(ISNA(VLOOKUP(A28,'Données projet'!$A$113:$I$133,7,0)),0%,VLOOKUP(A28,'Données projet'!$A$113:$I$133,7,0))</f>
        <v>0.3</v>
      </c>
      <c r="CK28" s="21">
        <f>EXP(-LN(2)/35)*CK27+(1-EXP(-LN(2)/35))/(LN(2)/35)*CG28*CH28*VLOOKUP('Données projet'!$B$12,Paramètres!$A$1:$I$89,3,0)*0.475*44/12</f>
        <v>2.8970294168669923</v>
      </c>
      <c r="CL28" s="21">
        <f>EXP(-LN(2)/25)*CL27+(1-EXP(-LN(2)/25))/(LN(2)/25)*Calculateur!CG28*Calculateur!CI28*VLOOKUP('Données projet'!$B$12,Paramètres!$A$1:$I$89,3,0)*0.475*44/12</f>
        <v>3.4649161899345557</v>
      </c>
      <c r="CM28" s="21">
        <f>EXP(-LN(2)/2)*CM27+(1-EXP(-LN(2)/2))/(LN(2)/2)*CG28*CJ28*VLOOKUP('Données projet'!$B$12,Paramètres!$A$1:$I$89,3,0)*0.475*44/12</f>
        <v>5.7511505234188451</v>
      </c>
      <c r="CN28" s="22">
        <f t="shared" si="12"/>
        <v>12.113096130220393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19.75</v>
      </c>
      <c r="CT28" s="12">
        <f>IF('Données projet'!$A$140&gt;35,CT27+CS28-DB27,IF(A28&lt;'Données projet'!$A$140,$CQ$205^A28,IF(A28='Données projet'!$A$140,'Données projet'!$B$140,CT27+CS28-DB27)))</f>
        <v>173.75</v>
      </c>
      <c r="CU28" s="17">
        <f>CT28*VLOOKUP('Données projet'!$B$13,Paramètres!$A$1:$I$89,3,0)*VLOOKUP('Données projet'!$B$13,Paramètres!$A$1:$I$89,5,0)</f>
        <v>103.9025</v>
      </c>
      <c r="CV28" s="13">
        <f t="shared" si="41"/>
        <v>27.889632783106542</v>
      </c>
      <c r="CW28" s="20">
        <f t="shared" si="13"/>
        <v>229.5379645972439</v>
      </c>
      <c r="CX28" s="59">
        <f t="shared" si="14"/>
        <v>480.65767338337309</v>
      </c>
      <c r="CY28" s="59">
        <f ca="1">AVERAGE(OFFSET($CX$3,0,0,'Données projet'!$E$13+1,1))-AVERAGE(OFFSET($H$3,0,0,'Données projet'!$E$13+1,1))</f>
        <v>317.12995176362455</v>
      </c>
      <c r="CZ28" s="59">
        <f t="shared" si="42"/>
        <v>328.11301015275262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13.720943150105176</v>
      </c>
      <c r="DG28" s="21">
        <f>EXP(-LN(2)/25)*DG27+(1-EXP(-LN(2)/25))/(LN(2)/25)*Calculateur!DB28*Calculateur!DD28*VLOOKUP('Données projet'!$B$13,Paramètres!$A$1:$I$89,3,0)*0.475*44/12</f>
        <v>13.771043259298425</v>
      </c>
      <c r="DH28" s="21">
        <f>EXP(-LN(2)/2)*DH27+(1-EXP(-LN(2)/2))/(LN(2)/2)*DB28*DE28*VLOOKUP('Données projet'!$B$13,Paramètres!$A$1:$I$89,3,0)*0.475*44/12</f>
        <v>8.9229689517503665</v>
      </c>
      <c r="DI28" s="22">
        <f t="shared" si="15"/>
        <v>36.414955361153972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143</v>
      </c>
      <c r="DM28" s="12">
        <f>VLOOKUP(A28,'Données projet'!$A$165:$I$185,9,0)</f>
        <v>12.2</v>
      </c>
      <c r="DN28" s="12">
        <f t="array" ref="DN28">INDEX(DM:DM,MIN(IF(ISNUMBER(DM28:DM224),ROW(DM28:DM224),"")))</f>
        <v>12.2</v>
      </c>
      <c r="DO28" s="12">
        <f>IF('Données projet'!$A$166&gt;35,DO27+DN28-DW27,IF(A28&lt;'Données projet'!$A$166,$DL$205^A28,IF(A28='Données projet'!$A$166,'Données projet'!$B$166,DO27+DN28-DW27)))</f>
        <v>142.99999999999997</v>
      </c>
      <c r="DP28" s="17">
        <f>DO28*VLOOKUP('Données projet'!$B$14,Paramètres!$A$1:$I$89,3,0)*VLOOKUP('Données projet'!$B$14,Paramètres!$A$1:$I$89,5,0)</f>
        <v>124.9248</v>
      </c>
      <c r="DQ28" s="13">
        <f t="shared" si="43"/>
        <v>32.820925500842712</v>
      </c>
      <c r="DR28" s="20">
        <f t="shared" si="16"/>
        <v>274.74047191396772</v>
      </c>
      <c r="DS28" s="59">
        <f t="shared" si="17"/>
        <v>525.86018070009698</v>
      </c>
      <c r="DT28" s="59">
        <f ca="1">AVERAGE(OFFSET($DS$3,0,0,'Données projet'!$E$14+1,1))-AVERAGE(OFFSET($H$3,0,0,'Données projet'!$E$14+1,1))</f>
        <v>325.5873213944476</v>
      </c>
      <c r="DU28" s="59">
        <f t="shared" si="44"/>
        <v>347.9042278368363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37</v>
      </c>
      <c r="DX28" s="16">
        <f>IF(ISNA(VLOOKUP(A28,'Données projet'!$A$165:$I$185,5,0)),0%,VLOOKUP(A28,'Données projet'!$A$165:$I$185,5,0)*VLOOKUP('Données projet'!$B$14,Paramètres!$A$1:$I$89,7,0))</f>
        <v>4.3000000000000003E-2</v>
      </c>
      <c r="DY28" s="16">
        <f>IF(ISNA(VLOOKUP(A28,'Données projet'!$A$165:$I$185,6,0)),0%,VLOOKUP(A28,'Données projet'!$A$165:$I$185,6,0)*VLOOKUP('Données projet'!$B$14,Paramètres!$A$1:$I$89,7,0))</f>
        <v>8.6000000000000007E-2</v>
      </c>
      <c r="DZ28" s="16">
        <f>IF(ISNA(VLOOKUP(A28,'Données projet'!$A$165:$I$185,7,0)),0%,VLOOKUP(A28,'Données projet'!$A$165:$I$185,7,0))</f>
        <v>0.4</v>
      </c>
      <c r="EA28" s="21">
        <f>EXP(-LN(2)/35)*EA27+(1-EXP(-LN(2)/35))/(LN(2)/35)*DW28*DX28*VLOOKUP('Données projet'!$B$14,Paramètres!$A$1:$I$89,3,0)*0.475*44/12</f>
        <v>1.5364906273839367</v>
      </c>
      <c r="EB28" s="21">
        <f>EXP(-LN(2)/25)*EB27+(1-EXP(-LN(2)/25))/(LN(2)/25)*Calculateur!DW28*Calculateur!DY28*VLOOKUP('Données projet'!$B$14,Paramètres!$A$1:$I$89,3,0)*0.475*44/12</f>
        <v>4.8613225252188936</v>
      </c>
      <c r="EC28" s="21">
        <f>EXP(-LN(2)/2)*EC27+(1-EXP(-LN(2)/2))/(LN(2)/2)*DW28*DZ28*VLOOKUP('Données projet'!$B$14,Paramètres!$A$1:$I$89,3,0)*0.475*44/12</f>
        <v>15.841895232809376</v>
      </c>
      <c r="ED28" s="22">
        <f t="shared" si="18"/>
        <v>22.239708385412207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11.25</v>
      </c>
      <c r="EJ28" s="12">
        <f>IF('Données projet'!$A$192&gt;35,EJ27+EI28-ER27,IF(A28&lt;'Données projet'!$A$192,$EG$205^A28,IF(A28='Données projet'!$A$192,'Données projet'!$B$192,EJ27+EI28-ER27)))</f>
        <v>112.25</v>
      </c>
      <c r="EK28" s="17">
        <f>EJ28*VLOOKUP('Données projet'!$B$15,Paramètres!$A$1:$I$89,3,0)*VLOOKUP('Données projet'!$B$15,Paramètres!$A$1:$I$89,5,0)</f>
        <v>67.125500000000002</v>
      </c>
      <c r="EL28" s="13">
        <f t="shared" si="45"/>
        <v>18.957885224346715</v>
      </c>
      <c r="EM28" s="20">
        <f t="shared" si="19"/>
        <v>149.92856259907052</v>
      </c>
      <c r="EN28" s="59">
        <f t="shared" si="20"/>
        <v>401.04827138519977</v>
      </c>
      <c r="EO28" s="59">
        <f ca="1">AVERAGE(OFFSET($EN$3,0,0,'Données projet'!$E$15+1,1))-AVERAGE(OFFSET($H$3,0,0,'Données projet'!$E$15+1,1))</f>
        <v>205.5480000480477</v>
      </c>
      <c r="EP28" s="59">
        <f t="shared" si="46"/>
        <v>229.86812144828366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4.6357062013100938</v>
      </c>
      <c r="EW28" s="21">
        <f>EXP(-LN(2)/25)*EW27+(1-EXP(-LN(2)/25))/(LN(2)/25)*Calculateur!ER28*Calculateur!ET28*VLOOKUP('Données projet'!$B$15,Paramètres!$A$1:$I$89,3,0)*0.475*44/12</f>
        <v>4.2518260055350359</v>
      </c>
      <c r="EX28" s="21">
        <f>EXP(-LN(2)/2)*EX27+(1-EXP(-LN(2)/2))/(LN(2)/2)*ER28*EU28*VLOOKUP('Données projet'!$B$15,Paramètres!$A$1:$I$89,3,0)*0.475*44/12</f>
        <v>3.5189173330846515</v>
      </c>
      <c r="EY28" s="22">
        <f t="shared" si="21"/>
        <v>12.406449539929781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3.05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4.5427199999999965</v>
      </c>
      <c r="D29" s="11">
        <f t="shared" si="32"/>
        <v>1.7553206219998227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23.161931922413586</v>
      </c>
      <c r="H29" s="67">
        <f t="shared" si="1"/>
        <v>222.90242074998298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33</v>
      </c>
      <c r="N29" s="13">
        <f>IF('Données projet'!$A$36&gt;35,N28+M29-V28,IF(A29&lt;'Données projet'!$A$36,$K$205^A29,IF(A29='Données projet'!$A$36,'Données projet'!$B$36,N28+M29-V28)))</f>
        <v>392.00000000000006</v>
      </c>
      <c r="O29" s="13">
        <f>N29*VLOOKUP('Données projet'!$B$9,Paramètres!$A$1:$I$89,3,0)*VLOOKUP('Données projet'!$B$9,Paramètres!$A$1:$I$89,5,0)</f>
        <v>219.12800000000004</v>
      </c>
      <c r="P29" s="13">
        <f t="shared" si="33"/>
        <v>53.925317044064428</v>
      </c>
      <c r="Q29" s="20">
        <f t="shared" si="2"/>
        <v>475.56786051841215</v>
      </c>
      <c r="R29" s="59">
        <f t="shared" si="0"/>
        <v>728.53608942175151</v>
      </c>
      <c r="S29" s="59">
        <f ca="1">AVERAGE(OFFSET($R$3,0,0,'Données projet'!$E$9+1,1))-AVERAGE(OFFSET($H$3,0,0,'Données projet'!$E$9+1,1))</f>
        <v>542.23071537860039</v>
      </c>
      <c r="T29" s="59">
        <f t="shared" si="34"/>
        <v>667.26143680054633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23.099821625434821</v>
      </c>
      <c r="AB29" s="21">
        <f>EXP(-LN(2)/2)*AB28+(1-EXP(-LN(2)/2))/(LN(2)/2)*V29*Y29*VLOOKUP('Données projet'!$B$9,Paramètres!$A$1:$I$89,3,0)*0.475*44/12</f>
        <v>12.101745548105345</v>
      </c>
      <c r="AC29" s="22">
        <f t="shared" si="3"/>
        <v>35.20156717354017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</v>
      </c>
      <c r="AI29" s="13">
        <f>IF('Données projet'!$A$62&gt;35,AI28+AH29-AQ28,IF(A29&lt;'Données projet'!$A$62,$AF$205^A29,IF(A29='Données projet'!$A$62,'Données projet'!$B$62,AI28+AH29-AQ28)))</f>
        <v>309</v>
      </c>
      <c r="AJ29" s="13">
        <f>AI29*VLOOKUP('Données projet'!$B$10,Paramètres!$A$1:$I$89,3,0)*VLOOKUP('Données projet'!$B$10,Paramètres!$A$1:$I$89,5,0)</f>
        <v>172.73100000000002</v>
      </c>
      <c r="AK29" s="13">
        <f t="shared" si="35"/>
        <v>43.701108252019125</v>
      </c>
      <c r="AL29" s="20">
        <f t="shared" si="4"/>
        <v>376.9525885389333</v>
      </c>
      <c r="AM29" s="59">
        <f t="shared" si="5"/>
        <v>629.92081744227266</v>
      </c>
      <c r="AN29" s="59">
        <f ca="1">AVERAGE(OFFSET($AM$3,0,0,'Données projet'!$E$10+1,1))-AVERAGE(OFFSET($H$3,0,0,'Données projet'!$E$10+1,1))</f>
        <v>427.83834708696861</v>
      </c>
      <c r="AO29" s="59">
        <f t="shared" si="36"/>
        <v>545.63950537101903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12.802456417016041</v>
      </c>
      <c r="AW29" s="21">
        <f>EXP(-LN(2)/2)*AW28+(1-EXP(-LN(2)/2))/(LN(2)/2)*AQ29*AT29*VLOOKUP('Données projet'!$B$10,Paramètres!$A$1:$I$89,3,0)*0.475*44/12</f>
        <v>9.6668749451908429</v>
      </c>
      <c r="AX29" s="21">
        <f t="shared" si="6"/>
        <v>22.469331362206884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6.4749999999999996</v>
      </c>
      <c r="BD29" s="12">
        <f>IF('Données projet'!$A$88&gt;35,BD28+BC29-BL28,IF(A29&lt;'Données projet'!$A$88,$BA$205^A29,IF(A29='Données projet'!$A$88,'Données projet'!$B$88,BD28+BC29-BL28)))</f>
        <v>125.09999999999997</v>
      </c>
      <c r="BE29" s="13">
        <f>BD29*VLOOKUP('Données projet'!$B$11,Paramètres!$A$1:$I$89,3,0)*VLOOKUP('Données projet'!$B$11,Paramètres!$A$1:$I$89,5,0)</f>
        <v>58.546799999999983</v>
      </c>
      <c r="BF29" s="13">
        <f t="shared" si="37"/>
        <v>16.800331820648545</v>
      </c>
      <c r="BG29" s="20">
        <f t="shared" si="7"/>
        <v>131.22958792096287</v>
      </c>
      <c r="BH29" s="59">
        <f t="shared" si="8"/>
        <v>384.19781682430221</v>
      </c>
      <c r="BI29" s="59">
        <f ca="1">AVERAGE(OFFSET($BH$3,0,0,'Données projet'!$E$11+1,1))-AVERAGE(OFFSET($H$3,0,0,'Données projet'!$E$11+1,1))</f>
        <v>210.62109466714364</v>
      </c>
      <c r="BJ29" s="59">
        <f t="shared" si="38"/>
        <v>193.35729443770401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1.7434102764359685</v>
      </c>
      <c r="BQ29" s="21">
        <f>EXP(-LN(2)/25)*BQ28+(1-EXP(-LN(2)/25))/(LN(2)/25)*Calculateur!BL29*Calculateur!BN29*VLOOKUP('Données projet'!$B$11,Paramètres!$A$1:$I$89,3,0)*0.475*44/12</f>
        <v>1.6559384356871454</v>
      </c>
      <c r="BR29" s="21">
        <f>EXP(-LN(2)/2)*BR28+(1-EXP(-LN(2)/2))/(LN(2)/2)*BL29*BO29*VLOOKUP('Données projet'!$B$11,Paramètres!$A$1:$I$89,3,0)*0.475*44/12</f>
        <v>1.1425639172413953</v>
      </c>
      <c r="BS29" s="22">
        <f t="shared" si="9"/>
        <v>4.5419126293645089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13.4</v>
      </c>
      <c r="BY29" s="12">
        <f>IF('Données projet'!$A$114&gt;35,BY28+BX29-CG28,IF(A29&lt;'Données projet'!$A$114,$BV$205^A29,IF(A29='Données projet'!$A$114,'Données projet'!$B$114,BY28+BX29-CG28)))</f>
        <v>140.40000000000003</v>
      </c>
      <c r="BZ29" s="13">
        <f>BY29*VLOOKUP('Données projet'!$B$12,Paramètres!$A$1:$I$89,3,0)*VLOOKUP('Données projet'!$B$12,Paramètres!$A$1:$I$89,5,0)</f>
        <v>83.959200000000024</v>
      </c>
      <c r="CA29" s="13">
        <f t="shared" si="39"/>
        <v>23.102490880810642</v>
      </c>
      <c r="CB29" s="20">
        <f t="shared" si="10"/>
        <v>186.46577828407854</v>
      </c>
      <c r="CC29" s="59">
        <f t="shared" si="11"/>
        <v>439.43400718741788</v>
      </c>
      <c r="CD29" s="59">
        <f ca="1">AVERAGE(OFFSET($CC$3,0,0,'Données projet'!$E$12+1,1))-AVERAGE(OFFSET($H$3,0,0,'Données projet'!$E$12+1,1))</f>
        <v>368.16165268258442</v>
      </c>
      <c r="CE29" s="59">
        <f t="shared" si="40"/>
        <v>291.32219253157041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2.8402204370156969</v>
      </c>
      <c r="CL29" s="21">
        <f>EXP(-LN(2)/25)*CL28+(1-EXP(-LN(2)/25))/(LN(2)/25)*Calculateur!CG29*Calculateur!CI29*VLOOKUP('Données projet'!$B$12,Paramètres!$A$1:$I$89,3,0)*0.475*44/12</f>
        <v>3.370167874508772</v>
      </c>
      <c r="CM29" s="21">
        <f>EXP(-LN(2)/2)*CM28+(1-EXP(-LN(2)/2))/(LN(2)/2)*CG29*CJ29*VLOOKUP('Données projet'!$B$12,Paramètres!$A$1:$I$89,3,0)*0.475*44/12</f>
        <v>4.066677534734028</v>
      </c>
      <c r="CN29" s="22">
        <f t="shared" si="12"/>
        <v>10.277065846258497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19.75</v>
      </c>
      <c r="CT29" s="12">
        <f>IF('Données projet'!$A$140&gt;35,CT28+CS29-DB28,IF(A29&lt;'Données projet'!$A$140,$CQ$205^A29,IF(A29='Données projet'!$A$140,'Données projet'!$B$140,CT28+CS29-DB28)))</f>
        <v>193.5</v>
      </c>
      <c r="CU29" s="17">
        <f>CT29*VLOOKUP('Données projet'!$B$13,Paramètres!$A$1:$I$89,3,0)*VLOOKUP('Données projet'!$B$13,Paramètres!$A$1:$I$89,5,0)</f>
        <v>115.71300000000001</v>
      </c>
      <c r="CV29" s="13">
        <f t="shared" si="41"/>
        <v>30.673019842466044</v>
      </c>
      <c r="CW29" s="20">
        <f t="shared" si="13"/>
        <v>254.95565122562834</v>
      </c>
      <c r="CX29" s="59">
        <f t="shared" si="14"/>
        <v>507.92388012896765</v>
      </c>
      <c r="CY29" s="59">
        <f ca="1">AVERAGE(OFFSET($CX$3,0,0,'Données projet'!$E$13+1,1))-AVERAGE(OFFSET($H$3,0,0,'Données projet'!$E$13+1,1))</f>
        <v>317.12995176362455</v>
      </c>
      <c r="CZ29" s="59">
        <f t="shared" si="42"/>
        <v>328.11301015275262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13.45188382388057</v>
      </c>
      <c r="DG29" s="21">
        <f>EXP(-LN(2)/25)*DG28+(1-EXP(-LN(2)/25))/(LN(2)/25)*Calculateur!DB29*Calculateur!DD29*VLOOKUP('Données projet'!$B$13,Paramètres!$A$1:$I$89,3,0)*0.475*44/12</f>
        <v>13.394473357185218</v>
      </c>
      <c r="DH29" s="21">
        <f>EXP(-LN(2)/2)*DH28+(1-EXP(-LN(2)/2))/(LN(2)/2)*DB29*DE29*VLOOKUP('Données projet'!$B$13,Paramètres!$A$1:$I$89,3,0)*0.475*44/12</f>
        <v>6.3094918540997043</v>
      </c>
      <c r="DI29" s="22">
        <f t="shared" si="15"/>
        <v>33.155849035165488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11.4</v>
      </c>
      <c r="DO29" s="12">
        <f>IF('Données projet'!$A$166&gt;35,DO28+DN29-DW28,IF(A29&lt;'Données projet'!$A$166,$DL$205^A29,IF(A29='Données projet'!$A$166,'Données projet'!$B$166,DO28+DN29-DW28)))</f>
        <v>117.39999999999998</v>
      </c>
      <c r="DP29" s="17">
        <f>DO29*VLOOKUP('Données projet'!$B$14,Paramètres!$A$1:$I$89,3,0)*VLOOKUP('Données projet'!$B$14,Paramètres!$A$1:$I$89,5,0)</f>
        <v>102.56064000000001</v>
      </c>
      <c r="DQ29" s="13">
        <f t="shared" si="43"/>
        <v>27.571134131783779</v>
      </c>
      <c r="DR29" s="20">
        <f t="shared" si="16"/>
        <v>226.64617327952342</v>
      </c>
      <c r="DS29" s="59">
        <f t="shared" si="17"/>
        <v>479.61440218286276</v>
      </c>
      <c r="DT29" s="59">
        <f ca="1">AVERAGE(OFFSET($DS$3,0,0,'Données projet'!$E$14+1,1))-AVERAGE(OFFSET($H$3,0,0,'Données projet'!$E$14+1,1))</f>
        <v>325.5873213944476</v>
      </c>
      <c r="DU29" s="59">
        <f t="shared" si="44"/>
        <v>347.9042278368363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1.506360983347683</v>
      </c>
      <c r="EB29" s="21">
        <f>EXP(-LN(2)/25)*EB28+(1-EXP(-LN(2)/25))/(LN(2)/25)*Calculateur!DW29*Calculateur!DY29*VLOOKUP('Données projet'!$B$14,Paramètres!$A$1:$I$89,3,0)*0.475*44/12</f>
        <v>4.7283894051209421</v>
      </c>
      <c r="EC29" s="21">
        <f>EXP(-LN(2)/2)*EC28+(1-EXP(-LN(2)/2))/(LN(2)/2)*DW29*DZ29*VLOOKUP('Données projet'!$B$14,Paramètres!$A$1:$I$89,3,0)*0.475*44/12</f>
        <v>11.20191154596635</v>
      </c>
      <c r="ED29" s="22">
        <f t="shared" si="18"/>
        <v>17.436661934434976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11.25</v>
      </c>
      <c r="EJ29" s="12">
        <f>IF('Données projet'!$A$192&gt;35,EJ28+EI29-ER28,IF(A29&lt;'Données projet'!$A$192,$EG$205^A29,IF(A29='Données projet'!$A$192,'Données projet'!$B$192,EJ28+EI29-ER28)))</f>
        <v>123.5</v>
      </c>
      <c r="EK29" s="17">
        <f>EJ29*VLOOKUP('Données projet'!$B$15,Paramètres!$A$1:$I$89,3,0)*VLOOKUP('Données projet'!$B$15,Paramètres!$A$1:$I$89,5,0)</f>
        <v>73.853000000000009</v>
      </c>
      <c r="EL29" s="13">
        <f t="shared" si="45"/>
        <v>20.627289068131414</v>
      </c>
      <c r="EM29" s="20">
        <f t="shared" si="19"/>
        <v>164.55317012699555</v>
      </c>
      <c r="EN29" s="59">
        <f t="shared" si="20"/>
        <v>417.52139903033492</v>
      </c>
      <c r="EO29" s="59">
        <f ca="1">AVERAGE(OFFSET($EN$3,0,0,'Données projet'!$E$15+1,1))-AVERAGE(OFFSET($H$3,0,0,'Données projet'!$E$15+1,1))</f>
        <v>205.5480000480477</v>
      </c>
      <c r="EP29" s="59">
        <f t="shared" si="46"/>
        <v>229.86812144828366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4.5448028302039933</v>
      </c>
      <c r="EW29" s="21">
        <f>EXP(-LN(2)/25)*EW28+(1-EXP(-LN(2)/25))/(LN(2)/25)*Calculateur!ER29*Calculateur!ET29*VLOOKUP('Données projet'!$B$15,Paramètres!$A$1:$I$89,3,0)*0.475*44/12</f>
        <v>4.1355595998198682</v>
      </c>
      <c r="EX29" s="21">
        <f>EXP(-LN(2)/2)*EX28+(1-EXP(-LN(2)/2))/(LN(2)/2)*ER29*EU29*VLOOKUP('Données projet'!$B$15,Paramètres!$A$1:$I$89,3,0)*0.475*44/12</f>
        <v>2.4882503086590382</v>
      </c>
      <c r="EY29" s="22">
        <f t="shared" si="21"/>
        <v>11.168612738682901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3.05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4.7174399999999963</v>
      </c>
      <c r="D30" s="11">
        <f t="shared" si="32"/>
        <v>1.8148428585108953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23.740551341725151</v>
      </c>
      <c r="H30" s="67">
        <f t="shared" si="1"/>
        <v>223.31039264523977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33</v>
      </c>
      <c r="N30" s="13">
        <f>IF('Données projet'!$A$36&gt;35,N29+M30-V29,IF(A30&lt;'Données projet'!$A$36,$K$205^A30,IF(A30='Données projet'!$A$36,'Données projet'!$B$36,N29+M30-V29)))</f>
        <v>425.00000000000006</v>
      </c>
      <c r="O30" s="13">
        <f>N30*VLOOKUP('Données projet'!$B$9,Paramètres!$A$1:$I$89,3,0)*VLOOKUP('Données projet'!$B$9,Paramètres!$A$1:$I$89,5,0)</f>
        <v>237.57500000000005</v>
      </c>
      <c r="P30" s="13">
        <f t="shared" si="33"/>
        <v>57.917471937261212</v>
      </c>
      <c r="Q30" s="20">
        <f t="shared" si="2"/>
        <v>514.64938862406336</v>
      </c>
      <c r="R30" s="59">
        <f t="shared" si="0"/>
        <v>769.45527277632709</v>
      </c>
      <c r="S30" s="59">
        <f ca="1">AVERAGE(OFFSET($R$3,0,0,'Données projet'!$E$9+1,1))-AVERAGE(OFFSET($H$3,0,0,'Données projet'!$E$9+1,1))</f>
        <v>542.23071537860039</v>
      </c>
      <c r="T30" s="59">
        <f t="shared" si="34"/>
        <v>667.26143680054633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22.46815578832048</v>
      </c>
      <c r="AB30" s="21">
        <f>EXP(-LN(2)/2)*AB29+(1-EXP(-LN(2)/2))/(LN(2)/2)*V30*Y30*VLOOKUP('Données projet'!$B$9,Paramètres!$A$1:$I$89,3,0)*0.475*44/12</f>
        <v>8.557226341259403</v>
      </c>
      <c r="AC30" s="22">
        <f t="shared" si="3"/>
        <v>31.025382129579882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</v>
      </c>
      <c r="AI30" s="13">
        <f>IF('Données projet'!$A$62&gt;35,AI29+AH30-AQ29,IF(A30&lt;'Données projet'!$A$62,$AF$205^A30,IF(A30='Données projet'!$A$62,'Données projet'!$B$62,AI29+AH30-AQ29)))</f>
        <v>337</v>
      </c>
      <c r="AJ30" s="13">
        <f>AI30*VLOOKUP('Données projet'!$B$10,Paramètres!$A$1:$I$89,3,0)*VLOOKUP('Données projet'!$B$10,Paramètres!$A$1:$I$89,5,0)</f>
        <v>188.38300000000001</v>
      </c>
      <c r="AK30" s="13">
        <f t="shared" si="35"/>
        <v>47.182279474248382</v>
      </c>
      <c r="AL30" s="20">
        <f t="shared" si="4"/>
        <v>410.27619508431599</v>
      </c>
      <c r="AM30" s="59">
        <f t="shared" si="5"/>
        <v>665.08207923657972</v>
      </c>
      <c r="AN30" s="59">
        <f ca="1">AVERAGE(OFFSET($AM$3,0,0,'Données projet'!$E$10+1,1))-AVERAGE(OFFSET($H$3,0,0,'Données projet'!$E$10+1,1))</f>
        <v>427.83834708696861</v>
      </c>
      <c r="AO30" s="59">
        <f t="shared" si="36"/>
        <v>545.63950537101903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12.452372573040815</v>
      </c>
      <c r="AW30" s="21">
        <f>EXP(-LN(2)/2)*AW29+(1-EXP(-LN(2)/2))/(LN(2)/2)*AQ30*AT30*VLOOKUP('Données projet'!$B$10,Paramètres!$A$1:$I$89,3,0)*0.475*44/12</f>
        <v>6.8355128266267808</v>
      </c>
      <c r="AX30" s="21">
        <f t="shared" si="6"/>
        <v>19.287885399667594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6.4749999999999996</v>
      </c>
      <c r="BD30" s="12">
        <f>IF('Données projet'!$A$88&gt;35,BD29+BC30-BL29,IF(A30&lt;'Données projet'!$A$88,$BA$205^A30,IF(A30='Données projet'!$A$88,'Données projet'!$B$88,BD29+BC30-BL29)))</f>
        <v>131.57499999999996</v>
      </c>
      <c r="BE30" s="13">
        <f>BD30*VLOOKUP('Données projet'!$B$11,Paramètres!$A$1:$I$89,3,0)*VLOOKUP('Données projet'!$B$11,Paramètres!$A$1:$I$89,5,0)</f>
        <v>61.57709999999998</v>
      </c>
      <c r="BF30" s="13">
        <f t="shared" si="37"/>
        <v>17.566405271140081</v>
      </c>
      <c r="BG30" s="20">
        <f t="shared" si="7"/>
        <v>137.84160501390227</v>
      </c>
      <c r="BH30" s="59">
        <f t="shared" si="8"/>
        <v>392.647489166166</v>
      </c>
      <c r="BI30" s="59">
        <f ca="1">AVERAGE(OFFSET($BH$3,0,0,'Données projet'!$E$11+1,1))-AVERAGE(OFFSET($H$3,0,0,'Données projet'!$E$11+1,1))</f>
        <v>210.62109466714364</v>
      </c>
      <c r="BJ30" s="59">
        <f t="shared" si="38"/>
        <v>193.35729443770401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1.7092230642903281</v>
      </c>
      <c r="BQ30" s="21">
        <f>EXP(-LN(2)/25)*BQ29+(1-EXP(-LN(2)/25))/(LN(2)/25)*Calculateur!BL30*Calculateur!BN30*VLOOKUP('Données projet'!$B$11,Paramètres!$A$1:$I$89,3,0)*0.475*44/12</f>
        <v>1.6106567120812627</v>
      </c>
      <c r="BR30" s="21">
        <f>EXP(-LN(2)/2)*BR29+(1-EXP(-LN(2)/2))/(LN(2)/2)*BL30*BO30*VLOOKUP('Données projet'!$B$11,Paramètres!$A$1:$I$89,3,0)*0.475*44/12</f>
        <v>0.80791469382045589</v>
      </c>
      <c r="BS30" s="22">
        <f t="shared" si="9"/>
        <v>4.1277944701920468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13.4</v>
      </c>
      <c r="BY30" s="12">
        <f>IF('Données projet'!$A$114&gt;35,BY29+BX30-CG29,IF(A30&lt;'Données projet'!$A$114,$BV$205^A30,IF(A30='Données projet'!$A$114,'Données projet'!$B$114,BY29+BX30-CG29)))</f>
        <v>153.80000000000004</v>
      </c>
      <c r="BZ30" s="13">
        <f>BY30*VLOOKUP('Données projet'!$B$12,Paramètres!$A$1:$I$89,3,0)*VLOOKUP('Données projet'!$B$12,Paramètres!$A$1:$I$89,5,0)</f>
        <v>91.972400000000022</v>
      </c>
      <c r="CA30" s="13">
        <f t="shared" si="39"/>
        <v>25.040318527820091</v>
      </c>
      <c r="CB30" s="20">
        <f t="shared" si="10"/>
        <v>203.79715143595334</v>
      </c>
      <c r="CC30" s="59">
        <f t="shared" si="11"/>
        <v>458.6030355882171</v>
      </c>
      <c r="CD30" s="59">
        <f ca="1">AVERAGE(OFFSET($CC$3,0,0,'Données projet'!$E$12+1,1))-AVERAGE(OFFSET($H$3,0,0,'Données projet'!$E$12+1,1))</f>
        <v>368.16165268258442</v>
      </c>
      <c r="CE30" s="59">
        <f t="shared" si="40"/>
        <v>291.32219253157041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2.7845254466092291</v>
      </c>
      <c r="CL30" s="21">
        <f>EXP(-LN(2)/25)*CL29+(1-EXP(-LN(2)/25))/(LN(2)/25)*Calculateur!CG30*Calculateur!CI30*VLOOKUP('Données projet'!$B$12,Paramètres!$A$1:$I$89,3,0)*0.475*44/12</f>
        <v>3.2780104567509039</v>
      </c>
      <c r="CM30" s="21">
        <f>EXP(-LN(2)/2)*CM29+(1-EXP(-LN(2)/2))/(LN(2)/2)*CG30*CJ30*VLOOKUP('Données projet'!$B$12,Paramètres!$A$1:$I$89,3,0)*0.475*44/12</f>
        <v>2.875575261709423</v>
      </c>
      <c r="CN30" s="22">
        <f t="shared" si="12"/>
        <v>8.9381111650695555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19.75</v>
      </c>
      <c r="CT30" s="12">
        <f>IF('Données projet'!$A$140&gt;35,CT29+CS30-DB29,IF(A30&lt;'Données projet'!$A$140,$CQ$205^A30,IF(A30='Données projet'!$A$140,'Données projet'!$B$140,CT29+CS30-DB29)))</f>
        <v>213.25</v>
      </c>
      <c r="CU30" s="17">
        <f>CT30*VLOOKUP('Données projet'!$B$13,Paramètres!$A$1:$I$89,3,0)*VLOOKUP('Données projet'!$B$13,Paramètres!$A$1:$I$89,5,0)</f>
        <v>127.5235</v>
      </c>
      <c r="CV30" s="13">
        <f t="shared" si="41"/>
        <v>33.423473895208211</v>
      </c>
      <c r="CW30" s="20">
        <f t="shared" si="13"/>
        <v>280.31597953415428</v>
      </c>
      <c r="CX30" s="59">
        <f t="shared" si="14"/>
        <v>535.12186368641801</v>
      </c>
      <c r="CY30" s="59">
        <f ca="1">AVERAGE(OFFSET($CX$3,0,0,'Données projet'!$E$13+1,1))-AVERAGE(OFFSET($H$3,0,0,'Données projet'!$E$13+1,1))</f>
        <v>317.12995176362455</v>
      </c>
      <c r="CZ30" s="59">
        <f t="shared" si="42"/>
        <v>328.11301015275262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13.188100586933244</v>
      </c>
      <c r="DG30" s="21">
        <f>EXP(-LN(2)/25)*DG29+(1-EXP(-LN(2)/25))/(LN(2)/25)*Calculateur!DB30*Calculateur!DD30*VLOOKUP('Données projet'!$B$13,Paramètres!$A$1:$I$89,3,0)*0.475*44/12</f>
        <v>13.028200778848248</v>
      </c>
      <c r="DH30" s="21">
        <f>EXP(-LN(2)/2)*DH29+(1-EXP(-LN(2)/2))/(LN(2)/2)*DB30*DE30*VLOOKUP('Données projet'!$B$13,Paramètres!$A$1:$I$89,3,0)*0.475*44/12</f>
        <v>4.4614844758751842</v>
      </c>
      <c r="DI30" s="22">
        <f t="shared" si="15"/>
        <v>30.677785841656675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11.4</v>
      </c>
      <c r="DO30" s="12">
        <f>IF('Données projet'!$A$166&gt;35,DO29+DN30-DW29,IF(A30&lt;'Données projet'!$A$166,$DL$205^A30,IF(A30='Données projet'!$A$166,'Données projet'!$B$166,DO29+DN30-DW29)))</f>
        <v>128.79999999999998</v>
      </c>
      <c r="DP30" s="17">
        <f>DO30*VLOOKUP('Données projet'!$B$14,Paramètres!$A$1:$I$89,3,0)*VLOOKUP('Données projet'!$B$14,Paramètres!$A$1:$I$89,5,0)</f>
        <v>112.51968000000001</v>
      </c>
      <c r="DQ30" s="13">
        <f t="shared" si="43"/>
        <v>29.923856072189899</v>
      </c>
      <c r="DR30" s="20">
        <f t="shared" si="16"/>
        <v>248.08915865906408</v>
      </c>
      <c r="DS30" s="59">
        <f t="shared" si="17"/>
        <v>502.89504281132781</v>
      </c>
      <c r="DT30" s="59">
        <f ca="1">AVERAGE(OFFSET($DS$3,0,0,'Données projet'!$E$14+1,1))-AVERAGE(OFFSET($H$3,0,0,'Données projet'!$E$14+1,1))</f>
        <v>325.5873213944476</v>
      </c>
      <c r="DU30" s="59">
        <f t="shared" si="44"/>
        <v>347.9042278368363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1.4768221632537117</v>
      </c>
      <c r="EB30" s="21">
        <f>EXP(-LN(2)/25)*EB29+(1-EXP(-LN(2)/25))/(LN(2)/25)*Calculateur!DW30*Calculateur!DY30*VLOOKUP('Données projet'!$B$14,Paramètres!$A$1:$I$89,3,0)*0.475*44/12</f>
        <v>4.5990913481827178</v>
      </c>
      <c r="EC30" s="21">
        <f>EXP(-LN(2)/2)*EC29+(1-EXP(-LN(2)/2))/(LN(2)/2)*DW30*DZ30*VLOOKUP('Données projet'!$B$14,Paramètres!$A$1:$I$89,3,0)*0.475*44/12</f>
        <v>7.920947616404689</v>
      </c>
      <c r="ED30" s="22">
        <f t="shared" si="18"/>
        <v>13.996861127841118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11.25</v>
      </c>
      <c r="EJ30" s="12">
        <f>IF('Données projet'!$A$192&gt;35,EJ29+EI30-ER29,IF(A30&lt;'Données projet'!$A$192,$EG$205^A30,IF(A30='Données projet'!$A$192,'Données projet'!$B$192,EJ29+EI30-ER29)))</f>
        <v>134.75</v>
      </c>
      <c r="EK30" s="17">
        <f>EJ30*VLOOKUP('Données projet'!$B$15,Paramètres!$A$1:$I$89,3,0)*VLOOKUP('Données projet'!$B$15,Paramètres!$A$1:$I$89,5,0)</f>
        <v>80.580500000000001</v>
      </c>
      <c r="EL30" s="13">
        <f t="shared" si="45"/>
        <v>22.279059616532283</v>
      </c>
      <c r="EM30" s="20">
        <f t="shared" si="19"/>
        <v>179.14706633212708</v>
      </c>
      <c r="EN30" s="59">
        <f t="shared" si="20"/>
        <v>433.95295048439084</v>
      </c>
      <c r="EO30" s="59">
        <f ca="1">AVERAGE(OFFSET($EN$3,0,0,'Données projet'!$E$15+1,1))-AVERAGE(OFFSET($H$3,0,0,'Données projet'!$E$15+1,1))</f>
        <v>205.5480000480477</v>
      </c>
      <c r="EP30" s="59">
        <f t="shared" si="46"/>
        <v>229.86812144828366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4.4556820187597017</v>
      </c>
      <c r="EW30" s="21">
        <f>EXP(-LN(2)/25)*EW29+(1-EXP(-LN(2)/25))/(LN(2)/25)*Calculateur!ER30*Calculateur!ET30*VLOOKUP('Données projet'!$B$15,Paramètres!$A$1:$I$89,3,0)*0.475*44/12</f>
        <v>4.0224725050831669</v>
      </c>
      <c r="EX30" s="21">
        <f>EXP(-LN(2)/2)*EX29+(1-EXP(-LN(2)/2))/(LN(2)/2)*ER30*EU30*VLOOKUP('Données projet'!$B$15,Paramètres!$A$1:$I$89,3,0)*0.475*44/12</f>
        <v>1.759458666542326</v>
      </c>
      <c r="EY30" s="22">
        <f t="shared" si="21"/>
        <v>10.237613190385193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3.05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4.8921599999999961</v>
      </c>
      <c r="D31" s="11">
        <f t="shared" si="32"/>
        <v>1.8741089785341052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24.318538108378977</v>
      </c>
      <c r="H31" s="67">
        <f t="shared" si="1"/>
        <v>223.71791847094687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33</v>
      </c>
      <c r="N31" s="13">
        <f>IF('Données projet'!$A$36&gt;35,N30+M31-V30,IF(A31&lt;'Données projet'!$A$36,$K$205^A31,IF(A31='Données projet'!$A$36,'Données projet'!$B$36,N30+M31-V30)))</f>
        <v>458.00000000000006</v>
      </c>
      <c r="O31" s="13">
        <f>N31*VLOOKUP('Données projet'!$B$9,Paramètres!$A$1:$I$89,3,0)*VLOOKUP('Données projet'!$B$9,Paramètres!$A$1:$I$89,5,0)</f>
        <v>256.02200000000005</v>
      </c>
      <c r="P31" s="13">
        <f t="shared" si="33"/>
        <v>61.87366971205131</v>
      </c>
      <c r="Q31" s="20">
        <f t="shared" si="2"/>
        <v>553.66829141515609</v>
      </c>
      <c r="R31" s="59">
        <f t="shared" si="0"/>
        <v>810.30115442923307</v>
      </c>
      <c r="S31" s="59">
        <f ca="1">AVERAGE(OFFSET($R$3,0,0,'Données projet'!$E$9+1,1))-AVERAGE(OFFSET($H$3,0,0,'Données projet'!$E$9+1,1))</f>
        <v>542.23071537860039</v>
      </c>
      <c r="T31" s="59">
        <f t="shared" si="34"/>
        <v>667.26143680054633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21.853762886739897</v>
      </c>
      <c r="AB31" s="21">
        <f>EXP(-LN(2)/2)*AB30+(1-EXP(-LN(2)/2))/(LN(2)/2)*V31*Y31*VLOOKUP('Données projet'!$B$9,Paramètres!$A$1:$I$89,3,0)*0.475*44/12</f>
        <v>6.0508727740526735</v>
      </c>
      <c r="AC31" s="22">
        <f t="shared" si="3"/>
        <v>27.904635660792572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</v>
      </c>
      <c r="AI31" s="13">
        <f>IF('Données projet'!$A$62&gt;35,AI30+AH31-AQ30,IF(A31&lt;'Données projet'!$A$62,$AF$205^A31,IF(A31='Données projet'!$A$62,'Données projet'!$B$62,AI30+AH31-AQ30)))</f>
        <v>365</v>
      </c>
      <c r="AJ31" s="13">
        <f>AI31*VLOOKUP('Données projet'!$B$10,Paramètres!$A$1:$I$89,3,0)*VLOOKUP('Données projet'!$B$10,Paramètres!$A$1:$I$89,5,0)</f>
        <v>204.035</v>
      </c>
      <c r="AK31" s="13">
        <f t="shared" si="35"/>
        <v>50.629905099971396</v>
      </c>
      <c r="AL31" s="20">
        <f t="shared" si="4"/>
        <v>443.54137638245015</v>
      </c>
      <c r="AM31" s="59">
        <f t="shared" si="5"/>
        <v>700.17423939652713</v>
      </c>
      <c r="AN31" s="59">
        <f ca="1">AVERAGE(OFFSET($AM$3,0,0,'Données projet'!$E$10+1,1))-AVERAGE(OFFSET($H$3,0,0,'Données projet'!$E$10+1,1))</f>
        <v>427.83834708696861</v>
      </c>
      <c r="AO31" s="59">
        <f t="shared" si="36"/>
        <v>545.63950537101903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12.111861790189201</v>
      </c>
      <c r="AW31" s="21">
        <f>EXP(-LN(2)/2)*AW30+(1-EXP(-LN(2)/2))/(LN(2)/2)*AQ31*AT31*VLOOKUP('Données projet'!$B$10,Paramètres!$A$1:$I$89,3,0)*0.475*44/12</f>
        <v>4.8334374725954223</v>
      </c>
      <c r="AX31" s="21">
        <f t="shared" si="6"/>
        <v>16.945299262784623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6.4749999999999996</v>
      </c>
      <c r="BD31" s="12">
        <f>IF('Données projet'!$A$88&gt;35,BD30+BC31-BL30,IF(A31&lt;'Données projet'!$A$88,$BA$205^A31,IF(A31='Données projet'!$A$88,'Données projet'!$B$88,BD30+BC31-BL30)))</f>
        <v>138.04999999999995</v>
      </c>
      <c r="BE31" s="13">
        <f>BD31*VLOOKUP('Données projet'!$B$11,Paramètres!$A$1:$I$89,3,0)*VLOOKUP('Données projet'!$B$11,Paramètres!$A$1:$I$89,5,0)</f>
        <v>64.60739999999997</v>
      </c>
      <c r="BF31" s="13">
        <f t="shared" si="37"/>
        <v>18.328101166480792</v>
      </c>
      <c r="BG31" s="20">
        <f t="shared" si="7"/>
        <v>144.44599786495399</v>
      </c>
      <c r="BH31" s="59">
        <f t="shared" si="8"/>
        <v>401.07886087903091</v>
      </c>
      <c r="BI31" s="59">
        <f ca="1">AVERAGE(OFFSET($BH$3,0,0,'Données projet'!$E$11+1,1))-AVERAGE(OFFSET($H$3,0,0,'Données projet'!$E$11+1,1))</f>
        <v>210.62109466714364</v>
      </c>
      <c r="BJ31" s="59">
        <f t="shared" si="38"/>
        <v>193.35729443770401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1.6757062425227234</v>
      </c>
      <c r="BQ31" s="21">
        <f>EXP(-LN(2)/25)*BQ30+(1-EXP(-LN(2)/25))/(LN(2)/25)*Calculateur!BL31*Calculateur!BN31*VLOOKUP('Données projet'!$B$11,Paramètres!$A$1:$I$89,3,0)*0.475*44/12</f>
        <v>1.5666132195886453</v>
      </c>
      <c r="BR31" s="21">
        <f>EXP(-LN(2)/2)*BR30+(1-EXP(-LN(2)/2))/(LN(2)/2)*BL31*BO31*VLOOKUP('Données projet'!$B$11,Paramètres!$A$1:$I$89,3,0)*0.475*44/12</f>
        <v>0.57128195862069764</v>
      </c>
      <c r="BS31" s="22">
        <f t="shared" si="9"/>
        <v>3.8136014207320663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13.4</v>
      </c>
      <c r="BY31" s="12">
        <f>IF('Données projet'!$A$114&gt;35,BY30+BX31-CG30,IF(A31&lt;'Données projet'!$A$114,$BV$205^A31,IF(A31='Données projet'!$A$114,'Données projet'!$B$114,BY30+BX31-CG30)))</f>
        <v>167.20000000000005</v>
      </c>
      <c r="BZ31" s="13">
        <f>BY31*VLOOKUP('Données projet'!$B$12,Paramètres!$A$1:$I$89,3,0)*VLOOKUP('Données projet'!$B$12,Paramètres!$A$1:$I$89,5,0)</f>
        <v>99.985600000000034</v>
      </c>
      <c r="CA31" s="13">
        <f t="shared" si="39"/>
        <v>26.958566918169435</v>
      </c>
      <c r="CB31" s="20">
        <f t="shared" si="10"/>
        <v>221.09442404914515</v>
      </c>
      <c r="CC31" s="59">
        <f t="shared" si="11"/>
        <v>477.72728706322209</v>
      </c>
      <c r="CD31" s="59">
        <f ca="1">AVERAGE(OFFSET($CC$3,0,0,'Données projet'!$E$12+1,1))-AVERAGE(OFFSET($H$3,0,0,'Données projet'!$E$12+1,1))</f>
        <v>368.16165268258442</v>
      </c>
      <c r="CE31" s="59">
        <f t="shared" si="40"/>
        <v>291.32219253157041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2.7299226009940423</v>
      </c>
      <c r="CL31" s="21">
        <f>EXP(-LN(2)/25)*CL30+(1-EXP(-LN(2)/25))/(LN(2)/25)*Calculateur!CG31*Calculateur!CI31*VLOOKUP('Données projet'!$B$12,Paramètres!$A$1:$I$89,3,0)*0.475*44/12</f>
        <v>3.1883730884279724</v>
      </c>
      <c r="CM31" s="21">
        <f>EXP(-LN(2)/2)*CM30+(1-EXP(-LN(2)/2))/(LN(2)/2)*CG31*CJ31*VLOOKUP('Données projet'!$B$12,Paramètres!$A$1:$I$89,3,0)*0.475*44/12</f>
        <v>2.0333387673670145</v>
      </c>
      <c r="CN31" s="22">
        <f t="shared" si="12"/>
        <v>7.95163445678903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>
        <f>VLOOKUP(A31,'Données projet'!$A$139:$I$159,2,0)</f>
        <v>233</v>
      </c>
      <c r="CR31" s="12">
        <f>VLOOKUP(A31,'Données projet'!$A$139:$I$159,9,0)</f>
        <v>19.75</v>
      </c>
      <c r="CS31" s="12">
        <f t="array" ref="CS31">INDEX(CR:CR,MIN(IF(ISNUMBER(CR31:CR227),ROW(CR31:CR227),"")))</f>
        <v>19.75</v>
      </c>
      <c r="CT31" s="12">
        <f>IF('Données projet'!$A$140&gt;35,CT30+CS31-DB30,IF(A31&lt;'Données projet'!$A$140,$CQ$205^A31,IF(A31='Données projet'!$A$140,'Données projet'!$B$140,CT30+CS31-DB30)))</f>
        <v>233</v>
      </c>
      <c r="CU31" s="17">
        <f>CT31*VLOOKUP('Données projet'!$B$13,Paramètres!$A$1:$I$89,3,0)*VLOOKUP('Données projet'!$B$13,Paramètres!$A$1:$I$89,5,0)</f>
        <v>139.334</v>
      </c>
      <c r="CV31" s="13">
        <f t="shared" si="41"/>
        <v>36.144391930570897</v>
      </c>
      <c r="CW31" s="20">
        <f t="shared" si="13"/>
        <v>305.62486594574432</v>
      </c>
      <c r="CX31" s="59">
        <f t="shared" si="14"/>
        <v>562.25772895982118</v>
      </c>
      <c r="CY31" s="59">
        <f ca="1">AVERAGE(OFFSET($CX$3,0,0,'Données projet'!$E$13+1,1))-AVERAGE(OFFSET($H$3,0,0,'Données projet'!$E$13+1,1))</f>
        <v>317.12995176362455</v>
      </c>
      <c r="CZ31" s="59">
        <f t="shared" si="42"/>
        <v>328.11301015275262</v>
      </c>
      <c r="DA31" s="15">
        <f>IF(ISNA(VLOOKUP(A31,'Données projet'!$A$139:$I$159,3,0)),0,VLOOKUP(A31,'Données projet'!$A$139:$I$159,3,0))</f>
        <v>5</v>
      </c>
      <c r="DB31" s="15">
        <f>IF(ISNA(VLOOKUP(A31,'Données projet'!$A$139:$I$159,4,0)),0,VLOOKUP(A31,'Données projet'!$A$139:$I$159,4,0))</f>
        <v>41</v>
      </c>
      <c r="DC31" s="16">
        <f>IF(ISNA(VLOOKUP(A31,'Données projet'!$A$139:$I$159,5,0)),0%,VLOOKUP(A31,'Données projet'!$A$139:$I$159,5,0)*VLOOKUP('Données projet'!$B$13,Paramètres!$A$1:$I$89,7,0))</f>
        <v>0.18000000000000002</v>
      </c>
      <c r="DD31" s="16">
        <f>IF(ISNA(VLOOKUP(A31,'Données projet'!$A$139:$I$159,6,0)),0%,VLOOKUP(A31,'Données projet'!$A$139:$I$159,6,0)*VLOOKUP('Données projet'!$B$13,Paramètres!$A$1:$I$89,7,0))</f>
        <v>0.13500000000000001</v>
      </c>
      <c r="DE31" s="16">
        <f>IF(ISNA(VLOOKUP(A31,'Données projet'!$A$139:$I$159,7,0)),0%,VLOOKUP(A31,'Données projet'!$A$139:$I$159,7,0))</f>
        <v>0.3</v>
      </c>
      <c r="DF31" s="21">
        <f>EXP(-LN(2)/35)*DF30+(1-EXP(-LN(2)/35))/(LN(2)/35)*DB31*DC31*VLOOKUP('Données projet'!$B$13,Paramètres!$A$1:$I$89,3,0)*0.475*44/12</f>
        <v>18.783937295694564</v>
      </c>
      <c r="DG31" s="21">
        <f>EXP(-LN(2)/25)*DG30+(1-EXP(-LN(2)/25))/(LN(2)/25)*Calculateur!DB31*Calculateur!DD31*VLOOKUP('Données projet'!$B$13,Paramètres!$A$1:$I$89,3,0)*0.475*44/12</f>
        <v>17.045491039064625</v>
      </c>
      <c r="DH31" s="21">
        <f>EXP(-LN(2)/2)*DH30+(1-EXP(-LN(2)/2))/(LN(2)/2)*DB31*DE31*VLOOKUP('Données projet'!$B$13,Paramètres!$A$1:$I$89,3,0)*0.475*44/12</f>
        <v>11.48276736827602</v>
      </c>
      <c r="DI31" s="22">
        <f t="shared" si="15"/>
        <v>47.312195703035208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11.4</v>
      </c>
      <c r="DO31" s="12">
        <f>IF('Données projet'!$A$166&gt;35,DO30+DN31-DW30,IF(A31&lt;'Données projet'!$A$166,$DL$205^A31,IF(A31='Données projet'!$A$166,'Données projet'!$B$166,DO30+DN31-DW30)))</f>
        <v>140.19999999999999</v>
      </c>
      <c r="DP31" s="17">
        <f>DO31*VLOOKUP('Données projet'!$B$14,Paramètres!$A$1:$I$89,3,0)*VLOOKUP('Données projet'!$B$14,Paramètres!$A$1:$I$89,5,0)</f>
        <v>122.47872000000001</v>
      </c>
      <c r="DQ31" s="13">
        <f t="shared" si="43"/>
        <v>32.252430308904003</v>
      </c>
      <c r="DR31" s="20">
        <f t="shared" si="16"/>
        <v>269.49008678800777</v>
      </c>
      <c r="DS31" s="59">
        <f t="shared" si="17"/>
        <v>526.12294980208469</v>
      </c>
      <c r="DT31" s="59">
        <f ca="1">AVERAGE(OFFSET($DS$3,0,0,'Données projet'!$E$14+1,1))-AVERAGE(OFFSET($H$3,0,0,'Données projet'!$E$14+1,1))</f>
        <v>325.5873213944476</v>
      </c>
      <c r="DU31" s="59">
        <f t="shared" si="44"/>
        <v>347.9042278368363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1.4478625814048822</v>
      </c>
      <c r="EB31" s="21">
        <f>EXP(-LN(2)/25)*EB30+(1-EXP(-LN(2)/25))/(LN(2)/25)*Calculateur!DW31*Calculateur!DY31*VLOOKUP('Données projet'!$B$14,Paramètres!$A$1:$I$89,3,0)*0.475*44/12</f>
        <v>4.4733289534109586</v>
      </c>
      <c r="EC31" s="21">
        <f>EXP(-LN(2)/2)*EC30+(1-EXP(-LN(2)/2))/(LN(2)/2)*DW31*DZ31*VLOOKUP('Données projet'!$B$14,Paramètres!$A$1:$I$89,3,0)*0.475*44/12</f>
        <v>5.600955772983176</v>
      </c>
      <c r="ED31" s="22">
        <f t="shared" si="18"/>
        <v>11.522147307799017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>
        <f>VLOOKUP(A31,'Données projet'!$A$191:$I$211,2,0)</f>
        <v>146</v>
      </c>
      <c r="EH31" s="12">
        <f>VLOOKUP(A31,'Données projet'!$A$191:$I$211,9,0)</f>
        <v>11.25</v>
      </c>
      <c r="EI31" s="12">
        <f t="array" ref="EI31">INDEX(EH:EH,MIN(IF(ISNUMBER(EH31:EH227),ROW(EH31:EH227),"")))</f>
        <v>11.25</v>
      </c>
      <c r="EJ31" s="12">
        <f>IF('Données projet'!$A$192&gt;35,EJ30+EI31-ER30,IF(A31&lt;'Données projet'!$A$192,$EG$205^A31,IF(A31='Données projet'!$A$192,'Données projet'!$B$192,EJ30+EI31-ER30)))</f>
        <v>146</v>
      </c>
      <c r="EK31" s="17">
        <f>EJ31*VLOOKUP('Données projet'!$B$15,Paramètres!$A$1:$I$89,3,0)*VLOOKUP('Données projet'!$B$15,Paramètres!$A$1:$I$89,5,0)</f>
        <v>87.307999999999993</v>
      </c>
      <c r="EL31" s="13">
        <f t="shared" si="45"/>
        <v>23.914836409796052</v>
      </c>
      <c r="EM31" s="20">
        <f t="shared" si="19"/>
        <v>193.71310674706146</v>
      </c>
      <c r="EN31" s="59">
        <f t="shared" si="20"/>
        <v>450.34596976113835</v>
      </c>
      <c r="EO31" s="59">
        <f ca="1">AVERAGE(OFFSET($EN$3,0,0,'Données projet'!$E$15+1,1))-AVERAGE(OFFSET($H$3,0,0,'Données projet'!$E$15+1,1))</f>
        <v>205.5480000480477</v>
      </c>
      <c r="EP31" s="59">
        <f t="shared" si="46"/>
        <v>229.86812144828366</v>
      </c>
      <c r="EQ31" s="15">
        <f>IF(ISNA(VLOOKUP(A31,'Données projet'!$A$191:$I$211,3,0)),0,VLOOKUP(A31,'Données projet'!$A$191:$I$211,3,0))</f>
        <v>5</v>
      </c>
      <c r="ER31" s="15">
        <f>IF(ISNA(VLOOKUP(A31,'Données projet'!$A$191:$I$211,4,0)),0,VLOOKUP(A31,'Données projet'!$A$191:$I$211,4,0))</f>
        <v>23</v>
      </c>
      <c r="ES31" s="16">
        <f>IF(ISNA(VLOOKUP(A31,'Données projet'!$A$191:$I$211,5,0)),0%,VLOOKUP(A31,'Données projet'!$A$191:$I$211,5,0)*VLOOKUP('Données projet'!$B$15,Paramètres!$A$1:$I$89,7,0))</f>
        <v>0.18000000000000002</v>
      </c>
      <c r="ET31" s="16">
        <f>IF(ISNA(VLOOKUP(A31,'Données projet'!$A$191:$I$211,6,0)),0%,VLOOKUP(A31,'Données projet'!$A$191:$I$211,6,0)*VLOOKUP('Données projet'!$B$15,Paramètres!$A$1:$I$89,7,0))</f>
        <v>0.13500000000000001</v>
      </c>
      <c r="EU31" s="16">
        <f>IF(ISNA(VLOOKUP(A31,'Données projet'!$A$191:$I$211,7,0)),0%,VLOOKUP(A31,'Données projet'!$A$191:$I$211,7,0))</f>
        <v>0.3</v>
      </c>
      <c r="EV31" s="21">
        <f>EXP(-LN(2)/35)*EV30+(1-EXP(-LN(2)/35))/(LN(2)/35)*ER31*ES31*VLOOKUP('Données projet'!$B$15,Paramètres!$A$1:$I$89,3,0)*0.475*44/12</f>
        <v>7.6525109656902837</v>
      </c>
      <c r="EW31" s="21">
        <f>EXP(-LN(2)/25)*EW30+(1-EXP(-LN(2)/25))/(LN(2)/25)*Calculateur!ER31*Calculateur!ET31*VLOOKUP('Données projet'!$B$15,Paramètres!$A$1:$I$89,3,0)*0.475*44/12</f>
        <v>6.3659310316711668</v>
      </c>
      <c r="EX31" s="21">
        <f>EXP(-LN(2)/2)*EX30+(1-EXP(-LN(2)/2))/(LN(2)/2)*ER31*EU31*VLOOKUP('Données projet'!$B$15,Paramètres!$A$1:$I$89,3,0)*0.475*44/12</f>
        <v>5.9159420603832231</v>
      </c>
      <c r="EY31" s="22">
        <f t="shared" si="21"/>
        <v>19.934384057744673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3.05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5.0668799999999958</v>
      </c>
      <c r="D32" s="11">
        <f t="shared" si="32"/>
        <v>1.9331291770105299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24.895917405668108</v>
      </c>
      <c r="H32" s="67">
        <f t="shared" si="1"/>
        <v>224.12501598329331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33</v>
      </c>
      <c r="N32" s="13">
        <f>IF('Données projet'!$A$36&gt;35,N31+M32-V31,IF(A32&lt;'Données projet'!$A$36,$K$205^A32,IF(A32='Données projet'!$A$36,'Données projet'!$B$36,N31+M32-V31)))</f>
        <v>491.00000000000006</v>
      </c>
      <c r="O32" s="13">
        <f>N32*VLOOKUP('Données projet'!$B$9,Paramètres!$A$1:$I$89,3,0)*VLOOKUP('Données projet'!$B$9,Paramètres!$A$1:$I$89,5,0)</f>
        <v>274.46900000000005</v>
      </c>
      <c r="P32" s="13">
        <f t="shared" si="33"/>
        <v>65.796795812732981</v>
      </c>
      <c r="Q32" s="20">
        <f t="shared" si="2"/>
        <v>592.62959437384325</v>
      </c>
      <c r="R32" s="59">
        <f t="shared" si="0"/>
        <v>851.07894507406991</v>
      </c>
      <c r="S32" s="59">
        <f ca="1">AVERAGE(OFFSET($R$3,0,0,'Données projet'!$E$9+1,1))-AVERAGE(OFFSET($H$3,0,0,'Données projet'!$E$9+1,1))</f>
        <v>542.23071537860039</v>
      </c>
      <c r="T32" s="59">
        <f t="shared" si="34"/>
        <v>667.26143680054633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21.256170591362551</v>
      </c>
      <c r="AB32" s="21">
        <f>EXP(-LN(2)/2)*AB31+(1-EXP(-LN(2)/2))/(LN(2)/2)*V32*Y32*VLOOKUP('Données projet'!$B$9,Paramètres!$A$1:$I$89,3,0)*0.475*44/12</f>
        <v>4.2786131706297024</v>
      </c>
      <c r="AC32" s="22">
        <f t="shared" si="3"/>
        <v>25.534783761992252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</v>
      </c>
      <c r="AI32" s="13">
        <f>IF('Données projet'!$A$62&gt;35,AI31+AH32-AQ31,IF(A32&lt;'Données projet'!$A$62,$AF$205^A32,IF(A32='Données projet'!$A$62,'Données projet'!$B$62,AI31+AH32-AQ31)))</f>
        <v>393</v>
      </c>
      <c r="AJ32" s="13">
        <f>AI32*VLOOKUP('Données projet'!$B$10,Paramètres!$A$1:$I$89,3,0)*VLOOKUP('Données projet'!$B$10,Paramètres!$A$1:$I$89,5,0)</f>
        <v>219.68700000000001</v>
      </c>
      <c r="AK32" s="13">
        <f t="shared" si="35"/>
        <v>54.046851081096591</v>
      </c>
      <c r="AL32" s="20">
        <f t="shared" si="4"/>
        <v>476.75312396624321</v>
      </c>
      <c r="AM32" s="59">
        <f t="shared" si="5"/>
        <v>735.20247466646981</v>
      </c>
      <c r="AN32" s="59">
        <f ca="1">AVERAGE(OFFSET($AM$3,0,0,'Données projet'!$E$10+1,1))-AVERAGE(OFFSET($H$3,0,0,'Données projet'!$E$10+1,1))</f>
        <v>427.83834708696861</v>
      </c>
      <c r="AO32" s="59">
        <f t="shared" si="36"/>
        <v>545.63950537101903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11.780662292601347</v>
      </c>
      <c r="AW32" s="21">
        <f>EXP(-LN(2)/2)*AW31+(1-EXP(-LN(2)/2))/(LN(2)/2)*AQ32*AT32*VLOOKUP('Données projet'!$B$10,Paramètres!$A$1:$I$89,3,0)*0.475*44/12</f>
        <v>3.4177564133133909</v>
      </c>
      <c r="AX32" s="21">
        <f t="shared" si="6"/>
        <v>15.198418705914738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6.4749999999999996</v>
      </c>
      <c r="BD32" s="12">
        <f>IF('Données projet'!$A$88&gt;35,BD31+BC32-BL31,IF(A32&lt;'Données projet'!$A$88,$BA$205^A32,IF(A32='Données projet'!$A$88,'Données projet'!$B$88,BD31+BC32-BL31)))</f>
        <v>144.52499999999995</v>
      </c>
      <c r="BE32" s="13">
        <f>BD32*VLOOKUP('Données projet'!$B$11,Paramètres!$A$1:$I$89,3,0)*VLOOKUP('Données projet'!$B$11,Paramètres!$A$1:$I$89,5,0)</f>
        <v>67.637699999999981</v>
      </c>
      <c r="BF32" s="13">
        <f t="shared" si="37"/>
        <v>19.085648274831598</v>
      </c>
      <c r="BG32" s="20">
        <f t="shared" si="7"/>
        <v>151.04316491199833</v>
      </c>
      <c r="BH32" s="59">
        <f t="shared" si="8"/>
        <v>409.49251561222491</v>
      </c>
      <c r="BI32" s="59">
        <f ca="1">AVERAGE(OFFSET($BH$3,0,0,'Données projet'!$E$11+1,1))-AVERAGE(OFFSET($H$3,0,0,'Données projet'!$E$11+1,1))</f>
        <v>210.62109466714364</v>
      </c>
      <c r="BJ32" s="59">
        <f t="shared" si="38"/>
        <v>193.35729443770401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1.6428466651867386</v>
      </c>
      <c r="BQ32" s="21">
        <f>EXP(-LN(2)/25)*BQ31+(1-EXP(-LN(2)/25))/(LN(2)/25)*Calculateur!BL32*Calculateur!BN32*VLOOKUP('Données projet'!$B$11,Paramètres!$A$1:$I$89,3,0)*0.475*44/12</f>
        <v>1.5237740987143851</v>
      </c>
      <c r="BR32" s="21">
        <f>EXP(-LN(2)/2)*BR31+(1-EXP(-LN(2)/2))/(LN(2)/2)*BL32*BO32*VLOOKUP('Données projet'!$B$11,Paramètres!$A$1:$I$89,3,0)*0.475*44/12</f>
        <v>0.40395734691022794</v>
      </c>
      <c r="BS32" s="22">
        <f t="shared" si="9"/>
        <v>3.5705781108113515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13.4</v>
      </c>
      <c r="BY32" s="12">
        <f>IF('Données projet'!$A$114&gt;35,BY31+BX32-CG31,IF(A32&lt;'Données projet'!$A$114,$BV$205^A32,IF(A32='Données projet'!$A$114,'Données projet'!$B$114,BY31+BX32-CG31)))</f>
        <v>180.60000000000005</v>
      </c>
      <c r="BZ32" s="13">
        <f>BY32*VLOOKUP('Données projet'!$B$12,Paramètres!$A$1:$I$89,3,0)*VLOOKUP('Données projet'!$B$12,Paramètres!$A$1:$I$89,5,0)</f>
        <v>107.99880000000003</v>
      </c>
      <c r="CA32" s="13">
        <f t="shared" si="39"/>
        <v>28.85898360070161</v>
      </c>
      <c r="CB32" s="20">
        <f t="shared" si="10"/>
        <v>238.36063977122203</v>
      </c>
      <c r="CC32" s="59">
        <f t="shared" si="11"/>
        <v>496.8099904714486</v>
      </c>
      <c r="CD32" s="59">
        <f ca="1">AVERAGE(OFFSET($CC$3,0,0,'Données projet'!$E$12+1,1))-AVERAGE(OFFSET($H$3,0,0,'Données projet'!$E$12+1,1))</f>
        <v>368.16165268258442</v>
      </c>
      <c r="CE32" s="59">
        <f t="shared" si="40"/>
        <v>291.32219253157041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2.6763904838769217</v>
      </c>
      <c r="CL32" s="21">
        <f>EXP(-LN(2)/25)*CL31+(1-EXP(-LN(2)/25))/(LN(2)/25)*Calculateur!CG32*Calculateur!CI32*VLOOKUP('Données projet'!$B$12,Paramètres!$A$1:$I$89,3,0)*0.475*44/12</f>
        <v>3.1011868586556557</v>
      </c>
      <c r="CM32" s="21">
        <f>EXP(-LN(2)/2)*CM31+(1-EXP(-LN(2)/2))/(LN(2)/2)*CG32*CJ32*VLOOKUP('Données projet'!$B$12,Paramètres!$A$1:$I$89,3,0)*0.475*44/12</f>
        <v>1.437787630854712</v>
      </c>
      <c r="CN32" s="22">
        <f t="shared" si="12"/>
        <v>7.2153649733872891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15.333333333333334</v>
      </c>
      <c r="CT32" s="12">
        <f>IF('Données projet'!$A$140&gt;35,CT31+CS32-DB31,IF(A32&lt;'Données projet'!$A$140,$CQ$205^A32,IF(A32='Données projet'!$A$140,'Données projet'!$B$140,CT31+CS32-DB31)))</f>
        <v>207.33333333333334</v>
      </c>
      <c r="CU32" s="17">
        <f>CT32*VLOOKUP('Données projet'!$B$13,Paramètres!$A$1:$I$89,3,0)*VLOOKUP('Données projet'!$B$13,Paramètres!$A$1:$I$89,5,0)</f>
        <v>123.98533333333334</v>
      </c>
      <c r="CV32" s="13">
        <f t="shared" si="41"/>
        <v>32.60273802554125</v>
      </c>
      <c r="CW32" s="20">
        <f t="shared" si="13"/>
        <v>272.7242242833733</v>
      </c>
      <c r="CX32" s="59">
        <f t="shared" si="14"/>
        <v>531.17357498359991</v>
      </c>
      <c r="CY32" s="59">
        <f ca="1">AVERAGE(OFFSET($CX$3,0,0,'Données projet'!$E$13+1,1))-AVERAGE(OFFSET($H$3,0,0,'Données projet'!$E$13+1,1))</f>
        <v>317.12995176362455</v>
      </c>
      <c r="CZ32" s="59">
        <f t="shared" si="42"/>
        <v>328.11301015275262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18.415595742396452</v>
      </c>
      <c r="DG32" s="21">
        <f>EXP(-LN(2)/25)*DG31+(1-EXP(-LN(2)/25))/(LN(2)/25)*Calculateur!DB32*Calculateur!DD32*VLOOKUP('Données projet'!$B$13,Paramètres!$A$1:$I$89,3,0)*0.475*44/12</f>
        <v>16.579381190217987</v>
      </c>
      <c r="DH32" s="21">
        <f>EXP(-LN(2)/2)*DH31+(1-EXP(-LN(2)/2))/(LN(2)/2)*DB32*DE32*VLOOKUP('Données projet'!$B$13,Paramètres!$A$1:$I$89,3,0)*0.475*44/12</f>
        <v>8.1195426728955802</v>
      </c>
      <c r="DI32" s="22">
        <f t="shared" si="15"/>
        <v>43.114519605510012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11.4</v>
      </c>
      <c r="DO32" s="12">
        <f>IF('Données projet'!$A$166&gt;35,DO31+DN32-DW31,IF(A32&lt;'Données projet'!$A$166,$DL$205^A32,IF(A32='Données projet'!$A$166,'Données projet'!$B$166,DO31+DN32-DW31)))</f>
        <v>151.6</v>
      </c>
      <c r="DP32" s="17">
        <f>DO32*VLOOKUP('Données projet'!$B$14,Paramètres!$A$1:$I$89,3,0)*VLOOKUP('Données projet'!$B$14,Paramètres!$A$1:$I$89,5,0)</f>
        <v>132.43776</v>
      </c>
      <c r="DQ32" s="13">
        <f t="shared" si="43"/>
        <v>34.559043580858436</v>
      </c>
      <c r="DR32" s="20">
        <f t="shared" si="16"/>
        <v>290.85276623666175</v>
      </c>
      <c r="DS32" s="59">
        <f t="shared" si="17"/>
        <v>549.3021169368883</v>
      </c>
      <c r="DT32" s="59">
        <f ca="1">AVERAGE(OFFSET($DS$3,0,0,'Données projet'!$E$14+1,1))-AVERAGE(OFFSET($H$3,0,0,'Données projet'!$E$14+1,1))</f>
        <v>325.5873213944476</v>
      </c>
      <c r="DU32" s="59">
        <f t="shared" si="44"/>
        <v>347.9042278368363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1.4194708792925073</v>
      </c>
      <c r="EB32" s="21">
        <f>EXP(-LN(2)/25)*EB31+(1-EXP(-LN(2)/25))/(LN(2)/25)*Calculateur!DW32*Calculateur!DY32*VLOOKUP('Données projet'!$B$14,Paramètres!$A$1:$I$89,3,0)*0.475*44/12</f>
        <v>4.3510055379377901</v>
      </c>
      <c r="EC32" s="21">
        <f>EXP(-LN(2)/2)*EC31+(1-EXP(-LN(2)/2))/(LN(2)/2)*DW32*DZ32*VLOOKUP('Données projet'!$B$14,Paramètres!$A$1:$I$89,3,0)*0.475*44/12</f>
        <v>3.960473808202345</v>
      </c>
      <c r="ED32" s="22">
        <f t="shared" si="18"/>
        <v>9.7309502254326414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11.666666666666666</v>
      </c>
      <c r="EJ32" s="12">
        <f>IF('Données projet'!$A$192&gt;35,EJ31+EI32-ER31,IF(A32&lt;'Données projet'!$A$192,$EG$205^A32,IF(A32='Données projet'!$A$192,'Données projet'!$B$192,EJ31+EI32-ER31)))</f>
        <v>134.66666666666666</v>
      </c>
      <c r="EK32" s="17">
        <f>EJ32*VLOOKUP('Données projet'!$B$15,Paramètres!$A$1:$I$89,3,0)*VLOOKUP('Données projet'!$B$15,Paramètres!$A$1:$I$89,5,0)</f>
        <v>80.530666666666662</v>
      </c>
      <c r="EL32" s="13">
        <f t="shared" si="45"/>
        <v>22.266884919078866</v>
      </c>
      <c r="EM32" s="20">
        <f t="shared" si="19"/>
        <v>179.0390690118401</v>
      </c>
      <c r="EN32" s="59">
        <f t="shared" si="20"/>
        <v>437.48841971206673</v>
      </c>
      <c r="EO32" s="59">
        <f ca="1">AVERAGE(OFFSET($EN$3,0,0,'Données projet'!$E$15+1,1))-AVERAGE(OFFSET($H$3,0,0,'Données projet'!$E$15+1,1))</f>
        <v>205.5480000480477</v>
      </c>
      <c r="EP32" s="59">
        <f t="shared" si="46"/>
        <v>229.86812144828366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7.5024498932239023</v>
      </c>
      <c r="EW32" s="21">
        <f>EXP(-LN(2)/25)*EW31+(1-EXP(-LN(2)/25))/(LN(2)/25)*Calculateur!ER32*Calculateur!ET32*VLOOKUP('Données projet'!$B$15,Paramètres!$A$1:$I$89,3,0)*0.475*44/12</f>
        <v>6.1918543128403556</v>
      </c>
      <c r="EX32" s="21">
        <f>EXP(-LN(2)/2)*EX31+(1-EXP(-LN(2)/2))/(LN(2)/2)*ER32*EU32*VLOOKUP('Données projet'!$B$15,Paramètres!$A$1:$I$89,3,0)*0.475*44/12</f>
        <v>4.1832027480036933</v>
      </c>
      <c r="EY32" s="22">
        <f t="shared" si="21"/>
        <v>17.87750695406795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3.05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5.2415999999999956</v>
      </c>
      <c r="D33" s="11">
        <f t="shared" si="32"/>
        <v>1.9919129059043796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25.472712581602387</v>
      </c>
      <c r="H33" s="67">
        <f t="shared" si="1"/>
        <v>224.5317016444501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524</v>
      </c>
      <c r="L33" s="12">
        <f>VLOOKUP(A33,'Données projet'!$A$35:$I$55,9,0)</f>
        <v>33</v>
      </c>
      <c r="M33" s="12">
        <f t="array" ref="M33">INDEX(L:L,MIN(IF(ISNUMBER(L33:L229),ROW(L33:L229),"")))</f>
        <v>33</v>
      </c>
      <c r="N33" s="13">
        <f>IF('Données projet'!$A$36&gt;35,N32+M33-V32,IF(A33&lt;'Données projet'!$A$36,$K$205^A33,IF(A33='Données projet'!$A$36,'Données projet'!$B$36,N32+M33-V32)))</f>
        <v>524</v>
      </c>
      <c r="O33" s="13">
        <f>N33*VLOOKUP('Données projet'!$B$9,Paramètres!$A$1:$I$89,3,0)*VLOOKUP('Données projet'!$B$9,Paramètres!$A$1:$I$89,5,0)</f>
        <v>292.916</v>
      </c>
      <c r="P33" s="13">
        <f t="shared" si="33"/>
        <v>69.68932587703776</v>
      </c>
      <c r="Q33" s="20">
        <f t="shared" si="2"/>
        <v>631.53760923584082</v>
      </c>
      <c r="R33" s="59">
        <f t="shared" si="0"/>
        <v>891.79313844499643</v>
      </c>
      <c r="S33" s="59">
        <f ca="1">AVERAGE(OFFSET($R$3,0,0,'Données projet'!$E$9+1,1))-AVERAGE(OFFSET($H$3,0,0,'Données projet'!$E$9+1,1))</f>
        <v>542.23071537860039</v>
      </c>
      <c r="T33" s="59">
        <f t="shared" si="34"/>
        <v>667.26143680054633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90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0.33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7.3413403528479604</v>
      </c>
      <c r="AA33" s="21">
        <f>EXP(-LN(2)/25)*AA32+(1-EXP(-LN(2)/25))/(LN(2)/25)*Calculateur!V33*Calculateur!X33*VLOOKUP('Données projet'!$B$9,Paramètres!$A$1:$I$89,3,0)*0.475*44/12</f>
        <v>42.612223584554776</v>
      </c>
      <c r="AB33" s="21">
        <f>EXP(-LN(2)/2)*AB32+(1-EXP(-LN(2)/2))/(LN(2)/2)*V33*Y33*VLOOKUP('Données projet'!$B$9,Paramètres!$A$1:$I$89,3,0)*0.475*44/12</f>
        <v>14.417957764737636</v>
      </c>
      <c r="AC33" s="22">
        <f t="shared" si="3"/>
        <v>64.37152170214037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421</v>
      </c>
      <c r="AG33" s="12">
        <f>VLOOKUP(A33,'Données projet'!$A$61:$I$81,9,0)</f>
        <v>28</v>
      </c>
      <c r="AH33" s="12">
        <f t="array" ref="AH33">INDEX(AG:AG,MIN(IF(ISNUMBER(AG33:AG229),ROW(AG33:AG229),"")))</f>
        <v>28</v>
      </c>
      <c r="AI33" s="13">
        <f>IF('Données projet'!$A$62&gt;35,AI32+AH33-AQ32,IF(A33&lt;'Données projet'!$A$62,$AF$205^A33,IF(A33='Données projet'!$A$62,'Données projet'!$B$62,AI32+AH33-AQ32)))</f>
        <v>421</v>
      </c>
      <c r="AJ33" s="13">
        <f>AI33*VLOOKUP('Données projet'!$B$10,Paramètres!$A$1:$I$89,3,0)*VLOOKUP('Données projet'!$B$10,Paramètres!$A$1:$I$89,5,0)</f>
        <v>235.339</v>
      </c>
      <c r="AK33" s="13">
        <f t="shared" si="35"/>
        <v>57.43555185051494</v>
      </c>
      <c r="AL33" s="20">
        <f t="shared" si="4"/>
        <v>509.91567780631357</v>
      </c>
      <c r="AM33" s="59">
        <f t="shared" si="5"/>
        <v>770.17120701546912</v>
      </c>
      <c r="AN33" s="59">
        <f ca="1">AVERAGE(OFFSET($AM$3,0,0,'Données projet'!$E$10+1,1))-AVERAGE(OFFSET($H$3,0,0,'Données projet'!$E$10+1,1))</f>
        <v>427.83834708696861</v>
      </c>
      <c r="AO33" s="59">
        <f t="shared" si="36"/>
        <v>545.63950537101903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54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0.33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4.4048042117087762</v>
      </c>
      <c r="AV33" s="21">
        <f>EXP(-LN(2)/25)*AV32+(1-EXP(-LN(2)/25))/(LN(2)/25)*Calculateur!AQ33*Calculateur!AS33*VLOOKUP('Données projet'!$B$10,Paramètres!$A$1:$I$89,3,0)*0.475*44/12</f>
        <v>24.620901920187933</v>
      </c>
      <c r="AW33" s="21">
        <f>EXP(-LN(2)/2)*AW32+(1-EXP(-LN(2)/2))/(LN(2)/2)*AQ33*AT33*VLOOKUP('Données projet'!$B$10,Paramètres!$A$1:$I$89,3,0)*0.475*44/12</f>
        <v>9.2522315629244911</v>
      </c>
      <c r="AX33" s="21">
        <f t="shared" si="6"/>
        <v>38.277937694821198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151</v>
      </c>
      <c r="BB33" s="12">
        <f>VLOOKUP(A33,'Données projet'!$A$87:$I$107,9,0)</f>
        <v>6.4749999999999996</v>
      </c>
      <c r="BC33" s="12">
        <f t="array" ref="BC33">INDEX(BB:BB,MIN(IF(ISNUMBER(BB33:BB229),ROW(BB33:BB229),"")))</f>
        <v>6.4749999999999996</v>
      </c>
      <c r="BD33" s="12">
        <f>IF('Données projet'!$A$88&gt;35,BD32+BC33-BL32,IF(A33&lt;'Données projet'!$A$88,$BA$205^A33,IF(A33='Données projet'!$A$88,'Données projet'!$B$88,BD32+BC33-BL32)))</f>
        <v>150.99999999999994</v>
      </c>
      <c r="BE33" s="13">
        <f>BD33*VLOOKUP('Données projet'!$B$11,Paramètres!$A$1:$I$89,3,0)*VLOOKUP('Données projet'!$B$11,Paramètres!$A$1:$I$89,5,0)</f>
        <v>70.667999999999978</v>
      </c>
      <c r="BF33" s="13">
        <f t="shared" si="37"/>
        <v>19.839253706984856</v>
      </c>
      <c r="BG33" s="20">
        <f t="shared" si="7"/>
        <v>157.63346687299858</v>
      </c>
      <c r="BH33" s="59">
        <f t="shared" si="8"/>
        <v>417.88899608215411</v>
      </c>
      <c r="BI33" s="59">
        <f ca="1">AVERAGE(OFFSET($BH$3,0,0,'Données projet'!$E$11+1,1))-AVERAGE(OFFSET($H$3,0,0,'Données projet'!$E$11+1,1))</f>
        <v>210.62109466714364</v>
      </c>
      <c r="BJ33" s="59">
        <f t="shared" si="38"/>
        <v>193.35729443770401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48</v>
      </c>
      <c r="BM33" s="16">
        <f>IF(ISNA(VLOOKUP(A33,'Données projet'!$A$87:$I$107,5,0)),0%,VLOOKUP(A33,'Données projet'!$A$87:$I$107,5,0)*VLOOKUP('Données projet'!$B$11,Paramètres!$A$1:$I$89,7,0))</f>
        <v>0.16500000000000001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6.5276221920739319</v>
      </c>
      <c r="BQ33" s="21">
        <f>EXP(-LN(2)/25)*BQ32+(1-EXP(-LN(2)/25))/(LN(2)/25)*Calculateur!BL33*Calculateur!BN33*VLOOKUP('Données projet'!$B$11,Paramètres!$A$1:$I$89,3,0)*0.475*44/12</f>
        <v>8.012280658331818</v>
      </c>
      <c r="BR33" s="21">
        <f>EXP(-LN(2)/2)*BR32+(1-EXP(-LN(2)/2))/(LN(2)/2)*BL33*BO33*VLOOKUP('Données projet'!$B$11,Paramètres!$A$1:$I$89,3,0)*0.475*44/12</f>
        <v>7.9159808788007071</v>
      </c>
      <c r="BS33" s="22">
        <f t="shared" si="9"/>
        <v>22.455883729206455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194</v>
      </c>
      <c r="BW33" s="12">
        <f>VLOOKUP(A33,'Données projet'!$A$113:$I$133,9,0)</f>
        <v>13.4</v>
      </c>
      <c r="BX33" s="12">
        <f t="array" ref="BX33">INDEX(BW:BW,MIN(IF(ISNUMBER(BW33:BW229),ROW(BW33:BW229),"")))</f>
        <v>13.4</v>
      </c>
      <c r="BY33" s="12">
        <f>IF('Données projet'!$A$114&gt;35,BY32+BX33-CG32,IF(A33&lt;'Données projet'!$A$114,$BV$205^A33,IF(A33='Données projet'!$A$114,'Données projet'!$B$114,BY32+BX33-CG32)))</f>
        <v>194.00000000000006</v>
      </c>
      <c r="BZ33" s="13">
        <f>BY33*VLOOKUP('Données projet'!$B$12,Paramètres!$A$1:$I$89,3,0)*VLOOKUP('Données projet'!$B$12,Paramètres!$A$1:$I$89,5,0)</f>
        <v>116.01200000000003</v>
      </c>
      <c r="CA33" s="13">
        <f t="shared" si="39"/>
        <v>30.743042086238173</v>
      </c>
      <c r="CB33" s="20">
        <f t="shared" si="10"/>
        <v>255.59836496686489</v>
      </c>
      <c r="CC33" s="59">
        <f t="shared" si="11"/>
        <v>515.8538941760205</v>
      </c>
      <c r="CD33" s="59">
        <f ca="1">AVERAGE(OFFSET($CC$3,0,0,'Données projet'!$E$12+1,1))-AVERAGE(OFFSET($H$3,0,0,'Données projet'!$E$12+1,1))</f>
        <v>368.16165268258442</v>
      </c>
      <c r="CE33" s="59">
        <f t="shared" si="40"/>
        <v>291.32219253157041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34</v>
      </c>
      <c r="CH33" s="16">
        <f>IF(ISNA(VLOOKUP(A33,'Données projet'!$A$113:$I$133,5,0)),0%,VLOOKUP(A33,'Données projet'!$A$113:$I$133,5,0)*VLOOKUP('Données projet'!$B$12,Paramètres!$A$1:$I$89,7,0))</f>
        <v>0.18000000000000002</v>
      </c>
      <c r="CI33" s="16">
        <f>IF(ISNA(VLOOKUP(A33,'Données projet'!$A$113:$I$133,6,0)),0%,VLOOKUP(A33,'Données projet'!$A$113:$I$133,6,0)*VLOOKUP('Données projet'!$B$12,Paramètres!$A$1:$I$89,7,0))</f>
        <v>0.13500000000000001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7.4788156303645135</v>
      </c>
      <c r="CL33" s="21">
        <f>EXP(-LN(2)/25)*CL32+(1-EXP(-LN(2)/25))/(LN(2)/25)*Calculateur!CG33*Calculateur!CI33*VLOOKUP('Données projet'!$B$12,Paramètres!$A$1:$I$89,3,0)*0.475*44/12</f>
        <v>6.6432286738888919</v>
      </c>
      <c r="CM33" s="21">
        <f>EXP(-LN(2)/2)*CM32+(1-EXP(-LN(2)/2))/(LN(2)/2)*CG33*CJ33*VLOOKUP('Données projet'!$B$12,Paramètres!$A$1:$I$89,3,0)*0.475*44/12</f>
        <v>7.9228335056759391</v>
      </c>
      <c r="CN33" s="22">
        <f t="shared" si="12"/>
        <v>22.044877809929346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15.333333333333334</v>
      </c>
      <c r="CT33" s="12">
        <f>IF('Données projet'!$A$140&gt;35,CT32+CS33-DB32,IF(A33&lt;'Données projet'!$A$140,$CQ$205^A33,IF(A33='Données projet'!$A$140,'Données projet'!$B$140,CT32+CS33-DB32)))</f>
        <v>222.66666666666669</v>
      </c>
      <c r="CU33" s="17">
        <f>CT33*VLOOKUP('Données projet'!$B$13,Paramètres!$A$1:$I$89,3,0)*VLOOKUP('Données projet'!$B$13,Paramètres!$A$1:$I$89,5,0)</f>
        <v>133.15466666666669</v>
      </c>
      <c r="CV33" s="13">
        <f t="shared" si="41"/>
        <v>34.724289843216837</v>
      </c>
      <c r="CW33" s="20">
        <f t="shared" si="13"/>
        <v>292.38918258804711</v>
      </c>
      <c r="CX33" s="59">
        <f t="shared" si="14"/>
        <v>552.64471179720272</v>
      </c>
      <c r="CY33" s="59">
        <f ca="1">AVERAGE(OFFSET($CX$3,0,0,'Données projet'!$E$13+1,1))-AVERAGE(OFFSET($H$3,0,0,'Données projet'!$E$13+1,1))</f>
        <v>317.12995176362455</v>
      </c>
      <c r="CZ33" s="59">
        <f t="shared" si="42"/>
        <v>328.11301015275262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18.054477142292352</v>
      </c>
      <c r="DG33" s="21">
        <f>EXP(-LN(2)/25)*DG32+(1-EXP(-LN(2)/25))/(LN(2)/25)*Calculateur!DB33*Calculateur!DD33*VLOOKUP('Données projet'!$B$13,Paramètres!$A$1:$I$89,3,0)*0.475*44/12</f>
        <v>16.126017139699712</v>
      </c>
      <c r="DH33" s="21">
        <f>EXP(-LN(2)/2)*DH32+(1-EXP(-LN(2)/2))/(LN(2)/2)*DB33*DE33*VLOOKUP('Données projet'!$B$13,Paramètres!$A$1:$I$89,3,0)*0.475*44/12</f>
        <v>5.741383684138011</v>
      </c>
      <c r="DI33" s="22">
        <f t="shared" si="15"/>
        <v>39.921877966130083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163</v>
      </c>
      <c r="DM33" s="12">
        <f>VLOOKUP(A33,'Données projet'!$A$165:$I$185,9,0)</f>
        <v>11.4</v>
      </c>
      <c r="DN33" s="12">
        <f t="array" ref="DN33">INDEX(DM:DM,MIN(IF(ISNUMBER(DM33:DM229),ROW(DM33:DM229),"")))</f>
        <v>11.4</v>
      </c>
      <c r="DO33" s="12">
        <f>IF('Données projet'!$A$166&gt;35,DO32+DN33-DW32,IF(A33&lt;'Données projet'!$A$166,$DL$205^A33,IF(A33='Données projet'!$A$166,'Données projet'!$B$166,DO32+DN33-DW32)))</f>
        <v>163</v>
      </c>
      <c r="DP33" s="17">
        <f>DO33*VLOOKUP('Données projet'!$B$14,Paramètres!$A$1:$I$89,3,0)*VLOOKUP('Données projet'!$B$14,Paramètres!$A$1:$I$89,5,0)</f>
        <v>142.39680000000004</v>
      </c>
      <c r="DQ33" s="13">
        <f t="shared" si="43"/>
        <v>36.845535084476985</v>
      </c>
      <c r="DR33" s="20">
        <f t="shared" si="16"/>
        <v>312.18040027213078</v>
      </c>
      <c r="DS33" s="59">
        <f t="shared" si="17"/>
        <v>572.43592948128639</v>
      </c>
      <c r="DT33" s="59">
        <f ca="1">AVERAGE(OFFSET($DS$3,0,0,'Données projet'!$E$14+1,1))-AVERAGE(OFFSET($H$3,0,0,'Données projet'!$E$14+1,1))</f>
        <v>325.5873213944476</v>
      </c>
      <c r="DU33" s="59">
        <f t="shared" si="44"/>
        <v>347.9042278368363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37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0.129</v>
      </c>
      <c r="DZ33" s="16">
        <f>IF(ISNA(VLOOKUP(A33,'Données projet'!$A$165:$I$185,7,0)),0%,VLOOKUP(A33,'Données projet'!$A$165:$I$185,7,0))</f>
        <v>0.3</v>
      </c>
      <c r="EA33" s="21">
        <f>EXP(-LN(2)/35)*EA32+(1-EXP(-LN(2)/35))/(LN(2)/35)*DW33*DX33*VLOOKUP('Données projet'!$B$14,Paramètres!$A$1:$I$89,3,0)*0.475*44/12</f>
        <v>2.9281265485252645</v>
      </c>
      <c r="EB33" s="21">
        <f>EXP(-LN(2)/25)*EB32+(1-EXP(-LN(2)/25))/(LN(2)/25)*Calculateur!DW33*Calculateur!DY33*VLOOKUP('Données projet'!$B$14,Paramètres!$A$1:$I$89,3,0)*0.475*44/12</f>
        <v>8.82334969769874</v>
      </c>
      <c r="EC33" s="21">
        <f>EXP(-LN(2)/2)*EC32+(1-EXP(-LN(2)/2))/(LN(2)/2)*DW33*DZ33*VLOOKUP('Données projet'!$B$14,Paramètres!$A$1:$I$89,3,0)*0.475*44/12</f>
        <v>11.949820636343453</v>
      </c>
      <c r="ED33" s="22">
        <f t="shared" si="18"/>
        <v>23.701296882567458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11.666666666666666</v>
      </c>
      <c r="EJ33" s="12">
        <f>IF('Données projet'!$A$192&gt;35,EJ32+EI33-ER32,IF(A33&lt;'Données projet'!$A$192,$EG$205^A33,IF(A33='Données projet'!$A$192,'Données projet'!$B$192,EJ32+EI33-ER32)))</f>
        <v>146.33333333333331</v>
      </c>
      <c r="EK33" s="17">
        <f>EJ33*VLOOKUP('Données projet'!$B$15,Paramètres!$A$1:$I$89,3,0)*VLOOKUP('Données projet'!$B$15,Paramètres!$A$1:$I$89,5,0)</f>
        <v>87.507333333333335</v>
      </c>
      <c r="EL33" s="13">
        <f t="shared" si="45"/>
        <v>23.963074638099123</v>
      </c>
      <c r="EM33" s="20">
        <f t="shared" si="19"/>
        <v>194.14429388357817</v>
      </c>
      <c r="EN33" s="59">
        <f t="shared" si="20"/>
        <v>454.39982309273375</v>
      </c>
      <c r="EO33" s="59">
        <f ca="1">AVERAGE(OFFSET($EN$3,0,0,'Données projet'!$E$15+1,1))-AVERAGE(OFFSET($H$3,0,0,'Données projet'!$E$15+1,1))</f>
        <v>205.5480000480477</v>
      </c>
      <c r="EP33" s="59">
        <f t="shared" si="46"/>
        <v>229.86812144828366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7.3553314268603698</v>
      </c>
      <c r="EW33" s="21">
        <f>EXP(-LN(2)/25)*EW32+(1-EXP(-LN(2)/25))/(LN(2)/25)*Calculateur!ER33*Calculateur!ET33*VLOOKUP('Données projet'!$B$15,Paramètres!$A$1:$I$89,3,0)*0.475*44/12</f>
        <v>6.022537731040269</v>
      </c>
      <c r="EX33" s="21">
        <f>EXP(-LN(2)/2)*EX32+(1-EXP(-LN(2)/2))/(LN(2)/2)*ER33*EU33*VLOOKUP('Données projet'!$B$15,Paramètres!$A$1:$I$89,3,0)*0.475*44/12</f>
        <v>2.957971030191612</v>
      </c>
      <c r="EY33" s="22">
        <f t="shared" si="21"/>
        <v>16.335840188092252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3.05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5.4163199999999954</v>
      </c>
      <c r="D34" s="11">
        <f t="shared" si="32"/>
        <v>2.0504689512922587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26.048945339332445</v>
      </c>
      <c r="H34" s="67">
        <f t="shared" si="1"/>
        <v>224.93799075683398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28.4</v>
      </c>
      <c r="N34" s="13">
        <f>IF('Données projet'!$A$36&gt;35,N33+M34-V33,IF(A34&lt;'Données projet'!$A$36,$K$205^A34,IF(A34='Données projet'!$A$36,'Données projet'!$B$36,N33+M34-V33)))</f>
        <v>462.4</v>
      </c>
      <c r="O34" s="13">
        <f>N34*VLOOKUP('Données projet'!$B$9,Paramètres!$A$1:$I$89,3,0)*VLOOKUP('Données projet'!$B$9,Paramètres!$A$1:$I$89,5,0)</f>
        <v>258.48160000000001</v>
      </c>
      <c r="P34" s="13">
        <f t="shared" si="33"/>
        <v>62.398606187610767</v>
      </c>
      <c r="Q34" s="20">
        <f t="shared" si="2"/>
        <v>558.86635911008875</v>
      </c>
      <c r="R34" s="59">
        <f t="shared" si="0"/>
        <v>819.69571426990751</v>
      </c>
      <c r="S34" s="59">
        <f ca="1">AVERAGE(OFFSET($R$3,0,0,'Données projet'!$E$9+1,1))-AVERAGE(OFFSET($H$3,0,0,'Données projet'!$E$9+1,1))</f>
        <v>542.23071537860039</v>
      </c>
      <c r="T34" s="59">
        <f t="shared" si="34"/>
        <v>667.26143680054633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7.1973811463040835</v>
      </c>
      <c r="AA34" s="21">
        <f>EXP(-LN(2)/25)*AA33+(1-EXP(-LN(2)/25))/(LN(2)/25)*Calculateur!V34*Calculateur!X34*VLOOKUP('Données projet'!$B$9,Paramètres!$A$1:$I$89,3,0)*0.475*44/12</f>
        <v>41.44699008975568</v>
      </c>
      <c r="AB34" s="21">
        <f>EXP(-LN(2)/2)*AB33+(1-EXP(-LN(2)/2))/(LN(2)/2)*V34*Y34*VLOOKUP('Données projet'!$B$9,Paramètres!$A$1:$I$89,3,0)*0.475*44/12</f>
        <v>10.19503570630722</v>
      </c>
      <c r="AC34" s="22">
        <f t="shared" si="3"/>
        <v>58.839406942366978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27.6</v>
      </c>
      <c r="AI34" s="13">
        <f>IF('Données projet'!$A$62&gt;35,AI33+AH34-AQ33,IF(A34&lt;'Données projet'!$A$62,$AF$205^A34,IF(A34='Données projet'!$A$62,'Données projet'!$B$62,AI33+AH34-AQ33)))</f>
        <v>394.6</v>
      </c>
      <c r="AJ34" s="13">
        <f>AI34*VLOOKUP('Données projet'!$B$10,Paramètres!$A$1:$I$89,3,0)*VLOOKUP('Données projet'!$B$10,Paramètres!$A$1:$I$89,5,0)</f>
        <v>220.5814</v>
      </c>
      <c r="AK34" s="13">
        <f t="shared" si="35"/>
        <v>54.241230721401301</v>
      </c>
      <c r="AL34" s="20">
        <f t="shared" si="4"/>
        <v>478.64941517310723</v>
      </c>
      <c r="AM34" s="59">
        <f t="shared" si="5"/>
        <v>739.47877033292593</v>
      </c>
      <c r="AN34" s="59">
        <f ca="1">AVERAGE(OFFSET($AM$3,0,0,'Données projet'!$E$10+1,1))-AVERAGE(OFFSET($H$3,0,0,'Données projet'!$E$10+1,1))</f>
        <v>427.83834708696861</v>
      </c>
      <c r="AO34" s="59">
        <f t="shared" si="36"/>
        <v>545.63950537101903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4.3184286877824505</v>
      </c>
      <c r="AV34" s="21">
        <f>EXP(-LN(2)/25)*AV33+(1-EXP(-LN(2)/25))/(LN(2)/25)*Calculateur!AQ34*Calculateur!AS34*VLOOKUP('Données projet'!$B$10,Paramètres!$A$1:$I$89,3,0)*0.475*44/12</f>
        <v>23.947642062423434</v>
      </c>
      <c r="AW34" s="21">
        <f>EXP(-LN(2)/2)*AW33+(1-EXP(-LN(2)/2))/(LN(2)/2)*AQ34*AT34*VLOOKUP('Données projet'!$B$10,Paramètres!$A$1:$I$89,3,0)*0.475*44/12</f>
        <v>6.5423156792521171</v>
      </c>
      <c r="AX34" s="21">
        <f t="shared" si="6"/>
        <v>34.808386429458004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</v>
      </c>
      <c r="BD34" s="12">
        <f>IF('Données projet'!$A$88&gt;35,BD33+BC34-BL33,IF(A34&lt;'Données projet'!$A$88,$BA$205^A34,IF(A34='Données projet'!$A$88,'Données projet'!$B$88,BD33+BC34-BL33)))</f>
        <v>109.99999999999994</v>
      </c>
      <c r="BE34" s="13">
        <f>BD34*VLOOKUP('Données projet'!$B$11,Paramètres!$A$1:$I$89,3,0)*VLOOKUP('Données projet'!$B$11,Paramètres!$A$1:$I$89,5,0)</f>
        <v>51.479999999999976</v>
      </c>
      <c r="BF34" s="13">
        <f t="shared" si="37"/>
        <v>14.995324806875225</v>
      </c>
      <c r="BG34" s="20">
        <f t="shared" si="7"/>
        <v>115.77785737197428</v>
      </c>
      <c r="BH34" s="59">
        <f t="shared" si="8"/>
        <v>376.60721253179298</v>
      </c>
      <c r="BI34" s="59">
        <f ca="1">AVERAGE(OFFSET($BH$3,0,0,'Données projet'!$E$11+1,1))-AVERAGE(OFFSET($H$3,0,0,'Données projet'!$E$11+1,1))</f>
        <v>210.62109466714364</v>
      </c>
      <c r="BJ34" s="59">
        <f t="shared" si="38"/>
        <v>193.35729443770401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6.3996195023437634</v>
      </c>
      <c r="BQ34" s="21">
        <f>EXP(-LN(2)/25)*BQ33+(1-EXP(-LN(2)/25))/(LN(2)/25)*Calculateur!BL34*Calculateur!BN34*VLOOKUP('Données projet'!$B$11,Paramètres!$A$1:$I$89,3,0)*0.475*44/12</f>
        <v>7.7931844223822067</v>
      </c>
      <c r="BR34" s="21">
        <f>EXP(-LN(2)/2)*BR33+(1-EXP(-LN(2)/2))/(LN(2)/2)*BL34*BO34*VLOOKUP('Données projet'!$B$11,Paramètres!$A$1:$I$89,3,0)*0.475*44/12</f>
        <v>5.5974437591430259</v>
      </c>
      <c r="BS34" s="22">
        <f t="shared" si="9"/>
        <v>19.790247683868998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14.6</v>
      </c>
      <c r="BY34" s="12">
        <f>IF('Données projet'!$A$114&gt;35,BY33+BX34-CG33,IF(A34&lt;'Données projet'!$A$114,$BV$205^A34,IF(A34='Données projet'!$A$114,'Données projet'!$B$114,BY33+BX34-CG33)))</f>
        <v>174.60000000000005</v>
      </c>
      <c r="BZ34" s="13">
        <f>BY34*VLOOKUP('Données projet'!$B$12,Paramètres!$A$1:$I$89,3,0)*VLOOKUP('Données projet'!$B$12,Paramètres!$A$1:$I$89,5,0)</f>
        <v>104.41080000000004</v>
      </c>
      <c r="CA34" s="13">
        <f t="shared" si="39"/>
        <v>28.010155571424168</v>
      </c>
      <c r="CB34" s="20">
        <f t="shared" si="10"/>
        <v>230.63316428689714</v>
      </c>
      <c r="CC34" s="59">
        <f t="shared" si="11"/>
        <v>491.46251944671587</v>
      </c>
      <c r="CD34" s="59">
        <f ca="1">AVERAGE(OFFSET($CC$3,0,0,'Données projet'!$E$12+1,1))-AVERAGE(OFFSET($H$3,0,0,'Données projet'!$E$12+1,1))</f>
        <v>368.16165268258442</v>
      </c>
      <c r="CE34" s="59">
        <f t="shared" si="40"/>
        <v>291.32219253157041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7.3321606174801763</v>
      </c>
      <c r="CL34" s="21">
        <f>EXP(-LN(2)/25)*CL33+(1-EXP(-LN(2)/25))/(LN(2)/25)*Calculateur!CG34*Calculateur!CI34*VLOOKUP('Données projet'!$B$12,Paramètres!$A$1:$I$89,3,0)*0.475*44/12</f>
        <v>6.4615692364491872</v>
      </c>
      <c r="CM34" s="21">
        <f>EXP(-LN(2)/2)*CM33+(1-EXP(-LN(2)/2))/(LN(2)/2)*CG34*CJ34*VLOOKUP('Données projet'!$B$12,Paramètres!$A$1:$I$89,3,0)*0.475*44/12</f>
        <v>5.6022892980754442</v>
      </c>
      <c r="CN34" s="22">
        <f t="shared" si="12"/>
        <v>19.396019152004808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15.333333333333334</v>
      </c>
      <c r="CT34" s="12">
        <f>IF('Données projet'!$A$140&gt;35,CT33+CS34-DB33,IF(A34&lt;'Données projet'!$A$140,$CQ$205^A34,IF(A34='Données projet'!$A$140,'Données projet'!$B$140,CT33+CS34-DB33)))</f>
        <v>238.00000000000003</v>
      </c>
      <c r="CU34" s="17">
        <f>CT34*VLOOKUP('Données projet'!$B$13,Paramètres!$A$1:$I$89,3,0)*VLOOKUP('Données projet'!$B$13,Paramètres!$A$1:$I$89,5,0)</f>
        <v>142.32400000000004</v>
      </c>
      <c r="CV34" s="13">
        <f t="shared" si="41"/>
        <v>36.828890051912026</v>
      </c>
      <c r="CW34" s="20">
        <f t="shared" si="13"/>
        <v>312.02461684041356</v>
      </c>
      <c r="CX34" s="59">
        <f t="shared" si="14"/>
        <v>572.85397200023226</v>
      </c>
      <c r="CY34" s="59">
        <f ca="1">AVERAGE(OFFSET($CX$3,0,0,'Données projet'!$E$13+1,1))-AVERAGE(OFFSET($H$3,0,0,'Données projet'!$E$13+1,1))</f>
        <v>317.12995176362455</v>
      </c>
      <c r="CZ34" s="59">
        <f t="shared" si="42"/>
        <v>328.11301015275262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17.700439857675697</v>
      </c>
      <c r="DG34" s="21">
        <f>EXP(-LN(2)/25)*DG33+(1-EXP(-LN(2)/25))/(LN(2)/25)*Calculateur!DB34*Calculateur!DD34*VLOOKUP('Données projet'!$B$13,Paramètres!$A$1:$I$89,3,0)*0.475*44/12</f>
        <v>15.68505035298424</v>
      </c>
      <c r="DH34" s="21">
        <f>EXP(-LN(2)/2)*DH33+(1-EXP(-LN(2)/2))/(LN(2)/2)*DB34*DE34*VLOOKUP('Données projet'!$B$13,Paramètres!$A$1:$I$89,3,0)*0.475*44/12</f>
        <v>4.059771336447791</v>
      </c>
      <c r="DI34" s="22">
        <f t="shared" si="15"/>
        <v>37.445261547107727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10.6</v>
      </c>
      <c r="DO34" s="12">
        <f>IF('Données projet'!$A$166&gt;35,DO33+DN34-DW33,IF(A34&lt;'Données projet'!$A$166,$DL$205^A34,IF(A34='Données projet'!$A$166,'Données projet'!$B$166,DO33+DN34-DW33)))</f>
        <v>136.6</v>
      </c>
      <c r="DP34" s="17">
        <f>DO34*VLOOKUP('Données projet'!$B$14,Paramètres!$A$1:$I$89,3,0)*VLOOKUP('Données projet'!$B$14,Paramètres!$A$1:$I$89,5,0)</f>
        <v>119.33376000000001</v>
      </c>
      <c r="DQ34" s="13">
        <f t="shared" si="43"/>
        <v>31.519559440518702</v>
      </c>
      <c r="DR34" s="20">
        <f t="shared" si="16"/>
        <v>262.7361980255701</v>
      </c>
      <c r="DS34" s="59">
        <f t="shared" si="17"/>
        <v>523.56555318538881</v>
      </c>
      <c r="DT34" s="59">
        <f ca="1">AVERAGE(OFFSET($DS$3,0,0,'Données projet'!$E$14+1,1))-AVERAGE(OFFSET($H$3,0,0,'Données projet'!$E$14+1,1))</f>
        <v>325.5873213944476</v>
      </c>
      <c r="DU34" s="59">
        <f t="shared" si="44"/>
        <v>347.9042278368363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2.8707077728895278</v>
      </c>
      <c r="EB34" s="21">
        <f>EXP(-LN(2)/25)*EB33+(1-EXP(-LN(2)/25))/(LN(2)/25)*Calculateur!DW34*Calculateur!DY34*VLOOKUP('Données projet'!$B$14,Paramètres!$A$1:$I$89,3,0)*0.475*44/12</f>
        <v>8.5820747362153735</v>
      </c>
      <c r="EC34" s="21">
        <f>EXP(-LN(2)/2)*EC33+(1-EXP(-LN(2)/2))/(LN(2)/2)*DW34*DZ34*VLOOKUP('Données projet'!$B$14,Paramètres!$A$1:$I$89,3,0)*0.475*44/12</f>
        <v>8.4497992059214013</v>
      </c>
      <c r="ED34" s="22">
        <f t="shared" si="18"/>
        <v>19.902581715026301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11.666666666666666</v>
      </c>
      <c r="EJ34" s="12">
        <f>IF('Données projet'!$A$192&gt;35,EJ33+EI34-ER33,IF(A34&lt;'Données projet'!$A$192,$EG$205^A34,IF(A34='Données projet'!$A$192,'Données projet'!$B$192,EJ33+EI34-ER33)))</f>
        <v>157.99999999999997</v>
      </c>
      <c r="EK34" s="17">
        <f>EJ34*VLOOKUP('Données projet'!$B$15,Paramètres!$A$1:$I$89,3,0)*VLOOKUP('Données projet'!$B$15,Paramètres!$A$1:$I$89,5,0)</f>
        <v>94.483999999999995</v>
      </c>
      <c r="EL34" s="13">
        <f t="shared" si="45"/>
        <v>25.643578691511802</v>
      </c>
      <c r="EM34" s="20">
        <f t="shared" si="19"/>
        <v>209.22219955438302</v>
      </c>
      <c r="EN34" s="59">
        <f t="shared" si="20"/>
        <v>470.05155471420176</v>
      </c>
      <c r="EO34" s="59">
        <f ca="1">AVERAGE(OFFSET($EN$3,0,0,'Données projet'!$E$15+1,1))-AVERAGE(OFFSET($H$3,0,0,'Données projet'!$E$15+1,1))</f>
        <v>205.5480000480477</v>
      </c>
      <c r="EP34" s="59">
        <f t="shared" si="46"/>
        <v>229.86812144828366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7.2110978638888223</v>
      </c>
      <c r="EW34" s="21">
        <f>EXP(-LN(2)/25)*EW33+(1-EXP(-LN(2)/25))/(LN(2)/25)*Calculateur!ER34*Calculateur!ET34*VLOOKUP('Données projet'!$B$15,Paramètres!$A$1:$I$89,3,0)*0.475*44/12</f>
        <v>5.8578511200734784</v>
      </c>
      <c r="EX34" s="21">
        <f>EXP(-LN(2)/2)*EX33+(1-EXP(-LN(2)/2))/(LN(2)/2)*ER34*EU34*VLOOKUP('Données projet'!$B$15,Paramètres!$A$1:$I$89,3,0)*0.475*44/12</f>
        <v>2.0916013740018471</v>
      </c>
      <c r="EY34" s="22">
        <f t="shared" si="21"/>
        <v>15.160550357964148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3.05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5.5910399999999951</v>
      </c>
      <c r="D35" s="11">
        <f t="shared" si="32"/>
        <v>2.1088055002259996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26.624635902312637</v>
      </c>
      <c r="H35" s="67">
        <f t="shared" si="1"/>
        <v>225.34389757956023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28.4</v>
      </c>
      <c r="N35" s="13">
        <f>IF('Données projet'!$A$36&gt;35,N34+M35-V34,IF(A35&lt;'Données projet'!$A$36,$K$205^A35,IF(A35='Données projet'!$A$36,'Données projet'!$B$36,N34+M35-V34)))</f>
        <v>490.79999999999995</v>
      </c>
      <c r="O35" s="13">
        <f>N35*VLOOKUP('Données projet'!$B$9,Paramètres!$A$1:$I$89,3,0)*VLOOKUP('Données projet'!$B$9,Paramètres!$A$1:$I$89,5,0)</f>
        <v>274.35719999999998</v>
      </c>
      <c r="P35" s="13">
        <f t="shared" si="33"/>
        <v>65.773113764972635</v>
      </c>
      <c r="Q35" s="20">
        <f t="shared" ref="Q35:Q66" si="53">(O35+P35)*0.475*44/12</f>
        <v>592.39362980732722</v>
      </c>
      <c r="R35" s="59">
        <f t="shared" si="0"/>
        <v>853.78685632044767</v>
      </c>
      <c r="S35" s="59">
        <f ca="1">AVERAGE(OFFSET($R$3,0,0,'Données projet'!$E$9+1,1))-AVERAGE(OFFSET($H$3,0,0,'Données projet'!$E$9+1,1))</f>
        <v>542.23071537860039</v>
      </c>
      <c r="T35" s="59">
        <f t="shared" si="34"/>
        <v>667.26143680054633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7.0562448919940861</v>
      </c>
      <c r="AA35" s="21">
        <f>EXP(-LN(2)/25)*AA34+(1-EXP(-LN(2)/25))/(LN(2)/25)*Calculateur!V35*Calculateur!X35*VLOOKUP('Données projet'!$B$9,Paramètres!$A$1:$I$89,3,0)*0.475*44/12</f>
        <v>40.313619966148828</v>
      </c>
      <c r="AB35" s="21">
        <f>EXP(-LN(2)/2)*AB34+(1-EXP(-LN(2)/2))/(LN(2)/2)*V35*Y35*VLOOKUP('Données projet'!$B$9,Paramètres!$A$1:$I$89,3,0)*0.475*44/12</f>
        <v>7.208978882368819</v>
      </c>
      <c r="AC35" s="22">
        <f t="shared" si="3"/>
        <v>54.578843740511729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27.6</v>
      </c>
      <c r="AI35" s="13">
        <f>IF('Données projet'!$A$62&gt;35,AI34+AH35-AQ34,IF(A35&lt;'Données projet'!$A$62,$AF$205^A35,IF(A35='Données projet'!$A$62,'Données projet'!$B$62,AI34+AH35-AQ34)))</f>
        <v>422.20000000000005</v>
      </c>
      <c r="AJ35" s="13">
        <f>AI35*VLOOKUP('Données projet'!$B$10,Paramètres!$A$1:$I$89,3,0)*VLOOKUP('Données projet'!$B$10,Paramètres!$A$1:$I$89,5,0)</f>
        <v>236.00980000000004</v>
      </c>
      <c r="AK35" s="13">
        <f t="shared" si="35"/>
        <v>57.580183613654185</v>
      </c>
      <c r="AL35" s="20">
        <f t="shared" si="4"/>
        <v>511.3358881271144</v>
      </c>
      <c r="AM35" s="59">
        <f t="shared" si="5"/>
        <v>772.72911464023491</v>
      </c>
      <c r="AN35" s="59">
        <f ca="1">AVERAGE(OFFSET($AM$3,0,0,'Données projet'!$E$10+1,1))-AVERAGE(OFFSET($H$3,0,0,'Données projet'!$E$10+1,1))</f>
        <v>427.83834708696861</v>
      </c>
      <c r="AO35" s="59">
        <f t="shared" si="36"/>
        <v>545.63950537101903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4.2337469351964518</v>
      </c>
      <c r="AV35" s="21">
        <f>EXP(-LN(2)/25)*AV34+(1-EXP(-LN(2)/25))/(LN(2)/25)*Calculateur!AQ35*Calculateur!AS35*VLOOKUP('Données projet'!$B$10,Paramètres!$A$1:$I$89,3,0)*0.475*44/12</f>
        <v>23.292792530874703</v>
      </c>
      <c r="AW35" s="21">
        <f>EXP(-LN(2)/2)*AW34+(1-EXP(-LN(2)/2))/(LN(2)/2)*AQ35*AT35*VLOOKUP('Données projet'!$B$10,Paramètres!$A$1:$I$89,3,0)*0.475*44/12</f>
        <v>4.6261157814622464</v>
      </c>
      <c r="AX35" s="21">
        <f t="shared" si="6"/>
        <v>32.152655247533403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</v>
      </c>
      <c r="BD35" s="12">
        <f>IF('Données projet'!$A$88&gt;35,BD34+BC35-BL34,IF(A35&lt;'Données projet'!$A$88,$BA$205^A35,IF(A35='Données projet'!$A$88,'Données projet'!$B$88,BD34+BC35-BL34)))</f>
        <v>116.99999999999994</v>
      </c>
      <c r="BE35" s="13">
        <f>BD35*VLOOKUP('Données projet'!$B$11,Paramètres!$A$1:$I$89,3,0)*VLOOKUP('Données projet'!$B$11,Paramètres!$A$1:$I$89,5,0)</f>
        <v>54.755999999999972</v>
      </c>
      <c r="BF35" s="13">
        <f t="shared" si="37"/>
        <v>15.835447037242044</v>
      </c>
      <c r="BG35" s="20">
        <f t="shared" si="7"/>
        <v>122.94677025652986</v>
      </c>
      <c r="BH35" s="59">
        <f t="shared" si="8"/>
        <v>384.33999676965033</v>
      </c>
      <c r="BI35" s="59">
        <f ca="1">AVERAGE(OFFSET($BH$3,0,0,'Données projet'!$E$11+1,1))-AVERAGE(OFFSET($H$3,0,0,'Données projet'!$E$11+1,1))</f>
        <v>210.62109466714364</v>
      </c>
      <c r="BJ35" s="59">
        <f t="shared" si="38"/>
        <v>193.35729443770401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6.2741268672852719</v>
      </c>
      <c r="BQ35" s="21">
        <f>EXP(-LN(2)/25)*BQ34+(1-EXP(-LN(2)/25))/(LN(2)/25)*Calculateur!BL35*Calculateur!BN35*VLOOKUP('Données projet'!$B$11,Paramètres!$A$1:$I$89,3,0)*0.475*44/12</f>
        <v>7.5800793845264076</v>
      </c>
      <c r="BR35" s="21">
        <f>EXP(-LN(2)/2)*BR34+(1-EXP(-LN(2)/2))/(LN(2)/2)*BL35*BO35*VLOOKUP('Données projet'!$B$11,Paramètres!$A$1:$I$89,3,0)*0.475*44/12</f>
        <v>3.957990439400354</v>
      </c>
      <c r="BS35" s="22">
        <f t="shared" si="9"/>
        <v>17.812196691212034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14.6</v>
      </c>
      <c r="BY35" s="12">
        <f>IF('Données projet'!$A$114&gt;35,BY34+BX35-CG34,IF(A35&lt;'Données projet'!$A$114,$BV$205^A35,IF(A35='Données projet'!$A$114,'Données projet'!$B$114,BY34+BX35-CG34)))</f>
        <v>189.20000000000005</v>
      </c>
      <c r="BZ35" s="13">
        <f>BY35*VLOOKUP('Données projet'!$B$12,Paramètres!$A$1:$I$89,3,0)*VLOOKUP('Données projet'!$B$12,Paramètres!$A$1:$I$89,5,0)</f>
        <v>113.14160000000004</v>
      </c>
      <c r="CA35" s="13">
        <f t="shared" si="39"/>
        <v>30.069952587742019</v>
      </c>
      <c r="CB35" s="20">
        <f t="shared" si="10"/>
        <v>249.42678742365072</v>
      </c>
      <c r="CC35" s="59">
        <f t="shared" si="11"/>
        <v>510.82001393677115</v>
      </c>
      <c r="CD35" s="59">
        <f ca="1">AVERAGE(OFFSET($CC$3,0,0,'Données projet'!$E$12+1,1))-AVERAGE(OFFSET($H$3,0,0,'Données projet'!$E$12+1,1))</f>
        <v>368.16165268258442</v>
      </c>
      <c r="CE35" s="59">
        <f t="shared" si="40"/>
        <v>291.32219253157041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7.1883814199477758</v>
      </c>
      <c r="CL35" s="21">
        <f>EXP(-LN(2)/25)*CL34+(1-EXP(-LN(2)/25))/(LN(2)/25)*Calculateur!CG35*Calculateur!CI35*VLOOKUP('Données projet'!$B$12,Paramètres!$A$1:$I$89,3,0)*0.475*44/12</f>
        <v>6.2848772858793263</v>
      </c>
      <c r="CM35" s="21">
        <f>EXP(-LN(2)/2)*CM34+(1-EXP(-LN(2)/2))/(LN(2)/2)*CG35*CJ35*VLOOKUP('Données projet'!$B$12,Paramètres!$A$1:$I$89,3,0)*0.475*44/12</f>
        <v>3.9614167528379705</v>
      </c>
      <c r="CN35" s="22">
        <f t="shared" si="12"/>
        <v>17.434675458665073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15.333333333333334</v>
      </c>
      <c r="CT35" s="12">
        <f>IF('Données projet'!$A$140&gt;35,CT34+CS35-DB34,IF(A35&lt;'Données projet'!$A$140,$CQ$205^A35,IF(A35='Données projet'!$A$140,'Données projet'!$B$140,CT34+CS35-DB34)))</f>
        <v>253.33333333333337</v>
      </c>
      <c r="CU35" s="17">
        <f>CT35*VLOOKUP('Données projet'!$B$13,Paramètres!$A$1:$I$89,3,0)*VLOOKUP('Données projet'!$B$13,Paramètres!$A$1:$I$89,5,0)</f>
        <v>151.49333333333337</v>
      </c>
      <c r="CV35" s="13">
        <f t="shared" si="41"/>
        <v>38.917755071333922</v>
      </c>
      <c r="CW35" s="20">
        <f t="shared" si="13"/>
        <v>331.63264563812885</v>
      </c>
      <c r="CX35" s="59">
        <f t="shared" si="14"/>
        <v>593.02587215124936</v>
      </c>
      <c r="CY35" s="59">
        <f ca="1">AVERAGE(OFFSET($CX$3,0,0,'Données projet'!$E$13+1,1))-AVERAGE(OFFSET($H$3,0,0,'Données projet'!$E$13+1,1))</f>
        <v>317.12995176362455</v>
      </c>
      <c r="CZ35" s="59">
        <f t="shared" si="42"/>
        <v>328.11301015275262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17.353345028268954</v>
      </c>
      <c r="DG35" s="21">
        <f>EXP(-LN(2)/25)*DG34+(1-EXP(-LN(2)/25))/(LN(2)/25)*Calculateur!DB35*Calculateur!DD35*VLOOKUP('Données projet'!$B$13,Paramètres!$A$1:$I$89,3,0)*0.475*44/12</f>
        <v>15.256141826240937</v>
      </c>
      <c r="DH35" s="21">
        <f>EXP(-LN(2)/2)*DH34+(1-EXP(-LN(2)/2))/(LN(2)/2)*DB35*DE35*VLOOKUP('Données projet'!$B$13,Paramètres!$A$1:$I$89,3,0)*0.475*44/12</f>
        <v>2.870691842069006</v>
      </c>
      <c r="DI35" s="22">
        <f t="shared" si="15"/>
        <v>35.480178696578896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10.6</v>
      </c>
      <c r="DO35" s="12">
        <f>IF('Données projet'!$A$166&gt;35,DO34+DN35-DW34,IF(A35&lt;'Données projet'!$A$166,$DL$205^A35,IF(A35='Données projet'!$A$166,'Données projet'!$B$166,DO34+DN35-DW34)))</f>
        <v>147.19999999999999</v>
      </c>
      <c r="DP35" s="17">
        <f>DO35*VLOOKUP('Données projet'!$B$14,Paramètres!$A$1:$I$89,3,0)*VLOOKUP('Données projet'!$B$14,Paramètres!$A$1:$I$89,5,0)</f>
        <v>128.59392</v>
      </c>
      <c r="DQ35" s="13">
        <f t="shared" si="43"/>
        <v>33.671250175837564</v>
      </c>
      <c r="DR35" s="20">
        <f t="shared" si="16"/>
        <v>282.61183805625041</v>
      </c>
      <c r="DS35" s="59">
        <f t="shared" si="17"/>
        <v>544.00506456937092</v>
      </c>
      <c r="DT35" s="59">
        <f ca="1">AVERAGE(OFFSET($DS$3,0,0,'Données projet'!$E$14+1,1))-AVERAGE(OFFSET($H$3,0,0,'Données projet'!$E$14+1,1))</f>
        <v>325.5873213944476</v>
      </c>
      <c r="DU35" s="59">
        <f t="shared" si="44"/>
        <v>347.9042278368363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2.8144149444220128</v>
      </c>
      <c r="EB35" s="21">
        <f>EXP(-LN(2)/25)*EB34+(1-EXP(-LN(2)/25))/(LN(2)/25)*Calculateur!DW35*Calculateur!DY35*VLOOKUP('Données projet'!$B$14,Paramètres!$A$1:$I$89,3,0)*0.475*44/12</f>
        <v>8.3473974512418678</v>
      </c>
      <c r="EC35" s="21">
        <f>EXP(-LN(2)/2)*EC34+(1-EXP(-LN(2)/2))/(LN(2)/2)*DW35*DZ35*VLOOKUP('Données projet'!$B$14,Paramètres!$A$1:$I$89,3,0)*0.475*44/12</f>
        <v>5.9749103181717276</v>
      </c>
      <c r="ED35" s="22">
        <f t="shared" si="18"/>
        <v>17.136722713835606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11.666666666666666</v>
      </c>
      <c r="EJ35" s="12">
        <f>IF('Données projet'!$A$192&gt;35,EJ34+EI35-ER34,IF(A35&lt;'Données projet'!$A$192,$EG$205^A35,IF(A35='Données projet'!$A$192,'Données projet'!$B$192,EJ34+EI35-ER34)))</f>
        <v>169.66666666666663</v>
      </c>
      <c r="EK35" s="17">
        <f>EJ35*VLOOKUP('Données projet'!$B$15,Paramètres!$A$1:$I$89,3,0)*VLOOKUP('Données projet'!$B$15,Paramètres!$A$1:$I$89,5,0)</f>
        <v>101.46066666666665</v>
      </c>
      <c r="EL35" s="13">
        <f t="shared" si="45"/>
        <v>27.309687011536219</v>
      </c>
      <c r="EM35" s="20">
        <f t="shared" si="19"/>
        <v>224.27503265620331</v>
      </c>
      <c r="EN35" s="59">
        <f t="shared" si="20"/>
        <v>485.66825916932373</v>
      </c>
      <c r="EO35" s="59">
        <f ca="1">AVERAGE(OFFSET($EN$3,0,0,'Données projet'!$E$15+1,1))-AVERAGE(OFFSET($H$3,0,0,'Données projet'!$E$15+1,1))</f>
        <v>205.5480000480477</v>
      </c>
      <c r="EP35" s="59">
        <f t="shared" si="46"/>
        <v>229.86812144828366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7.0696926331133598</v>
      </c>
      <c r="EW35" s="21">
        <f>EXP(-LN(2)/25)*EW34+(1-EXP(-LN(2)/25))/(LN(2)/25)*Calculateur!ER35*Calculateur!ET35*VLOOKUP('Données projet'!$B$15,Paramètres!$A$1:$I$89,3,0)*0.475*44/12</f>
        <v>5.6976678731440673</v>
      </c>
      <c r="EX35" s="21">
        <f>EXP(-LN(2)/2)*EX34+(1-EXP(-LN(2)/2))/(LN(2)/2)*ER35*EU35*VLOOKUP('Données projet'!$B$15,Paramètres!$A$1:$I$89,3,0)*0.475*44/12</f>
        <v>1.4789855150958064</v>
      </c>
      <c r="EY35" s="22">
        <f t="shared" si="21"/>
        <v>14.246346021353233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3.05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5.7657599999999949</v>
      </c>
      <c r="D36" s="11">
        <f t="shared" si="32"/>
        <v>2.1669301990028518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27.199803158238613</v>
      </c>
      <c r="H36" s="67">
        <f t="shared" si="1"/>
        <v>225.74943542992995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28.4</v>
      </c>
      <c r="N36" s="13">
        <f>IF('Données projet'!$A$36&gt;35,N35+M36-V35,IF(A36&lt;'Données projet'!$A$36,$K$205^A36,IF(A36='Données projet'!$A$36,'Données projet'!$B$36,N35+M36-V35)))</f>
        <v>519.19999999999993</v>
      </c>
      <c r="O36" s="13">
        <f>N36*VLOOKUP('Données projet'!$B$9,Paramètres!$A$1:$I$89,3,0)*VLOOKUP('Données projet'!$B$9,Paramètres!$A$1:$I$89,5,0)</f>
        <v>290.2328</v>
      </c>
      <c r="P36" s="13">
        <f t="shared" si="33"/>
        <v>69.124955529636495</v>
      </c>
      <c r="Q36" s="20">
        <f t="shared" si="53"/>
        <v>625.88142421411692</v>
      </c>
      <c r="R36" s="59">
        <f t="shared" si="0"/>
        <v>887.82874017318682</v>
      </c>
      <c r="S36" s="59">
        <f ca="1">AVERAGE(OFFSET($R$3,0,0,'Données projet'!$E$9+1,1))-AVERAGE(OFFSET($H$3,0,0,'Données projet'!$E$9+1,1))</f>
        <v>542.23071537860039</v>
      </c>
      <c r="T36" s="59">
        <f t="shared" si="34"/>
        <v>667.26143680054633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6.9178762335464929</v>
      </c>
      <c r="AA36" s="21">
        <f>EXP(-LN(2)/25)*AA35+(1-EXP(-LN(2)/25))/(LN(2)/25)*Calculateur!V36*Calculateur!X36*VLOOKUP('Données projet'!$B$9,Paramètres!$A$1:$I$89,3,0)*0.475*44/12</f>
        <v>39.211241908173349</v>
      </c>
      <c r="AB36" s="21">
        <f>EXP(-LN(2)/2)*AB35+(1-EXP(-LN(2)/2))/(LN(2)/2)*V36*Y36*VLOOKUP('Données projet'!$B$9,Paramètres!$A$1:$I$89,3,0)*0.475*44/12</f>
        <v>5.0975178531536107</v>
      </c>
      <c r="AC36" s="22">
        <f t="shared" si="3"/>
        <v>51.226635994873455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27.6</v>
      </c>
      <c r="AI36" s="13">
        <f>IF('Données projet'!$A$62&gt;35,AI35+AH36-AQ35,IF(A36&lt;'Données projet'!$A$62,$AF$205^A36,IF(A36='Données projet'!$A$62,'Données projet'!$B$62,AI35+AH36-AQ35)))</f>
        <v>449.80000000000007</v>
      </c>
      <c r="AJ36" s="13">
        <f>AI36*VLOOKUP('Données projet'!$B$10,Paramètres!$A$1:$I$89,3,0)*VLOOKUP('Données projet'!$B$10,Paramètres!$A$1:$I$89,5,0)</f>
        <v>251.43820000000002</v>
      </c>
      <c r="AK36" s="13">
        <f t="shared" si="35"/>
        <v>60.893806844597648</v>
      </c>
      <c r="AL36" s="20">
        <f t="shared" si="4"/>
        <v>543.978245254341</v>
      </c>
      <c r="AM36" s="59">
        <f t="shared" si="5"/>
        <v>805.9255612134109</v>
      </c>
      <c r="AN36" s="59">
        <f ca="1">AVERAGE(OFFSET($AM$3,0,0,'Données projet'!$E$10+1,1))-AVERAGE(OFFSET($H$3,0,0,'Données projet'!$E$10+1,1))</f>
        <v>427.83834708696861</v>
      </c>
      <c r="AO36" s="59">
        <f t="shared" si="36"/>
        <v>545.63950537101903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4.1507257401278963</v>
      </c>
      <c r="AV36" s="21">
        <f>EXP(-LN(2)/25)*AV35+(1-EXP(-LN(2)/25))/(LN(2)/25)*Calculateur!AQ36*Calculateur!AS36*VLOOKUP('Données projet'!$B$10,Paramètres!$A$1:$I$89,3,0)*0.475*44/12</f>
        <v>22.655849894203211</v>
      </c>
      <c r="AW36" s="21">
        <f>EXP(-LN(2)/2)*AW35+(1-EXP(-LN(2)/2))/(LN(2)/2)*AQ36*AT36*VLOOKUP('Données projet'!$B$10,Paramètres!$A$1:$I$89,3,0)*0.475*44/12</f>
        <v>3.2711578396260594</v>
      </c>
      <c r="AX36" s="21">
        <f t="shared" si="6"/>
        <v>30.077733473957167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</v>
      </c>
      <c r="BD36" s="12">
        <f>IF('Données projet'!$A$88&gt;35,BD35+BC36-BL35,IF(A36&lt;'Données projet'!$A$88,$BA$205^A36,IF(A36='Données projet'!$A$88,'Données projet'!$B$88,BD35+BC36-BL35)))</f>
        <v>123.99999999999994</v>
      </c>
      <c r="BE36" s="13">
        <f>BD36*VLOOKUP('Données projet'!$B$11,Paramètres!$A$1:$I$89,3,0)*VLOOKUP('Données projet'!$B$11,Paramètres!$A$1:$I$89,5,0)</f>
        <v>58.031999999999975</v>
      </c>
      <c r="BF36" s="13">
        <f t="shared" si="37"/>
        <v>16.669735221992795</v>
      </c>
      <c r="BG36" s="20">
        <f t="shared" si="7"/>
        <v>130.10552217830408</v>
      </c>
      <c r="BH36" s="59">
        <f t="shared" si="8"/>
        <v>392.05283813737401</v>
      </c>
      <c r="BI36" s="59">
        <f ca="1">AVERAGE(OFFSET($BH$3,0,0,'Données projet'!$E$11+1,1))-AVERAGE(OFFSET($H$3,0,0,'Données projet'!$E$11+1,1))</f>
        <v>210.62109466714364</v>
      </c>
      <c r="BJ36" s="59">
        <f t="shared" si="38"/>
        <v>193.35729443770401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6.1510950662573274</v>
      </c>
      <c r="BQ36" s="21">
        <f>EXP(-LN(2)/25)*BQ35+(1-EXP(-LN(2)/25))/(LN(2)/25)*Calculateur!BL36*Calculateur!BN36*VLOOKUP('Données projet'!$B$11,Paramètres!$A$1:$I$89,3,0)*0.475*44/12</f>
        <v>7.3728017151374825</v>
      </c>
      <c r="BR36" s="21">
        <f>EXP(-LN(2)/2)*BR35+(1-EXP(-LN(2)/2))/(LN(2)/2)*BL36*BO36*VLOOKUP('Données projet'!$B$11,Paramètres!$A$1:$I$89,3,0)*0.475*44/12</f>
        <v>2.7987218795715134</v>
      </c>
      <c r="BS36" s="22">
        <f t="shared" si="9"/>
        <v>16.322618660966324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14.6</v>
      </c>
      <c r="BY36" s="12">
        <f>IF('Données projet'!$A$114&gt;35,BY35+BX36-CG35,IF(A36&lt;'Données projet'!$A$114,$BV$205^A36,IF(A36='Données projet'!$A$114,'Données projet'!$B$114,BY35+BX36-CG35)))</f>
        <v>203.80000000000004</v>
      </c>
      <c r="BZ36" s="13">
        <f>BY36*VLOOKUP('Données projet'!$B$12,Paramètres!$A$1:$I$89,3,0)*VLOOKUP('Données projet'!$B$12,Paramètres!$A$1:$I$89,5,0)</f>
        <v>121.87240000000003</v>
      </c>
      <c r="CA36" s="13">
        <f t="shared" si="39"/>
        <v>32.111311550408985</v>
      </c>
      <c r="CB36" s="20">
        <f t="shared" si="10"/>
        <v>268.1882976169623</v>
      </c>
      <c r="CC36" s="59">
        <f t="shared" si="11"/>
        <v>530.13561357603226</v>
      </c>
      <c r="CD36" s="59">
        <f ca="1">AVERAGE(OFFSET($CC$3,0,0,'Données projet'!$E$12+1,1))-AVERAGE(OFFSET($H$3,0,0,'Données projet'!$E$12+1,1))</f>
        <v>368.16165268258442</v>
      </c>
      <c r="CE36" s="59">
        <f t="shared" si="40"/>
        <v>291.32219253157041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7.047421644782335</v>
      </c>
      <c r="CL36" s="21">
        <f>EXP(-LN(2)/25)*CL35+(1-EXP(-LN(2)/25))/(LN(2)/25)*Calculateur!CG36*Calculateur!CI36*VLOOKUP('Données projet'!$B$12,Paramètres!$A$1:$I$89,3,0)*0.475*44/12</f>
        <v>6.1130169859896242</v>
      </c>
      <c r="CM36" s="21">
        <f>EXP(-LN(2)/2)*CM35+(1-EXP(-LN(2)/2))/(LN(2)/2)*CG36*CJ36*VLOOKUP('Données projet'!$B$12,Paramètres!$A$1:$I$89,3,0)*0.475*44/12</f>
        <v>2.8011446490377225</v>
      </c>
      <c r="CN36" s="22">
        <f t="shared" si="12"/>
        <v>15.961583279809682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15.333333333333334</v>
      </c>
      <c r="CT36" s="12">
        <f>IF('Données projet'!$A$140&gt;35,CT35+CS36-DB35,IF(A36&lt;'Données projet'!$A$140,$CQ$205^A36,IF(A36='Données projet'!$A$140,'Données projet'!$B$140,CT35+CS36-DB35)))</f>
        <v>268.66666666666669</v>
      </c>
      <c r="CU36" s="17">
        <f>CT36*VLOOKUP('Données projet'!$B$13,Paramètres!$A$1:$I$89,3,0)*VLOOKUP('Données projet'!$B$13,Paramètres!$A$1:$I$89,5,0)</f>
        <v>160.66266666666669</v>
      </c>
      <c r="CV36" s="13">
        <f t="shared" si="41"/>
        <v>40.99194575038495</v>
      </c>
      <c r="CW36" s="20">
        <f t="shared" si="13"/>
        <v>351.21511662636493</v>
      </c>
      <c r="CX36" s="59">
        <f t="shared" si="14"/>
        <v>613.16243258543477</v>
      </c>
      <c r="CY36" s="59">
        <f ca="1">AVERAGE(OFFSET($CX$3,0,0,'Données projet'!$E$13+1,1))-AVERAGE(OFFSET($H$3,0,0,'Données projet'!$E$13+1,1))</f>
        <v>317.12995176362455</v>
      </c>
      <c r="CZ36" s="59">
        <f t="shared" si="42"/>
        <v>328.11301015275262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17.013056516759935</v>
      </c>
      <c r="DG36" s="21">
        <f>EXP(-LN(2)/25)*DG35+(1-EXP(-LN(2)/25))/(LN(2)/25)*Calculateur!DB36*Calculateur!DD36*VLOOKUP('Données projet'!$B$13,Paramètres!$A$1:$I$89,3,0)*0.475*44/12</f>
        <v>14.838961825716748</v>
      </c>
      <c r="DH36" s="21">
        <f>EXP(-LN(2)/2)*DH35+(1-EXP(-LN(2)/2))/(LN(2)/2)*DB36*DE36*VLOOKUP('Données projet'!$B$13,Paramètres!$A$1:$I$89,3,0)*0.475*44/12</f>
        <v>2.0298856682238959</v>
      </c>
      <c r="DI36" s="22">
        <f t="shared" si="15"/>
        <v>33.88190401070058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10.6</v>
      </c>
      <c r="DO36" s="12">
        <f>IF('Données projet'!$A$166&gt;35,DO35+DN36-DW35,IF(A36&lt;'Données projet'!$A$166,$DL$205^A36,IF(A36='Données projet'!$A$166,'Données projet'!$B$166,DO35+DN36-DW35)))</f>
        <v>157.79999999999998</v>
      </c>
      <c r="DP36" s="17">
        <f>DO36*VLOOKUP('Données projet'!$B$14,Paramètres!$A$1:$I$89,3,0)*VLOOKUP('Données projet'!$B$14,Paramètres!$A$1:$I$89,5,0)</f>
        <v>137.85408000000001</v>
      </c>
      <c r="DQ36" s="13">
        <f t="shared" si="43"/>
        <v>35.804964283629964</v>
      </c>
      <c r="DR36" s="20">
        <f t="shared" si="16"/>
        <v>302.45616879398887</v>
      </c>
      <c r="DS36" s="59">
        <f t="shared" si="17"/>
        <v>564.40348475305882</v>
      </c>
      <c r="DT36" s="59">
        <f ca="1">AVERAGE(OFFSET($DS$3,0,0,'Données projet'!$E$14+1,1))-AVERAGE(OFFSET($H$3,0,0,'Données projet'!$E$14+1,1))</f>
        <v>325.5873213944476</v>
      </c>
      <c r="DU36" s="59">
        <f t="shared" si="44"/>
        <v>347.9042278368363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2.7592259839855107</v>
      </c>
      <c r="EB36" s="21">
        <f>EXP(-LN(2)/25)*EB35+(1-EXP(-LN(2)/25))/(LN(2)/25)*Calculateur!DW36*Calculateur!DY36*VLOOKUP('Données projet'!$B$14,Paramètres!$A$1:$I$89,3,0)*0.475*44/12</f>
        <v>8.1191374289671057</v>
      </c>
      <c r="EC36" s="21">
        <f>EXP(-LN(2)/2)*EC35+(1-EXP(-LN(2)/2))/(LN(2)/2)*DW36*DZ36*VLOOKUP('Données projet'!$B$14,Paramètres!$A$1:$I$89,3,0)*0.475*44/12</f>
        <v>4.2248996029607016</v>
      </c>
      <c r="ED36" s="22">
        <f t="shared" si="18"/>
        <v>15.103263015913317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11.666666666666666</v>
      </c>
      <c r="EJ36" s="12">
        <f>IF('Données projet'!$A$192&gt;35,EJ35+EI36-ER35,IF(A36&lt;'Données projet'!$A$192,$EG$205^A36,IF(A36='Données projet'!$A$192,'Données projet'!$B$192,EJ35+EI36-ER35)))</f>
        <v>181.33333333333329</v>
      </c>
      <c r="EK36" s="17">
        <f>EJ36*VLOOKUP('Données projet'!$B$15,Paramètres!$A$1:$I$89,3,0)*VLOOKUP('Données projet'!$B$15,Paramètres!$A$1:$I$89,5,0)</f>
        <v>108.43733333333331</v>
      </c>
      <c r="EL36" s="13">
        <f t="shared" si="45"/>
        <v>28.962502090468035</v>
      </c>
      <c r="EM36" s="20">
        <f t="shared" si="19"/>
        <v>239.30471336312061</v>
      </c>
      <c r="EN36" s="59">
        <f t="shared" si="20"/>
        <v>501.25202932219054</v>
      </c>
      <c r="EO36" s="59">
        <f ca="1">AVERAGE(OFFSET($EN$3,0,0,'Données projet'!$E$15+1,1))-AVERAGE(OFFSET($H$3,0,0,'Données projet'!$E$15+1,1))</f>
        <v>205.5480000480477</v>
      </c>
      <c r="EP36" s="59">
        <f t="shared" si="46"/>
        <v>229.86812144828366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6.9310602726647295</v>
      </c>
      <c r="EW36" s="21">
        <f>EXP(-LN(2)/25)*EW35+(1-EXP(-LN(2)/25))/(LN(2)/25)*Calculateur!ER36*Calculateur!ET36*VLOOKUP('Données projet'!$B$15,Paramètres!$A$1:$I$89,3,0)*0.475*44/12</f>
        <v>5.5418648455256116</v>
      </c>
      <c r="EX36" s="21">
        <f>EXP(-LN(2)/2)*EX35+(1-EXP(-LN(2)/2))/(LN(2)/2)*ER36*EU36*VLOOKUP('Données projet'!$B$15,Paramètres!$A$1:$I$89,3,0)*0.475*44/12</f>
        <v>1.0458006870009238</v>
      </c>
      <c r="EY36" s="22">
        <f t="shared" si="21"/>
        <v>13.518725805191265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3.05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5.9404799999999947</v>
      </c>
      <c r="D37" s="11">
        <f t="shared" si="32"/>
        <v>2.2248502041741789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27.774464785047783</v>
      </c>
      <c r="H37" s="67">
        <f t="shared" si="1"/>
        <v>226.15461677227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28.4</v>
      </c>
      <c r="N37" s="13">
        <f>IF('Données projet'!$A$36&gt;35,N36+M37-V36,IF(A37&lt;'Données projet'!$A$36,$K$205^A37,IF(A37='Données projet'!$A$36,'Données projet'!$B$36,N36+M37-V36)))</f>
        <v>547.59999999999991</v>
      </c>
      <c r="O37" s="13">
        <f>N37*VLOOKUP('Données projet'!$B$9,Paramètres!$A$1:$I$89,3,0)*VLOOKUP('Données projet'!$B$9,Paramètres!$A$1:$I$89,5,0)</f>
        <v>306.10839999999996</v>
      </c>
      <c r="P37" s="13">
        <f t="shared" si="33"/>
        <v>72.455512621968097</v>
      </c>
      <c r="Q37" s="20">
        <f t="shared" si="53"/>
        <v>659.33214781659433</v>
      </c>
      <c r="R37" s="59">
        <f t="shared" si="0"/>
        <v>921.82394100848478</v>
      </c>
      <c r="S37" s="59">
        <f ca="1">AVERAGE(OFFSET($R$3,0,0,'Données projet'!$E$9+1,1))-AVERAGE(OFFSET($H$3,0,0,'Données projet'!$E$9+1,1))</f>
        <v>542.23071537860039</v>
      </c>
      <c r="T37" s="59">
        <f t="shared" si="34"/>
        <v>667.26143680054633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6.7822209000945088</v>
      </c>
      <c r="AA37" s="21">
        <f>EXP(-LN(2)/25)*AA36+(1-EXP(-LN(2)/25))/(LN(2)/25)*Calculateur!V37*Calculateur!X37*VLOOKUP('Données projet'!$B$9,Paramètres!$A$1:$I$89,3,0)*0.475*44/12</f>
        <v>38.139008436164758</v>
      </c>
      <c r="AB37" s="21">
        <f>EXP(-LN(2)/2)*AB36+(1-EXP(-LN(2)/2))/(LN(2)/2)*V37*Y37*VLOOKUP('Données projet'!$B$9,Paramètres!$A$1:$I$89,3,0)*0.475*44/12</f>
        <v>3.6044894411844099</v>
      </c>
      <c r="AC37" s="22">
        <f t="shared" si="3"/>
        <v>48.525718777443679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27.6</v>
      </c>
      <c r="AI37" s="13">
        <f>IF('Données projet'!$A$62&gt;35,AI36+AH37-AQ36,IF(A37&lt;'Données projet'!$A$62,$AF$205^A37,IF(A37='Données projet'!$A$62,'Données projet'!$B$62,AI36+AH37-AQ36)))</f>
        <v>477.40000000000009</v>
      </c>
      <c r="AJ37" s="13">
        <f>AI37*VLOOKUP('Données projet'!$B$10,Paramètres!$A$1:$I$89,3,0)*VLOOKUP('Données projet'!$B$10,Paramètres!$A$1:$I$89,5,0)</f>
        <v>266.86660000000006</v>
      </c>
      <c r="AK37" s="13">
        <f t="shared" si="35"/>
        <v>64.183831628008477</v>
      </c>
      <c r="AL37" s="20">
        <f t="shared" si="4"/>
        <v>576.57950175211477</v>
      </c>
      <c r="AM37" s="59">
        <f t="shared" si="5"/>
        <v>839.07129494400533</v>
      </c>
      <c r="AN37" s="59">
        <f ca="1">AVERAGE(OFFSET($AM$3,0,0,'Données projet'!$E$10+1,1))-AVERAGE(OFFSET($H$3,0,0,'Données projet'!$E$10+1,1))</f>
        <v>427.83834708696861</v>
      </c>
      <c r="AO37" s="59">
        <f t="shared" si="36"/>
        <v>545.63950537101903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4.0693325400567062</v>
      </c>
      <c r="AV37" s="21">
        <f>EXP(-LN(2)/25)*AV36+(1-EXP(-LN(2)/25))/(LN(2)/25)*Calculateur!AQ37*Calculateur!AS37*VLOOKUP('Données projet'!$B$10,Paramètres!$A$1:$I$89,3,0)*0.475*44/12</f>
        <v>22.03632448742686</v>
      </c>
      <c r="AW37" s="21">
        <f>EXP(-LN(2)/2)*AW36+(1-EXP(-LN(2)/2))/(LN(2)/2)*AQ37*AT37*VLOOKUP('Données projet'!$B$10,Paramètres!$A$1:$I$89,3,0)*0.475*44/12</f>
        <v>2.3130578907311237</v>
      </c>
      <c r="AX37" s="21">
        <f t="shared" si="6"/>
        <v>28.41871491821469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</v>
      </c>
      <c r="BD37" s="12">
        <f>IF('Données projet'!$A$88&gt;35,BD36+BC37-BL36,IF(A37&lt;'Données projet'!$A$88,$BA$205^A37,IF(A37='Données projet'!$A$88,'Données projet'!$B$88,BD36+BC37-BL36)))</f>
        <v>130.99999999999994</v>
      </c>
      <c r="BE37" s="13">
        <f>BD37*VLOOKUP('Données projet'!$B$11,Paramètres!$A$1:$I$89,3,0)*VLOOKUP('Données projet'!$B$11,Paramètres!$A$1:$I$89,5,0)</f>
        <v>61.307999999999971</v>
      </c>
      <c r="BF37" s="13">
        <f t="shared" si="37"/>
        <v>17.498556232826868</v>
      </c>
      <c r="BG37" s="20">
        <f t="shared" si="7"/>
        <v>137.25475210550675</v>
      </c>
      <c r="BH37" s="59">
        <f t="shared" si="8"/>
        <v>399.74654529739723</v>
      </c>
      <c r="BI37" s="59">
        <f ca="1">AVERAGE(OFFSET($BH$3,0,0,'Données projet'!$E$11+1,1))-AVERAGE(OFFSET($H$3,0,0,'Données projet'!$E$11+1,1))</f>
        <v>210.62109466714364</v>
      </c>
      <c r="BJ37" s="59">
        <f t="shared" si="38"/>
        <v>193.35729443770401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6.0304758438055526</v>
      </c>
      <c r="BQ37" s="21">
        <f>EXP(-LN(2)/25)*BQ36+(1-EXP(-LN(2)/25))/(LN(2)/25)*Calculateur!BL37*Calculateur!BN37*VLOOKUP('Données projet'!$B$11,Paramètres!$A$1:$I$89,3,0)*0.475*44/12</f>
        <v>7.171192064518257</v>
      </c>
      <c r="BR37" s="21">
        <f>EXP(-LN(2)/2)*BR36+(1-EXP(-LN(2)/2))/(LN(2)/2)*BL37*BO37*VLOOKUP('Données projet'!$B$11,Paramètres!$A$1:$I$89,3,0)*0.475*44/12</f>
        <v>1.9789952197001772</v>
      </c>
      <c r="BS37" s="22">
        <f t="shared" si="9"/>
        <v>15.180663128023987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14.6</v>
      </c>
      <c r="BY37" s="12">
        <f>IF('Données projet'!$A$114&gt;35,BY36+BX37-CG36,IF(A37&lt;'Données projet'!$A$114,$BV$205^A37,IF(A37='Données projet'!$A$114,'Données projet'!$B$114,BY36+BX37-CG36)))</f>
        <v>218.40000000000003</v>
      </c>
      <c r="BZ37" s="13">
        <f>BY37*VLOOKUP('Données projet'!$B$12,Paramètres!$A$1:$I$89,3,0)*VLOOKUP('Données projet'!$B$12,Paramètres!$A$1:$I$89,5,0)</f>
        <v>130.60320000000004</v>
      </c>
      <c r="CA37" s="13">
        <f t="shared" si="39"/>
        <v>34.135703567016428</v>
      </c>
      <c r="CB37" s="20">
        <f t="shared" si="10"/>
        <v>286.92025704588701</v>
      </c>
      <c r="CC37" s="59">
        <f t="shared" si="11"/>
        <v>549.41205023777752</v>
      </c>
      <c r="CD37" s="59">
        <f ca="1">AVERAGE(OFFSET($CC$3,0,0,'Données projet'!$E$12+1,1))-AVERAGE(OFFSET($H$3,0,0,'Données projet'!$E$12+1,1))</f>
        <v>368.16165268258442</v>
      </c>
      <c r="CE37" s="59">
        <f t="shared" si="40"/>
        <v>291.32219253157041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6.9092260048309146</v>
      </c>
      <c r="CL37" s="21">
        <f>EXP(-LN(2)/25)*CL36+(1-EXP(-LN(2)/25))/(LN(2)/25)*Calculateur!CG37*Calculateur!CI37*VLOOKUP('Données projet'!$B$12,Paramètres!$A$1:$I$89,3,0)*0.475*44/12</f>
        <v>5.9458562150381464</v>
      </c>
      <c r="CM37" s="21">
        <f>EXP(-LN(2)/2)*CM36+(1-EXP(-LN(2)/2))/(LN(2)/2)*CG37*CJ37*VLOOKUP('Données projet'!$B$12,Paramètres!$A$1:$I$89,3,0)*0.475*44/12</f>
        <v>1.9807083764189855</v>
      </c>
      <c r="CN37" s="22">
        <f t="shared" si="12"/>
        <v>14.835790596288046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>
        <f>VLOOKUP(A37,'Données projet'!$A$139:$I$159,2,0)</f>
        <v>284</v>
      </c>
      <c r="CR37" s="12">
        <f>VLOOKUP(A37,'Données projet'!$A$139:$I$159,9,0)</f>
        <v>15.333333333333334</v>
      </c>
      <c r="CS37" s="12">
        <f t="array" ref="CS37">INDEX(CR:CR,MIN(IF(ISNUMBER(CR37:CR233),ROW(CR37:CR233),"")))</f>
        <v>15.333333333333334</v>
      </c>
      <c r="CT37" s="12">
        <f>IF('Données projet'!$A$140&gt;35,CT36+CS37-DB36,IF(A37&lt;'Données projet'!$A$140,$CQ$205^A37,IF(A37='Données projet'!$A$140,'Données projet'!$B$140,CT36+CS37-DB36)))</f>
        <v>284</v>
      </c>
      <c r="CU37" s="17">
        <f>CT37*VLOOKUP('Données projet'!$B$13,Paramètres!$A$1:$I$89,3,0)*VLOOKUP('Données projet'!$B$13,Paramètres!$A$1:$I$89,5,0)</f>
        <v>169.83200000000002</v>
      </c>
      <c r="CV37" s="13">
        <f t="shared" si="41"/>
        <v>43.052395009050464</v>
      </c>
      <c r="CW37" s="20">
        <f t="shared" si="13"/>
        <v>370.77365464076291</v>
      </c>
      <c r="CX37" s="59">
        <f t="shared" si="14"/>
        <v>633.26544783265342</v>
      </c>
      <c r="CY37" s="59">
        <f ca="1">AVERAGE(OFFSET($CX$3,0,0,'Données projet'!$E$13+1,1))-AVERAGE(OFFSET($H$3,0,0,'Données projet'!$E$13+1,1))</f>
        <v>317.12995176362455</v>
      </c>
      <c r="CZ37" s="59">
        <f t="shared" si="42"/>
        <v>328.11301015275262</v>
      </c>
      <c r="DA37" s="15">
        <f>IF(ISNA(VLOOKUP(A37,'Données projet'!$A$139:$I$159,3,0)),0,VLOOKUP(A37,'Données projet'!$A$139:$I$159,3,0))</f>
        <v>6</v>
      </c>
      <c r="DB37" s="15">
        <f>IF(ISNA(VLOOKUP(A37,'Données projet'!$A$139:$I$159,4,0)),0,VLOOKUP(A37,'Données projet'!$A$139:$I$159,4,0))</f>
        <v>60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16.67944085540611</v>
      </c>
      <c r="DG37" s="21">
        <f>EXP(-LN(2)/25)*DG36+(1-EXP(-LN(2)/25))/(LN(2)/25)*Calculateur!DB37*Calculateur!DD37*VLOOKUP('Données projet'!$B$13,Paramètres!$A$1:$I$89,3,0)*0.475*44/12</f>
        <v>14.433189634245435</v>
      </c>
      <c r="DH37" s="21">
        <f>EXP(-LN(2)/2)*DH36+(1-EXP(-LN(2)/2))/(LN(2)/2)*DB37*DE37*VLOOKUP('Données projet'!$B$13,Paramètres!$A$1:$I$89,3,0)*0.475*44/12</f>
        <v>1.4353459210345032</v>
      </c>
      <c r="DI37" s="22">
        <f t="shared" si="15"/>
        <v>32.547976410686047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10.6</v>
      </c>
      <c r="DO37" s="12">
        <f>IF('Données projet'!$A$166&gt;35,DO36+DN37-DW36,IF(A37&lt;'Données projet'!$A$166,$DL$205^A37,IF(A37='Données projet'!$A$166,'Données projet'!$B$166,DO36+DN37-DW36)))</f>
        <v>168.39999999999998</v>
      </c>
      <c r="DP37" s="17">
        <f>DO37*VLOOKUP('Données projet'!$B$14,Paramètres!$A$1:$I$89,3,0)*VLOOKUP('Données projet'!$B$14,Paramètres!$A$1:$I$89,5,0)</f>
        <v>147.11424</v>
      </c>
      <c r="DQ37" s="13">
        <f t="shared" si="43"/>
        <v>37.922046712608186</v>
      </c>
      <c r="DR37" s="20">
        <f t="shared" si="16"/>
        <v>322.27153269112591</v>
      </c>
      <c r="DS37" s="59">
        <f t="shared" si="17"/>
        <v>584.76332588301648</v>
      </c>
      <c r="DT37" s="59">
        <f ca="1">AVERAGE(OFFSET($DS$3,0,0,'Données projet'!$E$14+1,1))-AVERAGE(OFFSET($H$3,0,0,'Données projet'!$E$14+1,1))</f>
        <v>325.5873213944476</v>
      </c>
      <c r="DU37" s="59">
        <f t="shared" si="44"/>
        <v>347.9042278368363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2.7051192454012263</v>
      </c>
      <c r="EB37" s="21">
        <f>EXP(-LN(2)/25)*EB36+(1-EXP(-LN(2)/25))/(LN(2)/25)*Calculateur!DW37*Calculateur!DY37*VLOOKUP('Données projet'!$B$14,Paramètres!$A$1:$I$89,3,0)*0.475*44/12</f>
        <v>7.8971191890051191</v>
      </c>
      <c r="EC37" s="21">
        <f>EXP(-LN(2)/2)*EC36+(1-EXP(-LN(2)/2))/(LN(2)/2)*DW37*DZ37*VLOOKUP('Données projet'!$B$14,Paramètres!$A$1:$I$89,3,0)*0.475*44/12</f>
        <v>2.9874551590858647</v>
      </c>
      <c r="ED37" s="22">
        <f t="shared" si="18"/>
        <v>13.589693593492211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>
        <f>VLOOKUP(A37,'Données projet'!$A$191:$I$211,2,0)</f>
        <v>193</v>
      </c>
      <c r="EH37" s="12">
        <f>VLOOKUP(A37,'Données projet'!$A$191:$I$211,9,0)</f>
        <v>11.666666666666666</v>
      </c>
      <c r="EI37" s="12">
        <f t="array" ref="EI37">INDEX(EH:EH,MIN(IF(ISNUMBER(EH37:EH233),ROW(EH37:EH233),"")))</f>
        <v>11.666666666666666</v>
      </c>
      <c r="EJ37" s="12">
        <f>IF('Données projet'!$A$192&gt;35,EJ36+EI37-ER36,IF(A37&lt;'Données projet'!$A$192,$EG$205^A37,IF(A37='Données projet'!$A$192,'Données projet'!$B$192,EJ36+EI37-ER36)))</f>
        <v>192.99999999999994</v>
      </c>
      <c r="EK37" s="17">
        <f>EJ37*VLOOKUP('Données projet'!$B$15,Paramètres!$A$1:$I$89,3,0)*VLOOKUP('Données projet'!$B$15,Paramètres!$A$1:$I$89,5,0)</f>
        <v>115.41399999999997</v>
      </c>
      <c r="EL37" s="13">
        <f t="shared" si="45"/>
        <v>30.602976534547519</v>
      </c>
      <c r="EM37" s="20">
        <f t="shared" si="19"/>
        <v>254.31290079767018</v>
      </c>
      <c r="EN37" s="59">
        <f t="shared" si="20"/>
        <v>516.80469398956075</v>
      </c>
      <c r="EO37" s="59">
        <f ca="1">AVERAGE(OFFSET($EN$3,0,0,'Données projet'!$E$15+1,1))-AVERAGE(OFFSET($H$3,0,0,'Données projet'!$E$15+1,1))</f>
        <v>205.5480000480477</v>
      </c>
      <c r="EP37" s="59">
        <f t="shared" si="46"/>
        <v>229.86812144828366</v>
      </c>
      <c r="EQ37" s="15">
        <f>IF(ISNA(VLOOKUP(A37,'Données projet'!$A$191:$I$211,3,0)),0,VLOOKUP(A37,'Données projet'!$A$191:$I$211,3,0))</f>
        <v>6</v>
      </c>
      <c r="ER37" s="15">
        <f>IF(ISNA(VLOOKUP(A37,'Données projet'!$A$191:$I$211,4,0)),0,VLOOKUP(A37,'Données projet'!$A$191:$I$211,4,0))</f>
        <v>38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6.7951464082471063</v>
      </c>
      <c r="EW37" s="21">
        <f>EXP(-LN(2)/25)*EW36+(1-EXP(-LN(2)/25))/(LN(2)/25)*Calculateur!ER37*Calculateur!ET37*VLOOKUP('Données projet'!$B$15,Paramètres!$A$1:$I$89,3,0)*0.475*44/12</f>
        <v>5.3903222598907075</v>
      </c>
      <c r="EX37" s="21">
        <f>EXP(-LN(2)/2)*EX36+(1-EXP(-LN(2)/2))/(LN(2)/2)*ER37*EU37*VLOOKUP('Données projet'!$B$15,Paramètres!$A$1:$I$89,3,0)*0.475*44/12</f>
        <v>0.73949275754790333</v>
      </c>
      <c r="EY37" s="22">
        <f t="shared" si="21"/>
        <v>12.924961425685717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3.05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6.1151999999999944</v>
      </c>
      <c r="D38" s="11">
        <f t="shared" si="32"/>
        <v>2.2825722273844908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28.348637361679575</v>
      </c>
      <c r="H38" s="67">
        <f t="shared" si="1"/>
        <v>226.55945329602795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576</v>
      </c>
      <c r="L38" s="12">
        <f>VLOOKUP(A38,'Données projet'!$A$35:$I$55,9,0)</f>
        <v>28.4</v>
      </c>
      <c r="M38" s="12">
        <f t="array" ref="M38">INDEX(L:L,MIN(IF(ISNUMBER(L38:L234),ROW(L38:L234),"")))</f>
        <v>28.4</v>
      </c>
      <c r="N38" s="13">
        <f>IF('Données projet'!$A$36&gt;35,N37+M38-V37,IF(A38&lt;'Données projet'!$A$36,$K$205^A38,IF(A38='Données projet'!$A$36,'Données projet'!$B$36,N37+M38-V37)))</f>
        <v>575.99999999999989</v>
      </c>
      <c r="O38" s="13">
        <f>N38*VLOOKUP('Données projet'!$B$9,Paramètres!$A$1:$I$89,3,0)*VLOOKUP('Données projet'!$B$9,Paramètres!$A$1:$I$89,5,0)</f>
        <v>321.98399999999992</v>
      </c>
      <c r="P38" s="13">
        <f t="shared" si="33"/>
        <v>75.76601483154208</v>
      </c>
      <c r="Q38" s="20">
        <f t="shared" si="53"/>
        <v>692.74794249826891</v>
      </c>
      <c r="R38" s="59">
        <f t="shared" si="0"/>
        <v>955.77476746025934</v>
      </c>
      <c r="S38" s="59">
        <f ca="1">AVERAGE(OFFSET($R$3,0,0,'Données projet'!$E$9+1,1))-AVERAGE(OFFSET($H$3,0,0,'Données projet'!$E$9+1,1))</f>
        <v>542.23071537860039</v>
      </c>
      <c r="T38" s="59">
        <f t="shared" si="34"/>
        <v>667.26143680054633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72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6.6492256849899345</v>
      </c>
      <c r="AA38" s="21">
        <f>EXP(-LN(2)/25)*AA37+(1-EXP(-LN(2)/25))/(LN(2)/25)*Calculateur!V38*Calculateur!X38*VLOOKUP('Données projet'!$B$9,Paramètres!$A$1:$I$89,3,0)*0.475*44/12</f>
        <v>37.096095244834544</v>
      </c>
      <c r="AB38" s="21">
        <f>EXP(-LN(2)/2)*AB37+(1-EXP(-LN(2)/2))/(LN(2)/2)*V38*Y38*VLOOKUP('Données projet'!$B$9,Paramètres!$A$1:$I$89,3,0)*0.475*44/12</f>
        <v>2.5487589265768058</v>
      </c>
      <c r="AC38" s="22">
        <f t="shared" si="3"/>
        <v>46.294079856401282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505</v>
      </c>
      <c r="AG38" s="12">
        <f>VLOOKUP(A38,'Données projet'!$A$61:$I$81,9,0)</f>
        <v>27.6</v>
      </c>
      <c r="AH38" s="12">
        <f t="array" ref="AH38">INDEX(AG:AG,MIN(IF(ISNUMBER(AG38:AG234),ROW(AG38:AG234),"")))</f>
        <v>27.6</v>
      </c>
      <c r="AI38" s="13">
        <f>IF('Données projet'!$A$62&gt;35,AI37+AH38-AQ37,IF(A38&lt;'Données projet'!$A$62,$AF$205^A38,IF(A38='Données projet'!$A$62,'Données projet'!$B$62,AI37+AH38-AQ37)))</f>
        <v>505.00000000000011</v>
      </c>
      <c r="AJ38" s="13">
        <f>AI38*VLOOKUP('Données projet'!$B$10,Paramètres!$A$1:$I$89,3,0)*VLOOKUP('Données projet'!$B$10,Paramètres!$A$1:$I$89,5,0)</f>
        <v>282.29500000000007</v>
      </c>
      <c r="AK38" s="13">
        <f t="shared" si="35"/>
        <v>67.451777696853824</v>
      </c>
      <c r="AL38" s="20">
        <f t="shared" si="4"/>
        <v>609.14230448868716</v>
      </c>
      <c r="AM38" s="59">
        <f t="shared" si="5"/>
        <v>872.16912945067759</v>
      </c>
      <c r="AN38" s="59">
        <f ca="1">AVERAGE(OFFSET($AM$3,0,0,'Données projet'!$E$10+1,1))-AVERAGE(OFFSET($H$3,0,0,'Données projet'!$E$10+1,1))</f>
        <v>427.83834708696861</v>
      </c>
      <c r="AO38" s="59">
        <f t="shared" si="36"/>
        <v>545.63950537101903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69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3.9895354109939616</v>
      </c>
      <c r="AV38" s="21">
        <f>EXP(-LN(2)/25)*AV37+(1-EXP(-LN(2)/25))/(LN(2)/25)*Calculateur!AQ38*Calculateur!AS38*VLOOKUP('Données projet'!$B$10,Paramètres!$A$1:$I$89,3,0)*0.475*44/12</f>
        <v>21.433740035478234</v>
      </c>
      <c r="AW38" s="21">
        <f>EXP(-LN(2)/2)*AW37+(1-EXP(-LN(2)/2))/(LN(2)/2)*AQ38*AT38*VLOOKUP('Données projet'!$B$10,Paramètres!$A$1:$I$89,3,0)*0.475*44/12</f>
        <v>1.6355789198130299</v>
      </c>
      <c r="AX38" s="21">
        <f t="shared" si="6"/>
        <v>27.058854366285225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7</v>
      </c>
      <c r="BD38" s="12">
        <f>IF('Données projet'!$A$88&gt;35,BD37+BC38-BL37,IF(A38&lt;'Données projet'!$A$88,$BA$205^A38,IF(A38='Données projet'!$A$88,'Données projet'!$B$88,BD37+BC38-BL37)))</f>
        <v>137.99999999999994</v>
      </c>
      <c r="BE38" s="13">
        <f>BD38*VLOOKUP('Données projet'!$B$11,Paramètres!$A$1:$I$89,3,0)*VLOOKUP('Données projet'!$B$11,Paramètres!$A$1:$I$89,5,0)</f>
        <v>64.583999999999975</v>
      </c>
      <c r="BF38" s="13">
        <f t="shared" si="37"/>
        <v>18.322235519392716</v>
      </c>
      <c r="BG38" s="20">
        <f t="shared" si="7"/>
        <v>144.39502686294227</v>
      </c>
      <c r="BH38" s="59">
        <f t="shared" si="8"/>
        <v>407.42185182493267</v>
      </c>
      <c r="BI38" s="59">
        <f ca="1">AVERAGE(OFFSET($BH$3,0,0,'Données projet'!$E$11+1,1))-AVERAGE(OFFSET($H$3,0,0,'Données projet'!$E$11+1,1))</f>
        <v>210.62109466714364</v>
      </c>
      <c r="BJ38" s="59">
        <f t="shared" si="38"/>
        <v>193.35729443770401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5.9122218907355952</v>
      </c>
      <c r="BQ38" s="21">
        <f>EXP(-LN(2)/25)*BQ37+(1-EXP(-LN(2)/25))/(LN(2)/25)*Calculateur!BL38*Calculateur!BN38*VLOOKUP('Données projet'!$B$11,Paramètres!$A$1:$I$89,3,0)*0.475*44/12</f>
        <v>6.9750954403974044</v>
      </c>
      <c r="BR38" s="21">
        <f>EXP(-LN(2)/2)*BR37+(1-EXP(-LN(2)/2))/(LN(2)/2)*BL38*BO38*VLOOKUP('Données projet'!$B$11,Paramètres!$A$1:$I$89,3,0)*0.475*44/12</f>
        <v>1.3993609397857569</v>
      </c>
      <c r="BS38" s="22">
        <f t="shared" si="9"/>
        <v>14.286678270918756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233</v>
      </c>
      <c r="BW38" s="12">
        <f>VLOOKUP(A38,'Données projet'!$A$113:$I$133,9,0)</f>
        <v>14.6</v>
      </c>
      <c r="BX38" s="12">
        <f t="array" ref="BX38">INDEX(BW:BW,MIN(IF(ISNUMBER(BW38:BW234),ROW(BW38:BW234),"")))</f>
        <v>14.6</v>
      </c>
      <c r="BY38" s="12">
        <f>IF('Données projet'!$A$114&gt;35,BY37+BX38-CG37,IF(A38&lt;'Données projet'!$A$114,$BV$205^A38,IF(A38='Données projet'!$A$114,'Données projet'!$B$114,BY37+BX38-CG37)))</f>
        <v>233.00000000000003</v>
      </c>
      <c r="BZ38" s="13">
        <f>BY38*VLOOKUP('Données projet'!$B$12,Paramètres!$A$1:$I$89,3,0)*VLOOKUP('Données projet'!$B$12,Paramètres!$A$1:$I$89,5,0)</f>
        <v>139.33400000000003</v>
      </c>
      <c r="CA38" s="13">
        <f t="shared" si="39"/>
        <v>36.144391930570897</v>
      </c>
      <c r="CB38" s="20">
        <f t="shared" si="10"/>
        <v>305.62486594574438</v>
      </c>
      <c r="CC38" s="59">
        <f t="shared" si="11"/>
        <v>568.65169090773475</v>
      </c>
      <c r="CD38" s="59">
        <f ca="1">AVERAGE(OFFSET($CC$3,0,0,'Données projet'!$E$12+1,1))-AVERAGE(OFFSET($H$3,0,0,'Données projet'!$E$12+1,1))</f>
        <v>368.16165268258442</v>
      </c>
      <c r="CE38" s="59">
        <f t="shared" si="40"/>
        <v>291.32219253157041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41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6.7737402970879241</v>
      </c>
      <c r="CL38" s="21">
        <f>EXP(-LN(2)/25)*CL37+(1-EXP(-LN(2)/25))/(LN(2)/25)*Calculateur!CG38*Calculateur!CI38*VLOOKUP('Données projet'!$B$12,Paramètres!$A$1:$I$89,3,0)*0.475*44/12</f>
        <v>5.7832664641589391</v>
      </c>
      <c r="CM38" s="21">
        <f>EXP(-LN(2)/2)*CM37+(1-EXP(-LN(2)/2))/(LN(2)/2)*CG38*CJ38*VLOOKUP('Données projet'!$B$12,Paramètres!$A$1:$I$89,3,0)*0.475*44/12</f>
        <v>1.4005723245188615</v>
      </c>
      <c r="CN38" s="22">
        <f t="shared" si="12"/>
        <v>13.957579085765726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23.166666666666668</v>
      </c>
      <c r="CT38" s="12">
        <f>IF('Données projet'!$A$140&gt;35,CT37+CS38-DB37,IF(A38&lt;'Données projet'!$A$140,$CQ$205^A38,IF(A38='Données projet'!$A$140,'Données projet'!$B$140,CT37+CS38-DB37)))</f>
        <v>247.16666666666669</v>
      </c>
      <c r="CU38" s="17">
        <f>CT38*VLOOKUP('Données projet'!$B$13,Paramètres!$A$1:$I$89,3,0)*VLOOKUP('Données projet'!$B$13,Paramètres!$A$1:$I$89,5,0)</f>
        <v>147.8056666666667</v>
      </c>
      <c r="CV38" s="13">
        <f t="shared" si="41"/>
        <v>38.079488599017232</v>
      </c>
      <c r="CW38" s="20">
        <f t="shared" si="13"/>
        <v>323.74997875439948</v>
      </c>
      <c r="CX38" s="59">
        <f t="shared" si="14"/>
        <v>586.77680371638985</v>
      </c>
      <c r="CY38" s="59">
        <f ca="1">AVERAGE(OFFSET($CX$3,0,0,'Données projet'!$E$13+1,1))-AVERAGE(OFFSET($H$3,0,0,'Données projet'!$E$13+1,1))</f>
        <v>317.12995176362455</v>
      </c>
      <c r="CZ38" s="59">
        <f t="shared" si="42"/>
        <v>328.11301015275262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16.352367193685971</v>
      </c>
      <c r="DG38" s="21">
        <f>EXP(-LN(2)/25)*DG37+(1-EXP(-LN(2)/25))/(LN(2)/25)*Calculateur!DB38*Calculateur!DD38*VLOOKUP('Données projet'!$B$13,Paramètres!$A$1:$I$89,3,0)*0.475*44/12</f>
        <v>14.038513304688539</v>
      </c>
      <c r="DH38" s="21">
        <f>EXP(-LN(2)/2)*DH37+(1-EXP(-LN(2)/2))/(LN(2)/2)*DB38*DE38*VLOOKUP('Données projet'!$B$13,Paramètres!$A$1:$I$89,3,0)*0.475*44/12</f>
        <v>1.014942834111948</v>
      </c>
      <c r="DI38" s="22">
        <f t="shared" si="15"/>
        <v>31.40582333248646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179</v>
      </c>
      <c r="DM38" s="12">
        <f>VLOOKUP(A38,'Données projet'!$A$165:$I$185,9,0)</f>
        <v>10.6</v>
      </c>
      <c r="DN38" s="12">
        <f t="array" ref="DN38">INDEX(DM:DM,MIN(IF(ISNUMBER(DM38:DM234),ROW(DM38:DM234),"")))</f>
        <v>10.6</v>
      </c>
      <c r="DO38" s="12">
        <f>IF('Données projet'!$A$166&gt;35,DO37+DN38-DW37,IF(A38&lt;'Données projet'!$A$166,$DL$205^A38,IF(A38='Données projet'!$A$166,'Données projet'!$B$166,DO37+DN38-DW37)))</f>
        <v>178.99999999999997</v>
      </c>
      <c r="DP38" s="17">
        <f>DO38*VLOOKUP('Données projet'!$B$14,Paramètres!$A$1:$I$89,3,0)*VLOOKUP('Données projet'!$B$14,Paramètres!$A$1:$I$89,5,0)</f>
        <v>156.37440000000001</v>
      </c>
      <c r="DQ38" s="13">
        <f t="shared" si="43"/>
        <v>40.023663524293205</v>
      </c>
      <c r="DR38" s="20">
        <f t="shared" si="16"/>
        <v>342.05996063814399</v>
      </c>
      <c r="DS38" s="59">
        <f t="shared" si="17"/>
        <v>605.08678560013436</v>
      </c>
      <c r="DT38" s="59">
        <f ca="1">AVERAGE(OFFSET($DS$3,0,0,'Données projet'!$E$14+1,1))-AVERAGE(OFFSET($H$3,0,0,'Données projet'!$E$14+1,1))</f>
        <v>325.5873213944476</v>
      </c>
      <c r="DU38" s="59">
        <f t="shared" si="44"/>
        <v>347.9042278368363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36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2.652073506958728</v>
      </c>
      <c r="EB38" s="21">
        <f>EXP(-LN(2)/25)*EB37+(1-EXP(-LN(2)/25))/(LN(2)/25)*Calculateur!DW38*Calculateur!DY38*VLOOKUP('Données projet'!$B$14,Paramètres!$A$1:$I$89,3,0)*0.475*44/12</f>
        <v>7.6811720494903248</v>
      </c>
      <c r="EC38" s="21">
        <f>EXP(-LN(2)/2)*EC37+(1-EXP(-LN(2)/2))/(LN(2)/2)*DW38*DZ38*VLOOKUP('Données projet'!$B$14,Paramètres!$A$1:$I$89,3,0)*0.475*44/12</f>
        <v>2.1124498014803512</v>
      </c>
      <c r="ED38" s="22">
        <f t="shared" si="18"/>
        <v>12.445695357929406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10</v>
      </c>
      <c r="EJ38" s="12">
        <f>IF('Données projet'!$A$192&gt;35,EJ37+EI38-ER37,IF(A38&lt;'Données projet'!$A$192,$EG$205^A38,IF(A38='Données projet'!$A$192,'Données projet'!$B$192,EJ37+EI38-ER37)))</f>
        <v>164.99999999999994</v>
      </c>
      <c r="EK38" s="17">
        <f>EJ38*VLOOKUP('Données projet'!$B$15,Paramètres!$A$1:$I$89,3,0)*VLOOKUP('Données projet'!$B$15,Paramètres!$A$1:$I$89,5,0)</f>
        <v>98.669999999999973</v>
      </c>
      <c r="EL38" s="13">
        <f t="shared" si="45"/>
        <v>26.644896901954066</v>
      </c>
      <c r="EM38" s="20">
        <f t="shared" si="19"/>
        <v>218.25677877090325</v>
      </c>
      <c r="EN38" s="59">
        <f t="shared" si="20"/>
        <v>481.28360373289365</v>
      </c>
      <c r="EO38" s="59">
        <f ca="1">AVERAGE(OFFSET($EN$3,0,0,'Données projet'!$E$15+1,1))-AVERAGE(OFFSET($H$3,0,0,'Données projet'!$E$15+1,1))</f>
        <v>205.5480000480477</v>
      </c>
      <c r="EP38" s="59">
        <f t="shared" si="46"/>
        <v>229.86812144828366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6.6618977318114414</v>
      </c>
      <c r="EW38" s="21">
        <f>EXP(-LN(2)/25)*EW37+(1-EXP(-LN(2)/25))/(LN(2)/25)*Calculateur!ER38*Calculateur!ET38*VLOOKUP('Données projet'!$B$15,Paramètres!$A$1:$I$89,3,0)*0.475*44/12</f>
        <v>5.2429236142292686</v>
      </c>
      <c r="EX38" s="21">
        <f>EXP(-LN(2)/2)*EX37+(1-EXP(-LN(2)/2))/(LN(2)/2)*ER38*EU38*VLOOKUP('Données projet'!$B$15,Paramètres!$A$1:$I$89,3,0)*0.475*44/12</f>
        <v>0.52290034350046199</v>
      </c>
      <c r="EY38" s="22">
        <f t="shared" si="21"/>
        <v>12.427721689541171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3.05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6.2899199999999942</v>
      </c>
      <c r="D39" s="11">
        <f t="shared" si="32"/>
        <v>2.3401025749419926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28.922336465821608</v>
      </c>
      <c r="H39" s="67">
        <f t="shared" si="1"/>
        <v>226.96395598469061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27</v>
      </c>
      <c r="N39" s="13">
        <f>IF('Données projet'!$A$36&gt;35,N38+M39-V38,IF(A39&lt;'Données projet'!$A$36,$K$205^A39,IF(A39='Données projet'!$A$36,'Données projet'!$B$36,N38+M39-V38)))</f>
        <v>530.99999999999989</v>
      </c>
      <c r="O39" s="13">
        <f>N39*VLOOKUP('Données projet'!$B$9,Paramètres!$A$1:$I$89,3,0)*VLOOKUP('Données projet'!$B$9,Paramètres!$A$1:$I$89,5,0)</f>
        <v>296.82899999999995</v>
      </c>
      <c r="P39" s="13">
        <f t="shared" si="33"/>
        <v>70.511289513454344</v>
      </c>
      <c r="Q39" s="20">
        <f t="shared" si="53"/>
        <v>639.78433756926631</v>
      </c>
      <c r="R39" s="59">
        <f t="shared" si="0"/>
        <v>903.3369126962973</v>
      </c>
      <c r="S39" s="59">
        <f ca="1">AVERAGE(OFFSET($R$3,0,0,'Données projet'!$E$9+1,1))-AVERAGE(OFFSET($H$3,0,0,'Données projet'!$E$9+1,1))</f>
        <v>542.23071537860039</v>
      </c>
      <c r="T39" s="59">
        <f t="shared" si="34"/>
        <v>667.26143680054633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6.51883842493449</v>
      </c>
      <c r="AA39" s="21">
        <f>EXP(-LN(2)/25)*AA38+(1-EXP(-LN(2)/25))/(LN(2)/25)*Calculateur!V39*Calculateur!X39*VLOOKUP('Données projet'!$B$9,Paramètres!$A$1:$I$89,3,0)*0.475*44/12</f>
        <v>36.081700569565676</v>
      </c>
      <c r="AB39" s="21">
        <f>EXP(-LN(2)/2)*AB38+(1-EXP(-LN(2)/2))/(LN(2)/2)*V39*Y39*VLOOKUP('Données projet'!$B$9,Paramètres!$A$1:$I$89,3,0)*0.475*44/12</f>
        <v>1.8022447205922052</v>
      </c>
      <c r="AC39" s="22">
        <f t="shared" si="3"/>
        <v>44.402783715092376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25.6</v>
      </c>
      <c r="AI39" s="13">
        <f>IF('Données projet'!$A$62&gt;35,AI38+AH39-AQ38,IF(A39&lt;'Données projet'!$A$62,$AF$205^A39,IF(A39='Données projet'!$A$62,'Données projet'!$B$62,AI38+AH39-AQ38)))</f>
        <v>461.60000000000014</v>
      </c>
      <c r="AJ39" s="13">
        <f>AI39*VLOOKUP('Données projet'!$B$10,Paramètres!$A$1:$I$89,3,0)*VLOOKUP('Données projet'!$B$10,Paramètres!$A$1:$I$89,5,0)</f>
        <v>258.03440000000006</v>
      </c>
      <c r="AK39" s="13">
        <f t="shared" si="35"/>
        <v>62.303206596431174</v>
      </c>
      <c r="AL39" s="20">
        <f t="shared" si="4"/>
        <v>557.9213314887844</v>
      </c>
      <c r="AM39" s="59">
        <f t="shared" si="5"/>
        <v>821.47390661581539</v>
      </c>
      <c r="AN39" s="59">
        <f ca="1">AVERAGE(OFFSET($AM$3,0,0,'Données projet'!$E$10+1,1))-AVERAGE(OFFSET($H$3,0,0,'Données projet'!$E$10+1,1))</f>
        <v>427.83834708696861</v>
      </c>
      <c r="AO39" s="59">
        <f t="shared" si="36"/>
        <v>545.63950537101903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3.9113030549606949</v>
      </c>
      <c r="AV39" s="21">
        <f>EXP(-LN(2)/25)*AV38+(1-EXP(-LN(2)/25))/(LN(2)/25)*Calculateur!AQ39*Calculateur!AS39*VLOOKUP('Données projet'!$B$10,Paramètres!$A$1:$I$89,3,0)*0.475*44/12</f>
        <v>20.847633287056681</v>
      </c>
      <c r="AW39" s="21">
        <f>EXP(-LN(2)/2)*AW38+(1-EXP(-LN(2)/2))/(LN(2)/2)*AQ39*AT39*VLOOKUP('Données projet'!$B$10,Paramètres!$A$1:$I$89,3,0)*0.475*44/12</f>
        <v>1.1565289453655621</v>
      </c>
      <c r="AX39" s="21">
        <f t="shared" si="6"/>
        <v>25.915465287382936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</v>
      </c>
      <c r="BD39" s="12">
        <f>IF('Données projet'!$A$88&gt;35,BD38+BC39-BL38,IF(A39&lt;'Données projet'!$A$88,$BA$205^A39,IF(A39='Données projet'!$A$88,'Données projet'!$B$88,BD38+BC39-BL38)))</f>
        <v>144.99999999999994</v>
      </c>
      <c r="BE39" s="13">
        <f>BD39*VLOOKUP('Données projet'!$B$11,Paramètres!$A$1:$I$89,3,0)*VLOOKUP('Données projet'!$B$11,Paramètres!$A$1:$I$89,5,0)</f>
        <v>67.859999999999971</v>
      </c>
      <c r="BF39" s="13">
        <f t="shared" si="37"/>
        <v>19.141063649731748</v>
      </c>
      <c r="BG39" s="20">
        <f t="shared" si="7"/>
        <v>151.52685252328274</v>
      </c>
      <c r="BH39" s="59">
        <f t="shared" si="8"/>
        <v>415.07942765031373</v>
      </c>
      <c r="BI39" s="59">
        <f ca="1">AVERAGE(OFFSET($BH$3,0,0,'Données projet'!$E$11+1,1))-AVERAGE(OFFSET($H$3,0,0,'Données projet'!$E$11+1,1))</f>
        <v>210.62109466714364</v>
      </c>
      <c r="BJ39" s="59">
        <f t="shared" si="38"/>
        <v>193.35729443770401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5.7962868255575506</v>
      </c>
      <c r="BQ39" s="21">
        <f>EXP(-LN(2)/25)*BQ38+(1-EXP(-LN(2)/25))/(LN(2)/25)*Calculateur!BL39*Calculateur!BN39*VLOOKUP('Données projet'!$B$11,Paramètres!$A$1:$I$89,3,0)*0.475*44/12</f>
        <v>6.7843610887754098</v>
      </c>
      <c r="BR39" s="21">
        <f>EXP(-LN(2)/2)*BR38+(1-EXP(-LN(2)/2))/(LN(2)/2)*BL39*BO39*VLOOKUP('Données projet'!$B$11,Paramètres!$A$1:$I$89,3,0)*0.475*44/12</f>
        <v>0.98949760985008883</v>
      </c>
      <c r="BS39" s="22">
        <f t="shared" si="9"/>
        <v>13.570145524183049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14.4</v>
      </c>
      <c r="BY39" s="12">
        <f>IF('Données projet'!$A$114&gt;35,BY38+BX39-CG38,IF(A39&lt;'Données projet'!$A$114,$BV$205^A39,IF(A39='Données projet'!$A$114,'Données projet'!$B$114,BY38+BX39-CG38)))</f>
        <v>206.40000000000003</v>
      </c>
      <c r="BZ39" s="13">
        <f>BY39*VLOOKUP('Données projet'!$B$12,Paramètres!$A$1:$I$89,3,0)*VLOOKUP('Données projet'!$B$12,Paramètres!$A$1:$I$89,5,0)</f>
        <v>123.42720000000003</v>
      </c>
      <c r="CA39" s="13">
        <f t="shared" si="39"/>
        <v>32.473022671122074</v>
      </c>
      <c r="CB39" s="20">
        <f t="shared" si="10"/>
        <v>271.5262211522043</v>
      </c>
      <c r="CC39" s="59">
        <f t="shared" si="11"/>
        <v>535.07879627923535</v>
      </c>
      <c r="CD39" s="59">
        <f ca="1">AVERAGE(OFFSET($CC$3,0,0,'Données projet'!$E$12+1,1))-AVERAGE(OFFSET($H$3,0,0,'Données projet'!$E$12+1,1))</f>
        <v>368.16165268258442</v>
      </c>
      <c r="CE39" s="59">
        <f t="shared" si="40"/>
        <v>291.32219253157041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6.640911381435652</v>
      </c>
      <c r="CL39" s="21">
        <f>EXP(-LN(2)/25)*CL38+(1-EXP(-LN(2)/25))/(LN(2)/25)*Calculateur!CG39*Calculateur!CI39*VLOOKUP('Données projet'!$B$12,Paramètres!$A$1:$I$89,3,0)*0.475*44/12</f>
        <v>5.6251227385677476</v>
      </c>
      <c r="CM39" s="21">
        <f>EXP(-LN(2)/2)*CM38+(1-EXP(-LN(2)/2))/(LN(2)/2)*CG39*CJ39*VLOOKUP('Données projet'!$B$12,Paramètres!$A$1:$I$89,3,0)*0.475*44/12</f>
        <v>0.99035418820949284</v>
      </c>
      <c r="CN39" s="22">
        <f t="shared" si="12"/>
        <v>13.256388308212893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23.166666666666668</v>
      </c>
      <c r="CT39" s="12">
        <f>IF('Données projet'!$A$140&gt;35,CT38+CS39-DB38,IF(A39&lt;'Données projet'!$A$140,$CQ$205^A39,IF(A39='Données projet'!$A$140,'Données projet'!$B$140,CT38+CS39-DB38)))</f>
        <v>270.33333333333337</v>
      </c>
      <c r="CU39" s="17">
        <f>CT39*VLOOKUP('Données projet'!$B$13,Paramètres!$A$1:$I$89,3,0)*VLOOKUP('Données projet'!$B$13,Paramètres!$A$1:$I$89,5,0)</f>
        <v>161.65933333333336</v>
      </c>
      <c r="CV39" s="13">
        <f t="shared" si="41"/>
        <v>41.2165576376849</v>
      </c>
      <c r="CW39" s="20">
        <f t="shared" si="13"/>
        <v>353.34217677452347</v>
      </c>
      <c r="CX39" s="59">
        <f t="shared" si="14"/>
        <v>616.8947519015544</v>
      </c>
      <c r="CY39" s="59">
        <f ca="1">AVERAGE(OFFSET($CX$3,0,0,'Données projet'!$E$13+1,1))-AVERAGE(OFFSET($H$3,0,0,'Données projet'!$E$13+1,1))</f>
        <v>317.12995176362455</v>
      </c>
      <c r="CZ39" s="59">
        <f t="shared" si="42"/>
        <v>328.11301015275262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16.031707246976932</v>
      </c>
      <c r="DG39" s="21">
        <f>EXP(-LN(2)/25)*DG38+(1-EXP(-LN(2)/25))/(LN(2)/25)*Calculateur!DB39*Calculateur!DD39*VLOOKUP('Données projet'!$B$13,Paramètres!$A$1:$I$89,3,0)*0.475*44/12</f>
        <v>13.654629420118502</v>
      </c>
      <c r="DH39" s="21">
        <f>EXP(-LN(2)/2)*DH38+(1-EXP(-LN(2)/2))/(LN(2)/2)*DB39*DE39*VLOOKUP('Données projet'!$B$13,Paramètres!$A$1:$I$89,3,0)*0.475*44/12</f>
        <v>0.7176729605172516</v>
      </c>
      <c r="DI39" s="22">
        <f t="shared" si="15"/>
        <v>30.404009627612684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152.59999999999997</v>
      </c>
      <c r="DP39" s="17">
        <f>DO39*VLOOKUP('Données projet'!$B$14,Paramètres!$A$1:$I$89,3,0)*VLOOKUP('Données projet'!$B$14,Paramètres!$A$1:$I$89,5,0)</f>
        <v>133.31135999999998</v>
      </c>
      <c r="DQ39" s="13">
        <f t="shared" si="43"/>
        <v>34.760393689821633</v>
      </c>
      <c r="DR39" s="20">
        <f t="shared" si="16"/>
        <v>292.72497100977256</v>
      </c>
      <c r="DS39" s="59">
        <f t="shared" si="17"/>
        <v>556.27754613680349</v>
      </c>
      <c r="DT39" s="59">
        <f ca="1">AVERAGE(OFFSET($DS$3,0,0,'Données projet'!$E$14+1,1))-AVERAGE(OFFSET($H$3,0,0,'Données projet'!$E$14+1,1))</f>
        <v>325.5873213944476</v>
      </c>
      <c r="DU39" s="59">
        <f t="shared" si="44"/>
        <v>347.9042278368363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2.6000679630923815</v>
      </c>
      <c r="EB39" s="21">
        <f>EXP(-LN(2)/25)*EB38+(1-EXP(-LN(2)/25))/(LN(2)/25)*Calculateur!DW39*Calculateur!DY39*VLOOKUP('Données projet'!$B$14,Paramètres!$A$1:$I$89,3,0)*0.475*44/12</f>
        <v>7.4711299958617294</v>
      </c>
      <c r="EC39" s="21">
        <f>EXP(-LN(2)/2)*EC38+(1-EXP(-LN(2)/2))/(LN(2)/2)*DW39*DZ39*VLOOKUP('Données projet'!$B$14,Paramètres!$A$1:$I$89,3,0)*0.475*44/12</f>
        <v>1.4937275795429326</v>
      </c>
      <c r="ED39" s="22">
        <f t="shared" si="18"/>
        <v>11.564925538497043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10</v>
      </c>
      <c r="EJ39" s="12">
        <f>IF('Données projet'!$A$192&gt;35,EJ38+EI39-ER38,IF(A39&lt;'Données projet'!$A$192,$EG$205^A39,IF(A39='Données projet'!$A$192,'Données projet'!$B$192,EJ38+EI39-ER38)))</f>
        <v>174.99999999999994</v>
      </c>
      <c r="EK39" s="17">
        <f>EJ39*VLOOKUP('Données projet'!$B$15,Paramètres!$A$1:$I$89,3,0)*VLOOKUP('Données projet'!$B$15,Paramètres!$A$1:$I$89,5,0)</f>
        <v>104.64999999999996</v>
      </c>
      <c r="EL39" s="13">
        <f t="shared" si="45"/>
        <v>28.066848529735861</v>
      </c>
      <c r="EM39" s="20">
        <f t="shared" si="19"/>
        <v>231.14851118928985</v>
      </c>
      <c r="EN39" s="59">
        <f t="shared" si="20"/>
        <v>494.70108631632081</v>
      </c>
      <c r="EO39" s="59">
        <f ca="1">AVERAGE(OFFSET($EN$3,0,0,'Données projet'!$E$15+1,1))-AVERAGE(OFFSET($H$3,0,0,'Données projet'!$E$15+1,1))</f>
        <v>205.5480000480477</v>
      </c>
      <c r="EP39" s="59">
        <f t="shared" si="46"/>
        <v>229.86812144828366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6.5312619806470122</v>
      </c>
      <c r="EW39" s="21">
        <f>EXP(-LN(2)/25)*EW38+(1-EXP(-LN(2)/25))/(LN(2)/25)*Calculateur!ER39*Calculateur!ET39*VLOOKUP('Données projet'!$B$15,Paramètres!$A$1:$I$89,3,0)*0.475*44/12</f>
        <v>5.0995555922847995</v>
      </c>
      <c r="EX39" s="21">
        <f>EXP(-LN(2)/2)*EX38+(1-EXP(-LN(2)/2))/(LN(2)/2)*ER39*EU39*VLOOKUP('Données projet'!$B$15,Paramètres!$A$1:$I$89,3,0)*0.475*44/12</f>
        <v>0.36974637877395172</v>
      </c>
      <c r="EY39" s="22">
        <f t="shared" si="21"/>
        <v>12.000563951705763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3.05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6.4646399999999939</v>
      </c>
      <c r="D40" s="11">
        <f t="shared" si="32"/>
        <v>2.3974471828687873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29.4955767604899</v>
      </c>
      <c r="H40" s="67">
        <f t="shared" si="1"/>
        <v>227.36813517682975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27</v>
      </c>
      <c r="N40" s="13">
        <f>IF('Données projet'!$A$36&gt;35,N39+M40-V39,IF(A40&lt;'Données projet'!$A$36,$K$205^A40,IF(A40='Données projet'!$A$36,'Données projet'!$B$36,N39+M40-V39)))</f>
        <v>557.99999999999989</v>
      </c>
      <c r="O40" s="13">
        <f>N40*VLOOKUP('Données projet'!$B$9,Paramètres!$A$1:$I$89,3,0)*VLOOKUP('Données projet'!$B$9,Paramètres!$A$1:$I$89,5,0)</f>
        <v>311.92199999999991</v>
      </c>
      <c r="P40" s="13">
        <f t="shared" si="33"/>
        <v>73.670075764965745</v>
      </c>
      <c r="Q40" s="20">
        <f t="shared" si="53"/>
        <v>671.57286529064845</v>
      </c>
      <c r="R40" s="59">
        <f t="shared" si="0"/>
        <v>935.6420699927578</v>
      </c>
      <c r="S40" s="59">
        <f ca="1">AVERAGE(OFFSET($R$3,0,0,'Données projet'!$E$9+1,1))-AVERAGE(OFFSET($H$3,0,0,'Données projet'!$E$9+1,1))</f>
        <v>542.23071537860039</v>
      </c>
      <c r="T40" s="59">
        <f t="shared" si="34"/>
        <v>667.26143680054633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6.3910079795203565</v>
      </c>
      <c r="AA40" s="21">
        <f>EXP(-LN(2)/25)*AA39+(1-EXP(-LN(2)/25))/(LN(2)/25)*Calculateur!V40*Calculateur!X40*VLOOKUP('Données projet'!$B$9,Paramètres!$A$1:$I$89,3,0)*0.475*44/12</f>
        <v>35.095044570036734</v>
      </c>
      <c r="AB40" s="21">
        <f>EXP(-LN(2)/2)*AB39+(1-EXP(-LN(2)/2))/(LN(2)/2)*V40*Y40*VLOOKUP('Données projet'!$B$9,Paramètres!$A$1:$I$89,3,0)*0.475*44/12</f>
        <v>1.2743794632884029</v>
      </c>
      <c r="AC40" s="22">
        <f t="shared" si="3"/>
        <v>42.760432012845492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25.6</v>
      </c>
      <c r="AI40" s="13">
        <f>IF('Données projet'!$A$62&gt;35,AI39+AH40-AQ39,IF(A40&lt;'Données projet'!$A$62,$AF$205^A40,IF(A40='Données projet'!$A$62,'Données projet'!$B$62,AI39+AH40-AQ39)))</f>
        <v>487.20000000000016</v>
      </c>
      <c r="AJ40" s="13">
        <f>AI40*VLOOKUP('Données projet'!$B$10,Paramètres!$A$1:$I$89,3,0)*VLOOKUP('Données projet'!$B$10,Paramètres!$A$1:$I$89,5,0)</f>
        <v>272.34480000000008</v>
      </c>
      <c r="AK40" s="13">
        <f t="shared" si="35"/>
        <v>65.346644318451709</v>
      </c>
      <c r="AL40" s="20">
        <f t="shared" si="4"/>
        <v>588.14593218797006</v>
      </c>
      <c r="AM40" s="59">
        <f t="shared" si="5"/>
        <v>852.21513689007952</v>
      </c>
      <c r="AN40" s="59">
        <f ca="1">AVERAGE(OFFSET($AM$3,0,0,'Données projet'!$E$10+1,1))-AVERAGE(OFFSET($H$3,0,0,'Données projet'!$E$10+1,1))</f>
        <v>427.83834708696861</v>
      </c>
      <c r="AO40" s="59">
        <f t="shared" si="36"/>
        <v>545.63950537101903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3.8346047877122147</v>
      </c>
      <c r="AV40" s="21">
        <f>EXP(-LN(2)/25)*AV39+(1-EXP(-LN(2)/25))/(LN(2)/25)*Calculateur!AQ40*Calculateur!AS40*VLOOKUP('Données projet'!$B$10,Paramètres!$A$1:$I$89,3,0)*0.475*44/12</f>
        <v>20.277553658492728</v>
      </c>
      <c r="AW40" s="21">
        <f>EXP(-LN(2)/2)*AW39+(1-EXP(-LN(2)/2))/(LN(2)/2)*AQ40*AT40*VLOOKUP('Données projet'!$B$10,Paramètres!$A$1:$I$89,3,0)*0.475*44/12</f>
        <v>0.81778945990651508</v>
      </c>
      <c r="AX40" s="21">
        <f t="shared" si="6"/>
        <v>24.929947906111458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</v>
      </c>
      <c r="BD40" s="12">
        <f>IF('Données projet'!$A$88&gt;35,BD39+BC40-BL39,IF(A40&lt;'Données projet'!$A$88,$BA$205^A40,IF(A40='Données projet'!$A$88,'Données projet'!$B$88,BD39+BC40-BL39)))</f>
        <v>151.99999999999994</v>
      </c>
      <c r="BE40" s="13">
        <f>BD40*VLOOKUP('Données projet'!$B$11,Paramètres!$A$1:$I$89,3,0)*VLOOKUP('Données projet'!$B$11,Paramètres!$A$1:$I$89,5,0)</f>
        <v>71.135999999999967</v>
      </c>
      <c r="BF40" s="13">
        <f t="shared" si="37"/>
        <v>19.955301551927469</v>
      </c>
      <c r="BG40" s="20">
        <f t="shared" si="7"/>
        <v>158.65068353627362</v>
      </c>
      <c r="BH40" s="59">
        <f t="shared" si="8"/>
        <v>422.71988823838302</v>
      </c>
      <c r="BI40" s="59">
        <f ca="1">AVERAGE(OFFSET($BH$3,0,0,'Données projet'!$E$11+1,1))-AVERAGE(OFFSET($H$3,0,0,'Données projet'!$E$11+1,1))</f>
        <v>210.62109466714364</v>
      </c>
      <c r="BJ40" s="59">
        <f t="shared" si="38"/>
        <v>193.35729443770401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5.6826251762942404</v>
      </c>
      <c r="BQ40" s="21">
        <f>EXP(-LN(2)/25)*BQ39+(1-EXP(-LN(2)/25))/(LN(2)/25)*Calculateur!BL40*Calculateur!BN40*VLOOKUP('Données projet'!$B$11,Paramètres!$A$1:$I$89,3,0)*0.475*44/12</f>
        <v>6.5988423780288024</v>
      </c>
      <c r="BR40" s="21">
        <f>EXP(-LN(2)/2)*BR39+(1-EXP(-LN(2)/2))/(LN(2)/2)*BL40*BO40*VLOOKUP('Données projet'!$B$11,Paramètres!$A$1:$I$89,3,0)*0.475*44/12</f>
        <v>0.69968046989287858</v>
      </c>
      <c r="BS40" s="22">
        <f t="shared" si="9"/>
        <v>12.981148024215923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14.4</v>
      </c>
      <c r="BY40" s="12">
        <f>IF('Données projet'!$A$114&gt;35,BY39+BX40-CG39,IF(A40&lt;'Données projet'!$A$114,$BV$205^A40,IF(A40='Données projet'!$A$114,'Données projet'!$B$114,BY39+BX40-CG39)))</f>
        <v>220.80000000000004</v>
      </c>
      <c r="BZ40" s="13">
        <f>BY40*VLOOKUP('Données projet'!$B$12,Paramètres!$A$1:$I$89,3,0)*VLOOKUP('Données projet'!$B$12,Paramètres!$A$1:$I$89,5,0)</f>
        <v>132.03840000000005</v>
      </c>
      <c r="CA40" s="13">
        <f t="shared" si="39"/>
        <v>34.466946374534373</v>
      </c>
      <c r="CB40" s="20">
        <f t="shared" si="10"/>
        <v>289.99681160231415</v>
      </c>
      <c r="CC40" s="59">
        <f t="shared" si="11"/>
        <v>554.06601630442356</v>
      </c>
      <c r="CD40" s="59">
        <f ca="1">AVERAGE(OFFSET($CC$3,0,0,'Données projet'!$E$12+1,1))-AVERAGE(OFFSET($H$3,0,0,'Données projet'!$E$12+1,1))</f>
        <v>368.16165268258442</v>
      </c>
      <c r="CE40" s="59">
        <f t="shared" si="40"/>
        <v>291.32219253157041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6.510687159801682</v>
      </c>
      <c r="CL40" s="21">
        <f>EXP(-LN(2)/25)*CL39+(1-EXP(-LN(2)/25))/(LN(2)/25)*Calculateur!CG40*Calculateur!CI40*VLOOKUP('Données projet'!$B$12,Paramètres!$A$1:$I$89,3,0)*0.475*44/12</f>
        <v>5.4713034614692644</v>
      </c>
      <c r="CM40" s="21">
        <f>EXP(-LN(2)/2)*CM39+(1-EXP(-LN(2)/2))/(LN(2)/2)*CG40*CJ40*VLOOKUP('Données projet'!$B$12,Paramètres!$A$1:$I$89,3,0)*0.475*44/12</f>
        <v>0.70028616225943086</v>
      </c>
      <c r="CN40" s="22">
        <f t="shared" si="12"/>
        <v>12.682276783530376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23.166666666666668</v>
      </c>
      <c r="CT40" s="12">
        <f>IF('Données projet'!$A$140&gt;35,CT39+CS40-DB39,IF(A40&lt;'Données projet'!$A$140,$CQ$205^A40,IF(A40='Données projet'!$A$140,'Données projet'!$B$140,CT39+CS40-DB39)))</f>
        <v>293.50000000000006</v>
      </c>
      <c r="CU40" s="17">
        <f>CT40*VLOOKUP('Données projet'!$B$13,Paramètres!$A$1:$I$89,3,0)*VLOOKUP('Données projet'!$B$13,Paramètres!$A$1:$I$89,5,0)</f>
        <v>175.51300000000003</v>
      </c>
      <c r="CV40" s="13">
        <f t="shared" si="41"/>
        <v>44.322449425800414</v>
      </c>
      <c r="CW40" s="20">
        <f t="shared" si="13"/>
        <v>382.88007441660244</v>
      </c>
      <c r="CX40" s="59">
        <f t="shared" si="14"/>
        <v>646.94927911871184</v>
      </c>
      <c r="CY40" s="59">
        <f ca="1">AVERAGE(OFFSET($CX$3,0,0,'Données projet'!$E$13+1,1))-AVERAGE(OFFSET($H$3,0,0,'Données projet'!$E$13+1,1))</f>
        <v>317.12995176362455</v>
      </c>
      <c r="CZ40" s="59">
        <f t="shared" si="42"/>
        <v>328.11301015275262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15.717335246239601</v>
      </c>
      <c r="DG40" s="21">
        <f>EXP(-LN(2)/25)*DG39+(1-EXP(-LN(2)/25))/(LN(2)/25)*Calculateur!DB40*Calculateur!DD40*VLOOKUP('Données projet'!$B$13,Paramètres!$A$1:$I$89,3,0)*0.475*44/12</f>
        <v>13.281242860559608</v>
      </c>
      <c r="DH40" s="21">
        <f>EXP(-LN(2)/2)*DH39+(1-EXP(-LN(2)/2))/(LN(2)/2)*DB40*DE40*VLOOKUP('Données projet'!$B$13,Paramètres!$A$1:$I$89,3,0)*0.475*44/12</f>
        <v>0.50747141705597398</v>
      </c>
      <c r="DI40" s="22">
        <f t="shared" si="15"/>
        <v>29.506049523855182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162.19999999999996</v>
      </c>
      <c r="DP40" s="17">
        <f>DO40*VLOOKUP('Données projet'!$B$14,Paramètres!$A$1:$I$89,3,0)*VLOOKUP('Données projet'!$B$14,Paramètres!$A$1:$I$89,5,0)</f>
        <v>141.69791999999998</v>
      </c>
      <c r="DQ40" s="13">
        <f t="shared" si="43"/>
        <v>36.685701801209362</v>
      </c>
      <c r="DR40" s="20">
        <f t="shared" si="16"/>
        <v>310.68480797043964</v>
      </c>
      <c r="DS40" s="59">
        <f t="shared" si="17"/>
        <v>574.75401267254904</v>
      </c>
      <c r="DT40" s="59">
        <f ca="1">AVERAGE(OFFSET($DS$3,0,0,'Données projet'!$E$14+1,1))-AVERAGE(OFFSET($H$3,0,0,'Données projet'!$E$14+1,1))</f>
        <v>325.5873213944476</v>
      </c>
      <c r="DU40" s="59">
        <f t="shared" si="44"/>
        <v>347.9042278368363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2.5490822162210045</v>
      </c>
      <c r="EB40" s="21">
        <f>EXP(-LN(2)/25)*EB39+(1-EXP(-LN(2)/25))/(LN(2)/25)*Calculateur!DW40*Calculateur!DY40*VLOOKUP('Données projet'!$B$14,Paramètres!$A$1:$I$89,3,0)*0.475*44/12</f>
        <v>7.2668315532352397</v>
      </c>
      <c r="EC40" s="21">
        <f>EXP(-LN(2)/2)*EC39+(1-EXP(-LN(2)/2))/(LN(2)/2)*DW40*DZ40*VLOOKUP('Données projet'!$B$14,Paramètres!$A$1:$I$89,3,0)*0.475*44/12</f>
        <v>1.0562249007401758</v>
      </c>
      <c r="ED40" s="22">
        <f t="shared" si="18"/>
        <v>10.872138670196421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10</v>
      </c>
      <c r="EJ40" s="12">
        <f>IF('Données projet'!$A$192&gt;35,EJ39+EI40-ER39,IF(A40&lt;'Données projet'!$A$192,$EG$205^A40,IF(A40='Données projet'!$A$192,'Données projet'!$B$192,EJ39+EI40-ER39)))</f>
        <v>184.99999999999994</v>
      </c>
      <c r="EK40" s="17">
        <f>EJ40*VLOOKUP('Données projet'!$B$15,Paramètres!$A$1:$I$89,3,0)*VLOOKUP('Données projet'!$B$15,Paramètres!$A$1:$I$89,5,0)</f>
        <v>110.62999999999998</v>
      </c>
      <c r="EL40" s="13">
        <f t="shared" si="45"/>
        <v>29.479368114771006</v>
      </c>
      <c r="EM40" s="20">
        <f t="shared" si="19"/>
        <v>244.02381613322609</v>
      </c>
      <c r="EN40" s="59">
        <f t="shared" si="20"/>
        <v>508.09302083533549</v>
      </c>
      <c r="EO40" s="59">
        <f ca="1">AVERAGE(OFFSET($EN$3,0,0,'Données projet'!$E$15+1,1))-AVERAGE(OFFSET($H$3,0,0,'Données projet'!$E$15+1,1))</f>
        <v>205.5480000480477</v>
      </c>
      <c r="EP40" s="59">
        <f t="shared" si="46"/>
        <v>229.86812144828366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6.4031879168829775</v>
      </c>
      <c r="EW40" s="21">
        <f>EXP(-LN(2)/25)*EW39+(1-EXP(-LN(2)/25))/(LN(2)/25)*Calculateur!ER40*Calculateur!ET40*VLOOKUP('Données projet'!$B$15,Paramètres!$A$1:$I$89,3,0)*0.475*44/12</f>
        <v>4.9601079764397982</v>
      </c>
      <c r="EX40" s="21">
        <f>EXP(-LN(2)/2)*EX39+(1-EXP(-LN(2)/2))/(LN(2)/2)*ER40*EU40*VLOOKUP('Données projet'!$B$15,Paramètres!$A$1:$I$89,3,0)*0.475*44/12</f>
        <v>0.261450171750231</v>
      </c>
      <c r="EY40" s="22">
        <f t="shared" si="21"/>
        <v>11.624746065073007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3.05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6.6393599999999937</v>
      </c>
      <c r="D41" s="11">
        <f t="shared" si="32"/>
        <v>2.4546116480553177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30.068372070985756</v>
      </c>
      <c r="H41" s="67">
        <f t="shared" si="1"/>
        <v>227.77200062036297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27</v>
      </c>
      <c r="N41" s="13">
        <f>IF('Données projet'!$A$36&gt;35,N40+M41-V40,IF(A41&lt;'Données projet'!$A$36,$K$205^A41,IF(A41='Données projet'!$A$36,'Données projet'!$B$36,N40+M41-V40)))</f>
        <v>584.99999999999989</v>
      </c>
      <c r="O41" s="13">
        <f>N41*VLOOKUP('Données projet'!$B$9,Paramètres!$A$1:$I$89,3,0)*VLOOKUP('Données projet'!$B$9,Paramètres!$A$1:$I$89,5,0)</f>
        <v>327.01499999999993</v>
      </c>
      <c r="P41" s="13">
        <f t="shared" si="33"/>
        <v>76.811113612871907</v>
      </c>
      <c r="Q41" s="20">
        <f t="shared" si="53"/>
        <v>703.33048120908506</v>
      </c>
      <c r="R41" s="59">
        <f t="shared" si="0"/>
        <v>967.90735311815592</v>
      </c>
      <c r="S41" s="59">
        <f ca="1">AVERAGE(OFFSET($R$3,0,0,'Données projet'!$E$9+1,1))-AVERAGE(OFFSET($H$3,0,0,'Données projet'!$E$9+1,1))</f>
        <v>542.23071537860039</v>
      </c>
      <c r="T41" s="59">
        <f t="shared" si="34"/>
        <v>667.26143680054633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6.2656842111719211</v>
      </c>
      <c r="AA41" s="21">
        <f>EXP(-LN(2)/25)*AA40+(1-EXP(-LN(2)/25))/(LN(2)/25)*Calculateur!V41*Calculateur!X41*VLOOKUP('Données projet'!$B$9,Paramètres!$A$1:$I$89,3,0)*0.475*44/12</f>
        <v>34.135368730700897</v>
      </c>
      <c r="AB41" s="21">
        <f>EXP(-LN(2)/2)*AB40+(1-EXP(-LN(2)/2))/(LN(2)/2)*V41*Y41*VLOOKUP('Données projet'!$B$9,Paramètres!$A$1:$I$89,3,0)*0.475*44/12</f>
        <v>0.9011223602961026</v>
      </c>
      <c r="AC41" s="22">
        <f t="shared" si="3"/>
        <v>41.302175302168919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25.6</v>
      </c>
      <c r="AI41" s="13">
        <f>IF('Données projet'!$A$62&gt;35,AI40+AH41-AQ40,IF(A41&lt;'Données projet'!$A$62,$AF$205^A41,IF(A41='Données projet'!$A$62,'Données projet'!$B$62,AI40+AH41-AQ40)))</f>
        <v>512.80000000000018</v>
      </c>
      <c r="AJ41" s="13">
        <f>AI41*VLOOKUP('Données projet'!$B$10,Paramètres!$A$1:$I$89,3,0)*VLOOKUP('Données projet'!$B$10,Paramètres!$A$1:$I$89,5,0)</f>
        <v>286.65520000000009</v>
      </c>
      <c r="AK41" s="13">
        <f t="shared" si="35"/>
        <v>68.37151538584105</v>
      </c>
      <c r="AL41" s="20">
        <f t="shared" si="4"/>
        <v>618.33819596367323</v>
      </c>
      <c r="AM41" s="59">
        <f t="shared" si="5"/>
        <v>882.91506787274398</v>
      </c>
      <c r="AN41" s="59">
        <f ca="1">AVERAGE(OFFSET($AM$3,0,0,'Données projet'!$E$10+1,1))-AVERAGE(OFFSET($H$3,0,0,'Données projet'!$E$10+1,1))</f>
        <v>427.83834708696861</v>
      </c>
      <c r="AO41" s="59">
        <f t="shared" si="36"/>
        <v>545.63950537101903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3.7594105267031535</v>
      </c>
      <c r="AV41" s="21">
        <f>EXP(-LN(2)/25)*AV40+(1-EXP(-LN(2)/25))/(LN(2)/25)*Calculateur!AQ41*Calculateur!AS41*VLOOKUP('Données projet'!$B$10,Paramètres!$A$1:$I$89,3,0)*0.475*44/12</f>
        <v>19.723062887351041</v>
      </c>
      <c r="AW41" s="21">
        <f>EXP(-LN(2)/2)*AW40+(1-EXP(-LN(2)/2))/(LN(2)/2)*AQ41*AT41*VLOOKUP('Données projet'!$B$10,Paramètres!$A$1:$I$89,3,0)*0.475*44/12</f>
        <v>0.57826447268278103</v>
      </c>
      <c r="AX41" s="21">
        <f t="shared" si="6"/>
        <v>24.060737886736977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</v>
      </c>
      <c r="BD41" s="12">
        <f>IF('Données projet'!$A$88&gt;35,BD40+BC41-BL40,IF(A41&lt;'Données projet'!$A$88,$BA$205^A41,IF(A41='Données projet'!$A$88,'Données projet'!$B$88,BD40+BC41-BL40)))</f>
        <v>158.99999999999994</v>
      </c>
      <c r="BE41" s="13">
        <f>BD41*VLOOKUP('Données projet'!$B$11,Paramètres!$A$1:$I$89,3,0)*VLOOKUP('Données projet'!$B$11,Paramètres!$A$1:$I$89,5,0)</f>
        <v>74.411999999999978</v>
      </c>
      <c r="BF41" s="13">
        <f t="shared" si="37"/>
        <v>20.765184762876824</v>
      </c>
      <c r="BG41" s="20">
        <f t="shared" si="7"/>
        <v>165.7669301286771</v>
      </c>
      <c r="BH41" s="59">
        <f t="shared" si="8"/>
        <v>430.34380203774788</v>
      </c>
      <c r="BI41" s="59">
        <f ca="1">AVERAGE(OFFSET($BH$3,0,0,'Données projet'!$E$11+1,1))-AVERAGE(OFFSET($H$3,0,0,'Données projet'!$E$11+1,1))</f>
        <v>210.62109466714364</v>
      </c>
      <c r="BJ41" s="59">
        <f t="shared" si="38"/>
        <v>193.35729443770401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5.5711923626462232</v>
      </c>
      <c r="BQ41" s="21">
        <f>EXP(-LN(2)/25)*BQ40+(1-EXP(-LN(2)/25))/(LN(2)/25)*Calculateur!BL41*Calculateur!BN41*VLOOKUP('Données projet'!$B$11,Paramètres!$A$1:$I$89,3,0)*0.475*44/12</f>
        <v>6.4183966861835655</v>
      </c>
      <c r="BR41" s="21">
        <f>EXP(-LN(2)/2)*BR40+(1-EXP(-LN(2)/2))/(LN(2)/2)*BL41*BO41*VLOOKUP('Données projet'!$B$11,Paramètres!$A$1:$I$89,3,0)*0.475*44/12</f>
        <v>0.49474880492504447</v>
      </c>
      <c r="BS41" s="22">
        <f t="shared" si="9"/>
        <v>12.484337853754834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14.4</v>
      </c>
      <c r="BY41" s="12">
        <f>IF('Données projet'!$A$114&gt;35,BY40+BX41-CG40,IF(A41&lt;'Données projet'!$A$114,$BV$205^A41,IF(A41='Données projet'!$A$114,'Données projet'!$B$114,BY40+BX41-CG40)))</f>
        <v>235.20000000000005</v>
      </c>
      <c r="BZ41" s="13">
        <f>BY41*VLOOKUP('Données projet'!$B$12,Paramètres!$A$1:$I$89,3,0)*VLOOKUP('Données projet'!$B$12,Paramètres!$A$1:$I$89,5,0)</f>
        <v>140.64960000000002</v>
      </c>
      <c r="CA41" s="13">
        <f t="shared" si="39"/>
        <v>36.445779615258601</v>
      </c>
      <c r="CB41" s="20">
        <f t="shared" si="10"/>
        <v>308.44111949657542</v>
      </c>
      <c r="CC41" s="59">
        <f t="shared" si="11"/>
        <v>573.01799140564617</v>
      </c>
      <c r="CD41" s="59">
        <f ca="1">AVERAGE(OFFSET($CC$3,0,0,'Données projet'!$E$12+1,1))-AVERAGE(OFFSET($H$3,0,0,'Données projet'!$E$12+1,1))</f>
        <v>368.16165268258442</v>
      </c>
      <c r="CE41" s="59">
        <f t="shared" si="40"/>
        <v>291.32219253157041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6.383016555725022</v>
      </c>
      <c r="CL41" s="21">
        <f>EXP(-LN(2)/25)*CL40+(1-EXP(-LN(2)/25))/(LN(2)/25)*Calculateur!CG41*Calculateur!CI41*VLOOKUP('Données projet'!$B$12,Paramètres!$A$1:$I$89,3,0)*0.475*44/12</f>
        <v>5.3216903805920435</v>
      </c>
      <c r="CM41" s="21">
        <f>EXP(-LN(2)/2)*CM40+(1-EXP(-LN(2)/2))/(LN(2)/2)*CG41*CJ41*VLOOKUP('Données projet'!$B$12,Paramètres!$A$1:$I$89,3,0)*0.475*44/12</f>
        <v>0.49517709410474653</v>
      </c>
      <c r="CN41" s="22">
        <f t="shared" si="12"/>
        <v>12.199884030421813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23.166666666666668</v>
      </c>
      <c r="CT41" s="12">
        <f>IF('Données projet'!$A$140&gt;35,CT40+CS41-DB40,IF(A41&lt;'Données projet'!$A$140,$CQ$205^A41,IF(A41='Données projet'!$A$140,'Données projet'!$B$140,CT40+CS41-DB40)))</f>
        <v>316.66666666666674</v>
      </c>
      <c r="CU41" s="17">
        <f>CT41*VLOOKUP('Données projet'!$B$13,Paramètres!$A$1:$I$89,3,0)*VLOOKUP('Données projet'!$B$13,Paramètres!$A$1:$I$89,5,0)</f>
        <v>189.36666666666673</v>
      </c>
      <c r="CV41" s="13">
        <f t="shared" si="41"/>
        <v>47.399904645599641</v>
      </c>
      <c r="CW41" s="20">
        <f t="shared" si="13"/>
        <v>412.36844503553056</v>
      </c>
      <c r="CX41" s="59">
        <f t="shared" si="14"/>
        <v>676.94531694460136</v>
      </c>
      <c r="CY41" s="59">
        <f ca="1">AVERAGE(OFFSET($CX$3,0,0,'Données projet'!$E$13+1,1))-AVERAGE(OFFSET($H$3,0,0,'Données projet'!$E$13+1,1))</f>
        <v>317.12995176362455</v>
      </c>
      <c r="CZ41" s="59">
        <f t="shared" si="42"/>
        <v>328.11301015275262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15.409127888688742</v>
      </c>
      <c r="DG41" s="21">
        <f>EXP(-LN(2)/25)*DG40+(1-EXP(-LN(2)/25))/(LN(2)/25)*Calculateur!DB41*Calculateur!DD41*VLOOKUP('Données projet'!$B$13,Paramètres!$A$1:$I$89,3,0)*0.475*44/12</f>
        <v>12.918066576107398</v>
      </c>
      <c r="DH41" s="21">
        <f>EXP(-LN(2)/2)*DH40+(1-EXP(-LN(2)/2))/(LN(2)/2)*DB41*DE41*VLOOKUP('Données projet'!$B$13,Paramètres!$A$1:$I$89,3,0)*0.475*44/12</f>
        <v>0.3588364802586258</v>
      </c>
      <c r="DI41" s="22">
        <f t="shared" si="15"/>
        <v>28.686030945054764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171.79999999999995</v>
      </c>
      <c r="DP41" s="17">
        <f>DO41*VLOOKUP('Données projet'!$B$14,Paramètres!$A$1:$I$89,3,0)*VLOOKUP('Données projet'!$B$14,Paramètres!$A$1:$I$89,5,0)</f>
        <v>150.08447999999999</v>
      </c>
      <c r="DQ41" s="13">
        <f t="shared" si="43"/>
        <v>38.597783374841299</v>
      </c>
      <c r="DR41" s="20">
        <f t="shared" si="16"/>
        <v>328.62160871118186</v>
      </c>
      <c r="DS41" s="59">
        <f t="shared" si="17"/>
        <v>593.19848062025267</v>
      </c>
      <c r="DT41" s="59">
        <f ca="1">AVERAGE(OFFSET($DS$3,0,0,'Données projet'!$E$14+1,1))-AVERAGE(OFFSET($H$3,0,0,'Données projet'!$E$14+1,1))</f>
        <v>325.5873213944476</v>
      </c>
      <c r="DU41" s="59">
        <f t="shared" si="44"/>
        <v>347.9042278368363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2.49909626874754</v>
      </c>
      <c r="EB41" s="21">
        <f>EXP(-LN(2)/25)*EB40+(1-EXP(-LN(2)/25))/(LN(2)/25)*Calculateur!DW41*Calculateur!DY41*VLOOKUP('Données projet'!$B$14,Paramètres!$A$1:$I$89,3,0)*0.475*44/12</f>
        <v>7.0681196622659588</v>
      </c>
      <c r="EC41" s="21">
        <f>EXP(-LN(2)/2)*EC40+(1-EXP(-LN(2)/2))/(LN(2)/2)*DW41*DZ41*VLOOKUP('Données projet'!$B$14,Paramètres!$A$1:$I$89,3,0)*0.475*44/12</f>
        <v>0.74686378977146639</v>
      </c>
      <c r="ED41" s="22">
        <f t="shared" si="18"/>
        <v>10.314079720784965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10</v>
      </c>
      <c r="EJ41" s="12">
        <f>IF('Données projet'!$A$192&gt;35,EJ40+EI41-ER40,IF(A41&lt;'Données projet'!$A$192,$EG$205^A41,IF(A41='Données projet'!$A$192,'Données projet'!$B$192,EJ40+EI41-ER40)))</f>
        <v>194.99999999999994</v>
      </c>
      <c r="EK41" s="17">
        <f>EJ41*VLOOKUP('Données projet'!$B$15,Paramètres!$A$1:$I$89,3,0)*VLOOKUP('Données projet'!$B$15,Paramètres!$A$1:$I$89,5,0)</f>
        <v>116.60999999999997</v>
      </c>
      <c r="EL41" s="13">
        <f t="shared" si="45"/>
        <v>30.883023623410974</v>
      </c>
      <c r="EM41" s="20">
        <f t="shared" si="19"/>
        <v>256.88368281077408</v>
      </c>
      <c r="EN41" s="59">
        <f t="shared" si="20"/>
        <v>521.46055471984482</v>
      </c>
      <c r="EO41" s="59">
        <f ca="1">AVERAGE(OFFSET($EN$3,0,0,'Données projet'!$E$15+1,1))-AVERAGE(OFFSET($H$3,0,0,'Données projet'!$E$15+1,1))</f>
        <v>205.5480000480477</v>
      </c>
      <c r="EP41" s="59">
        <f t="shared" si="46"/>
        <v>229.86812144828366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6.2776253073918893</v>
      </c>
      <c r="EW41" s="21">
        <f>EXP(-LN(2)/25)*EW40+(1-EXP(-LN(2)/25))/(LN(2)/25)*Calculateur!ER41*Calculateur!ET41*VLOOKUP('Données projet'!$B$15,Paramètres!$A$1:$I$89,3,0)*0.475*44/12</f>
        <v>4.82447356298331</v>
      </c>
      <c r="EX41" s="21">
        <f>EXP(-LN(2)/2)*EX40+(1-EXP(-LN(2)/2))/(LN(2)/2)*ER41*EU41*VLOOKUP('Données projet'!$B$15,Paramètres!$A$1:$I$89,3,0)*0.475*44/12</f>
        <v>0.18487318938697586</v>
      </c>
      <c r="EY41" s="22">
        <f t="shared" si="21"/>
        <v>11.286972059762174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3.05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6.8140799999999935</v>
      </c>
      <c r="D42" s="11">
        <f t="shared" si="32"/>
        <v>2.5116012560431362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30.64073545352408</v>
      </c>
      <c r="H42" s="67">
        <f t="shared" si="1"/>
        <v>228.17556152094176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27</v>
      </c>
      <c r="N42" s="13">
        <f>IF('Données projet'!$A$36&gt;35,N41+M42-V41,IF(A42&lt;'Données projet'!$A$36,$K$205^A42,IF(A42='Données projet'!$A$36,'Données projet'!$B$36,N41+M42-V41)))</f>
        <v>611.99999999999989</v>
      </c>
      <c r="O42" s="13">
        <f>N42*VLOOKUP('Données projet'!$B$9,Paramètres!$A$1:$I$89,3,0)*VLOOKUP('Données projet'!$B$9,Paramètres!$A$1:$I$89,5,0)</f>
        <v>342.10799999999995</v>
      </c>
      <c r="P42" s="13">
        <f t="shared" si="33"/>
        <v>79.935315774430151</v>
      </c>
      <c r="Q42" s="20">
        <f t="shared" si="53"/>
        <v>735.0587749737989</v>
      </c>
      <c r="R42" s="59">
        <f t="shared" si="0"/>
        <v>1000.1345071987643</v>
      </c>
      <c r="S42" s="59">
        <f ca="1">AVERAGE(OFFSET($R$3,0,0,'Données projet'!$E$9+1,1))-AVERAGE(OFFSET($H$3,0,0,'Données projet'!$E$9+1,1))</f>
        <v>542.23071537860039</v>
      </c>
      <c r="T42" s="59">
        <f t="shared" si="34"/>
        <v>667.26143680054633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6.1428179654808481</v>
      </c>
      <c r="AA42" s="21">
        <f>EXP(-LN(2)/25)*AA41+(1-EXP(-LN(2)/25))/(LN(2)/25)*Calculateur!V42*Calculateur!X42*VLOOKUP('Données projet'!$B$9,Paramètres!$A$1:$I$89,3,0)*0.475*44/12</f>
        <v>33.201935277658855</v>
      </c>
      <c r="AB42" s="21">
        <f>EXP(-LN(2)/2)*AB41+(1-EXP(-LN(2)/2))/(LN(2)/2)*V42*Y42*VLOOKUP('Données projet'!$B$9,Paramètres!$A$1:$I$89,3,0)*0.475*44/12</f>
        <v>0.63718973164420145</v>
      </c>
      <c r="AC42" s="22">
        <f t="shared" si="3"/>
        <v>39.981942974783905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25.6</v>
      </c>
      <c r="AI42" s="13">
        <f>IF('Données projet'!$A$62&gt;35,AI41+AH42-AQ41,IF(A42&lt;'Données projet'!$A$62,$AF$205^A42,IF(A42='Données projet'!$A$62,'Données projet'!$B$62,AI41+AH42-AQ41)))</f>
        <v>538.4000000000002</v>
      </c>
      <c r="AJ42" s="13">
        <f>AI42*VLOOKUP('Données projet'!$B$10,Paramètres!$A$1:$I$89,3,0)*VLOOKUP('Données projet'!$B$10,Paramètres!$A$1:$I$89,5,0)</f>
        <v>300.96560000000011</v>
      </c>
      <c r="AK42" s="13">
        <f t="shared" si="35"/>
        <v>71.378852450242803</v>
      </c>
      <c r="AL42" s="20">
        <f t="shared" si="4"/>
        <v>648.49992135083971</v>
      </c>
      <c r="AM42" s="59">
        <f t="shared" si="5"/>
        <v>913.57565357580506</v>
      </c>
      <c r="AN42" s="59">
        <f ca="1">AVERAGE(OFFSET($AM$3,0,0,'Données projet'!$E$10+1,1))-AVERAGE(OFFSET($H$3,0,0,'Données projet'!$E$10+1,1))</f>
        <v>427.83834708696861</v>
      </c>
      <c r="AO42" s="59">
        <f t="shared" si="36"/>
        <v>545.63950537101903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3.6856907792885094</v>
      </c>
      <c r="AV42" s="21">
        <f>EXP(-LN(2)/25)*AV41+(1-EXP(-LN(2)/25))/(LN(2)/25)*Calculateur!AQ42*Calculateur!AS42*VLOOKUP('Données projet'!$B$10,Paramètres!$A$1:$I$89,3,0)*0.475*44/12</f>
        <v>19.183734695505628</v>
      </c>
      <c r="AW42" s="21">
        <f>EXP(-LN(2)/2)*AW41+(1-EXP(-LN(2)/2))/(LN(2)/2)*AQ42*AT42*VLOOKUP('Données projet'!$B$10,Paramètres!$A$1:$I$89,3,0)*0.475*44/12</f>
        <v>0.40889472995325754</v>
      </c>
      <c r="AX42" s="21">
        <f t="shared" si="6"/>
        <v>23.278320204747395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</v>
      </c>
      <c r="BD42" s="12">
        <f>IF('Données projet'!$A$88&gt;35,BD41+BC42-BL41,IF(A42&lt;'Données projet'!$A$88,$BA$205^A42,IF(A42='Données projet'!$A$88,'Données projet'!$B$88,BD41+BC42-BL41)))</f>
        <v>165.99999999999994</v>
      </c>
      <c r="BE42" s="13">
        <f>BD42*VLOOKUP('Données projet'!$B$11,Paramètres!$A$1:$I$89,3,0)*VLOOKUP('Données projet'!$B$11,Paramètres!$A$1:$I$89,5,0)</f>
        <v>77.687999999999974</v>
      </c>
      <c r="BF42" s="13">
        <f t="shared" si="37"/>
        <v>21.570926907728186</v>
      </c>
      <c r="BG42" s="20">
        <f t="shared" si="7"/>
        <v>172.8759643642932</v>
      </c>
      <c r="BH42" s="59">
        <f t="shared" si="8"/>
        <v>437.95169658925852</v>
      </c>
      <c r="BI42" s="59">
        <f ca="1">AVERAGE(OFFSET($BH$3,0,0,'Données projet'!$E$11+1,1))-AVERAGE(OFFSET($H$3,0,0,'Données projet'!$E$11+1,1))</f>
        <v>210.62109466714364</v>
      </c>
      <c r="BJ42" s="59">
        <f t="shared" si="38"/>
        <v>193.35729443770401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5.461944678506538</v>
      </c>
      <c r="BQ42" s="21">
        <f>EXP(-LN(2)/25)*BQ41+(1-EXP(-LN(2)/25))/(LN(2)/25)*Calculateur!BL42*Calculateur!BN42*VLOOKUP('Données projet'!$B$11,Paramètres!$A$1:$I$89,3,0)*0.475*44/12</f>
        <v>6.2428852912710635</v>
      </c>
      <c r="BR42" s="21">
        <f>EXP(-LN(2)/2)*BR41+(1-EXP(-LN(2)/2))/(LN(2)/2)*BL42*BO42*VLOOKUP('Données projet'!$B$11,Paramètres!$A$1:$I$89,3,0)*0.475*44/12</f>
        <v>0.34984023494643934</v>
      </c>
      <c r="BS42" s="22">
        <f t="shared" si="9"/>
        <v>12.054670204724042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14.4</v>
      </c>
      <c r="BY42" s="12">
        <f>IF('Données projet'!$A$114&gt;35,BY41+BX42-CG41,IF(A42&lt;'Données projet'!$A$114,$BV$205^A42,IF(A42='Données projet'!$A$114,'Données projet'!$B$114,BY41+BX42-CG41)))</f>
        <v>249.60000000000005</v>
      </c>
      <c r="BZ42" s="13">
        <f>BY42*VLOOKUP('Données projet'!$B$12,Paramètres!$A$1:$I$89,3,0)*VLOOKUP('Données projet'!$B$12,Paramètres!$A$1:$I$89,5,0)</f>
        <v>149.26080000000005</v>
      </c>
      <c r="CA42" s="13">
        <f t="shared" si="39"/>
        <v>38.410551499792909</v>
      </c>
      <c r="CB42" s="20">
        <f t="shared" si="10"/>
        <v>326.86093719547273</v>
      </c>
      <c r="CC42" s="59">
        <f t="shared" si="11"/>
        <v>591.93666942043808</v>
      </c>
      <c r="CD42" s="59">
        <f ca="1">AVERAGE(OFFSET($CC$3,0,0,'Données projet'!$E$12+1,1))-AVERAGE(OFFSET($H$3,0,0,'Données projet'!$E$12+1,1))</f>
        <v>368.16165268258442</v>
      </c>
      <c r="CE42" s="59">
        <f t="shared" si="40"/>
        <v>291.32219253157041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6.2578494943229259</v>
      </c>
      <c r="CL42" s="21">
        <f>EXP(-LN(2)/25)*CL41+(1-EXP(-LN(2)/25))/(LN(2)/25)*Calculateur!CG42*Calculateur!CI42*VLOOKUP('Données projet'!$B$12,Paramètres!$A$1:$I$89,3,0)*0.475*44/12</f>
        <v>5.1761684772792202</v>
      </c>
      <c r="CM42" s="21">
        <f>EXP(-LN(2)/2)*CM41+(1-EXP(-LN(2)/2))/(LN(2)/2)*CG42*CJ42*VLOOKUP('Données projet'!$B$12,Paramètres!$A$1:$I$89,3,0)*0.475*44/12</f>
        <v>0.35014308112971548</v>
      </c>
      <c r="CN42" s="22">
        <f t="shared" si="12"/>
        <v>11.784161052731861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23.166666666666668</v>
      </c>
      <c r="CT42" s="12">
        <f>IF('Données projet'!$A$140&gt;35,CT41+CS42-DB41,IF(A42&lt;'Données projet'!$A$140,$CQ$205^A42,IF(A42='Données projet'!$A$140,'Données projet'!$B$140,CT41+CS42-DB41)))</f>
        <v>339.83333333333343</v>
      </c>
      <c r="CU42" s="17">
        <f>CT42*VLOOKUP('Données projet'!$B$13,Paramètres!$A$1:$I$89,3,0)*VLOOKUP('Données projet'!$B$13,Paramètres!$A$1:$I$89,5,0)</f>
        <v>203.2203333333334</v>
      </c>
      <c r="CV42" s="13">
        <f t="shared" si="41"/>
        <v>50.451240235274049</v>
      </c>
      <c r="CW42" s="20">
        <f t="shared" si="13"/>
        <v>441.81132396532462</v>
      </c>
      <c r="CX42" s="59">
        <f t="shared" si="14"/>
        <v>706.88705619028997</v>
      </c>
      <c r="CY42" s="59">
        <f ca="1">AVERAGE(OFFSET($CX$3,0,0,'Données projet'!$E$13+1,1))-AVERAGE(OFFSET($H$3,0,0,'Données projet'!$E$13+1,1))</f>
        <v>317.12995176362455</v>
      </c>
      <c r="CZ42" s="59">
        <f t="shared" si="42"/>
        <v>328.11301015275262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15.106964289431529</v>
      </c>
      <c r="DG42" s="21">
        <f>EXP(-LN(2)/25)*DG41+(1-EXP(-LN(2)/25))/(LN(2)/25)*Calculateur!DB42*Calculateur!DD42*VLOOKUP('Données projet'!$B$13,Paramètres!$A$1:$I$89,3,0)*0.475*44/12</f>
        <v>12.564821366252145</v>
      </c>
      <c r="DH42" s="21">
        <f>EXP(-LN(2)/2)*DH41+(1-EXP(-LN(2)/2))/(LN(2)/2)*DB42*DE42*VLOOKUP('Données projet'!$B$13,Paramètres!$A$1:$I$89,3,0)*0.475*44/12</f>
        <v>0.25373570852798699</v>
      </c>
      <c r="DI42" s="22">
        <f t="shared" si="15"/>
        <v>27.925521364211662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181.39999999999995</v>
      </c>
      <c r="DP42" s="17">
        <f>DO42*VLOOKUP('Données projet'!$B$14,Paramètres!$A$1:$I$89,3,0)*VLOOKUP('Données projet'!$B$14,Paramètres!$A$1:$I$89,5,0)</f>
        <v>158.47103999999996</v>
      </c>
      <c r="DQ42" s="13">
        <f t="shared" si="43"/>
        <v>40.497461727609561</v>
      </c>
      <c r="DR42" s="20">
        <f t="shared" si="16"/>
        <v>346.53680717558655</v>
      </c>
      <c r="DS42" s="59">
        <f t="shared" si="17"/>
        <v>611.6125394005519</v>
      </c>
      <c r="DT42" s="59">
        <f ca="1">AVERAGE(OFFSET($DS$3,0,0,'Données projet'!$E$14+1,1))-AVERAGE(OFFSET($H$3,0,0,'Données projet'!$E$14+1,1))</f>
        <v>325.5873213944476</v>
      </c>
      <c r="DU42" s="59">
        <f t="shared" si="44"/>
        <v>347.9042278368363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2.4500905152156127</v>
      </c>
      <c r="EB42" s="21">
        <f>EXP(-LN(2)/25)*EB41+(1-EXP(-LN(2)/25))/(LN(2)/25)*Calculateur!DW42*Calculateur!DY42*VLOOKUP('Données projet'!$B$14,Paramètres!$A$1:$I$89,3,0)*0.475*44/12</f>
        <v>6.8748415584050377</v>
      </c>
      <c r="EC42" s="21">
        <f>EXP(-LN(2)/2)*EC41+(1-EXP(-LN(2)/2))/(LN(2)/2)*DW42*DZ42*VLOOKUP('Données projet'!$B$14,Paramètres!$A$1:$I$89,3,0)*0.475*44/12</f>
        <v>0.52811245037008792</v>
      </c>
      <c r="ED42" s="22">
        <f t="shared" si="18"/>
        <v>9.8530445239907394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10</v>
      </c>
      <c r="EJ42" s="12">
        <f>IF('Données projet'!$A$192&gt;35,EJ41+EI42-ER41,IF(A42&lt;'Données projet'!$A$192,$EG$205^A42,IF(A42='Données projet'!$A$192,'Données projet'!$B$192,EJ41+EI42-ER41)))</f>
        <v>204.99999999999994</v>
      </c>
      <c r="EK42" s="17">
        <f>EJ42*VLOOKUP('Données projet'!$B$15,Paramètres!$A$1:$I$89,3,0)*VLOOKUP('Données projet'!$B$15,Paramètres!$A$1:$I$89,5,0)</f>
        <v>122.58999999999997</v>
      </c>
      <c r="EL42" s="13">
        <f t="shared" si="45"/>
        <v>32.278321478706822</v>
      </c>
      <c r="EM42" s="20">
        <f t="shared" si="19"/>
        <v>269.728993242081</v>
      </c>
      <c r="EN42" s="59">
        <f t="shared" si="20"/>
        <v>534.80472546704641</v>
      </c>
      <c r="EO42" s="59">
        <f ca="1">AVERAGE(OFFSET($EN$3,0,0,'Données projet'!$E$15+1,1))-AVERAGE(OFFSET($H$3,0,0,'Données projet'!$E$15+1,1))</f>
        <v>205.5480000480477</v>
      </c>
      <c r="EP42" s="59">
        <f t="shared" si="46"/>
        <v>229.86812144828366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6.1545249040872925</v>
      </c>
      <c r="EW42" s="21">
        <f>EXP(-LN(2)/25)*EW41+(1-EXP(-LN(2)/25))/(LN(2)/25)*Calculateur!ER42*Calculateur!ET42*VLOOKUP('Données projet'!$B$15,Paramètres!$A$1:$I$89,3,0)*0.475*44/12</f>
        <v>4.6925480796954933</v>
      </c>
      <c r="EX42" s="21">
        <f>EXP(-LN(2)/2)*EX41+(1-EXP(-LN(2)/2))/(LN(2)/2)*ER42*EU42*VLOOKUP('Données projet'!$B$15,Paramètres!$A$1:$I$89,3,0)*0.475*44/12</f>
        <v>0.1307250858751155</v>
      </c>
      <c r="EY42" s="22">
        <f t="shared" si="21"/>
        <v>10.977798069657901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3.05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6.9887999999999932</v>
      </c>
      <c r="D43" s="11">
        <f t="shared" si="32"/>
        <v>2.5684210058779815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31.212679256624888</v>
      </c>
      <c r="H43" s="67">
        <f t="shared" si="1"/>
        <v>228.57882658523744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639</v>
      </c>
      <c r="L43" s="12">
        <f>VLOOKUP(A43,'Données projet'!$A$35:$I$55,9,0)</f>
        <v>27</v>
      </c>
      <c r="M43" s="12">
        <f t="array" ref="M43">INDEX(L:L,MIN(IF(ISNUMBER(L43:L239),ROW(L43:L239),"")))</f>
        <v>27</v>
      </c>
      <c r="N43" s="13">
        <f>IF('Données projet'!$A$36&gt;35,N42+M43-V42,IF(A43&lt;'Données projet'!$A$36,$K$205^A43,IF(A43='Données projet'!$A$36,'Données projet'!$B$36,N42+M43-V42)))</f>
        <v>638.99999999999989</v>
      </c>
      <c r="O43" s="13">
        <f>N43*VLOOKUP('Données projet'!$B$9,Paramètres!$A$1:$I$89,3,0)*VLOOKUP('Données projet'!$B$9,Paramètres!$A$1:$I$89,5,0)</f>
        <v>357.20099999999991</v>
      </c>
      <c r="P43" s="13">
        <f t="shared" si="33"/>
        <v>83.043509879488369</v>
      </c>
      <c r="Q43" s="20">
        <f t="shared" si="53"/>
        <v>766.75918804010871</v>
      </c>
      <c r="R43" s="59">
        <f t="shared" si="0"/>
        <v>1032.3251264697724</v>
      </c>
      <c r="S43" s="59">
        <f ca="1">AVERAGE(OFFSET($R$3,0,0,'Données projet'!$E$9+1,1))-AVERAGE(OFFSET($H$3,0,0,'Données projet'!$E$9+1,1))</f>
        <v>542.23071537860039</v>
      </c>
      <c r="T43" s="59">
        <f t="shared" si="34"/>
        <v>667.26143680054633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77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6.022361051926767</v>
      </c>
      <c r="AA43" s="21">
        <f>EXP(-LN(2)/25)*AA42+(1-EXP(-LN(2)/25))/(LN(2)/25)*Calculateur!V43*Calculateur!X43*VLOOKUP('Données projet'!$B$9,Paramètres!$A$1:$I$89,3,0)*0.475*44/12</f>
        <v>32.294026611477378</v>
      </c>
      <c r="AB43" s="21">
        <f>EXP(-LN(2)/2)*AB42+(1-EXP(-LN(2)/2))/(LN(2)/2)*V43*Y43*VLOOKUP('Données projet'!$B$9,Paramètres!$A$1:$I$89,3,0)*0.475*44/12</f>
        <v>0.4505611801480513</v>
      </c>
      <c r="AC43" s="22">
        <f t="shared" si="3"/>
        <v>38.766948843552193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564</v>
      </c>
      <c r="AG43" s="12">
        <f>VLOOKUP(A43,'Données projet'!$A$61:$I$81,9,0)</f>
        <v>25.6</v>
      </c>
      <c r="AH43" s="12">
        <f t="array" ref="AH43">INDEX(AG:AG,MIN(IF(ISNUMBER(AG43:AG239),ROW(AG43:AG239),"")))</f>
        <v>25.6</v>
      </c>
      <c r="AI43" s="13">
        <f>IF('Données projet'!$A$62&gt;35,AI42+AH43-AQ42,IF(A43&lt;'Données projet'!$A$62,$AF$205^A43,IF(A43='Données projet'!$A$62,'Données projet'!$B$62,AI42+AH43-AQ42)))</f>
        <v>564.00000000000023</v>
      </c>
      <c r="AJ43" s="13">
        <f>AI43*VLOOKUP('Données projet'!$B$10,Paramètres!$A$1:$I$89,3,0)*VLOOKUP('Données projet'!$B$10,Paramètres!$A$1:$I$89,5,0)</f>
        <v>315.27600000000012</v>
      </c>
      <c r="AK43" s="13">
        <f t="shared" si="35"/>
        <v>74.36958441265493</v>
      </c>
      <c r="AL43" s="20">
        <f t="shared" si="4"/>
        <v>678.63272618537417</v>
      </c>
      <c r="AM43" s="59">
        <f t="shared" si="5"/>
        <v>944.19866461503784</v>
      </c>
      <c r="AN43" s="59">
        <f ca="1">AVERAGE(OFFSET($AM$3,0,0,'Données projet'!$E$10+1,1))-AVERAGE(OFFSET($H$3,0,0,'Données projet'!$E$10+1,1))</f>
        <v>427.83834708696861</v>
      </c>
      <c r="AO43" s="59">
        <f t="shared" si="36"/>
        <v>545.63950537101903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72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3.6134166311560607</v>
      </c>
      <c r="AV43" s="21">
        <f>EXP(-LN(2)/25)*AV42+(1-EXP(-LN(2)/25))/(LN(2)/25)*Calculateur!AQ43*Calculateur!AS43*VLOOKUP('Données projet'!$B$10,Paramètres!$A$1:$I$89,3,0)*0.475*44/12</f>
        <v>18.659154461428262</v>
      </c>
      <c r="AW43" s="21">
        <f>EXP(-LN(2)/2)*AW42+(1-EXP(-LN(2)/2))/(LN(2)/2)*AQ43*AT43*VLOOKUP('Données projet'!$B$10,Paramètres!$A$1:$I$89,3,0)*0.475*44/12</f>
        <v>0.28913223634139051</v>
      </c>
      <c r="AX43" s="21">
        <f t="shared" si="6"/>
        <v>22.561703328925713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173</v>
      </c>
      <c r="BB43" s="12">
        <f>VLOOKUP(A43,'Données projet'!$A$87:$I$107,9,0)</f>
        <v>7</v>
      </c>
      <c r="BC43" s="12">
        <f t="array" ref="BC43">INDEX(BB:BB,MIN(IF(ISNUMBER(BB43:BB239),ROW(BB43:BB239),"")))</f>
        <v>7</v>
      </c>
      <c r="BD43" s="12">
        <f>IF('Données projet'!$A$88&gt;35,BD42+BC43-BL42,IF(A43&lt;'Données projet'!$A$88,$BA$205^A43,IF(A43='Données projet'!$A$88,'Données projet'!$B$88,BD42+BC43-BL42)))</f>
        <v>172.99999999999994</v>
      </c>
      <c r="BE43" s="13">
        <f>BD43*VLOOKUP('Données projet'!$B$11,Paramètres!$A$1:$I$89,3,0)*VLOOKUP('Données projet'!$B$11,Paramètres!$A$1:$I$89,5,0)</f>
        <v>80.96399999999997</v>
      </c>
      <c r="BF43" s="13">
        <f t="shared" si="37"/>
        <v>22.37272257588274</v>
      </c>
      <c r="BG43" s="20">
        <f t="shared" si="7"/>
        <v>179.97812515299572</v>
      </c>
      <c r="BH43" s="59">
        <f t="shared" si="8"/>
        <v>445.54406358265942</v>
      </c>
      <c r="BI43" s="59">
        <f ca="1">AVERAGE(OFFSET($BH$3,0,0,'Données projet'!$E$11+1,1))-AVERAGE(OFFSET($H$3,0,0,'Données projet'!$E$11+1,1))</f>
        <v>210.62109466714364</v>
      </c>
      <c r="BJ43" s="59">
        <f t="shared" si="38"/>
        <v>193.35729443770401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5.3548392748183247</v>
      </c>
      <c r="BQ43" s="21">
        <f>EXP(-LN(2)/25)*BQ42+(1-EXP(-LN(2)/25))/(LN(2)/25)*Calculateur!BL43*Calculateur!BN43*VLOOKUP('Données projet'!$B$11,Paramètres!$A$1:$I$89,3,0)*0.475*44/12</f>
        <v>6.0721732646821875</v>
      </c>
      <c r="BR43" s="21">
        <f>EXP(-LN(2)/2)*BR42+(1-EXP(-LN(2)/2))/(LN(2)/2)*BL43*BO43*VLOOKUP('Données projet'!$B$11,Paramètres!$A$1:$I$89,3,0)*0.475*44/12</f>
        <v>0.24737440246252229</v>
      </c>
      <c r="BS43" s="22">
        <f t="shared" si="9"/>
        <v>11.674386941963036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264</v>
      </c>
      <c r="BW43" s="12">
        <f>VLOOKUP(A43,'Données projet'!$A$113:$I$133,9,0)</f>
        <v>14.4</v>
      </c>
      <c r="BX43" s="12">
        <f t="array" ref="BX43">INDEX(BW:BW,MIN(IF(ISNUMBER(BW43:BW239),ROW(BW43:BW239),"")))</f>
        <v>14.4</v>
      </c>
      <c r="BY43" s="12">
        <f>IF('Données projet'!$A$114&gt;35,BY42+BX43-CG42,IF(A43&lt;'Données projet'!$A$114,$BV$205^A43,IF(A43='Données projet'!$A$114,'Données projet'!$B$114,BY42+BX43-CG42)))</f>
        <v>264.00000000000006</v>
      </c>
      <c r="BZ43" s="13">
        <f>BY43*VLOOKUP('Données projet'!$B$12,Paramètres!$A$1:$I$89,3,0)*VLOOKUP('Données projet'!$B$12,Paramètres!$A$1:$I$89,5,0)</f>
        <v>157.87200000000004</v>
      </c>
      <c r="CA43" s="13">
        <f t="shared" si="39"/>
        <v>40.362165684361159</v>
      </c>
      <c r="CB43" s="20">
        <f t="shared" si="10"/>
        <v>345.25783856692902</v>
      </c>
      <c r="CC43" s="59">
        <f t="shared" si="11"/>
        <v>610.82377699659264</v>
      </c>
      <c r="CD43" s="59">
        <f ca="1">AVERAGE(OFFSET($CC$3,0,0,'Données projet'!$E$12+1,1))-AVERAGE(OFFSET($H$3,0,0,'Données projet'!$E$12+1,1))</f>
        <v>368.16165268258442</v>
      </c>
      <c r="CE43" s="59">
        <f t="shared" si="40"/>
        <v>291.32219253157041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41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6.1351368826505563</v>
      </c>
      <c r="CL43" s="21">
        <f>EXP(-LN(2)/25)*CL42+(1-EXP(-LN(2)/25))/(LN(2)/25)*Calculateur!CG43*Calculateur!CI43*VLOOKUP('Données projet'!$B$12,Paramètres!$A$1:$I$89,3,0)*0.475*44/12</f>
        <v>5.0346258780651496</v>
      </c>
      <c r="CM43" s="21">
        <f>EXP(-LN(2)/2)*CM42+(1-EXP(-LN(2)/2))/(LN(2)/2)*CG43*CJ43*VLOOKUP('Données projet'!$B$12,Paramètres!$A$1:$I$89,3,0)*0.475*44/12</f>
        <v>0.24758854705237329</v>
      </c>
      <c r="CN43" s="22">
        <f t="shared" si="12"/>
        <v>11.417351307768079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363</v>
      </c>
      <c r="CR43" s="12">
        <f>VLOOKUP(A43,'Données projet'!$A$139:$I$159,9,0)</f>
        <v>23.166666666666668</v>
      </c>
      <c r="CS43" s="12">
        <f t="array" ref="CS43">INDEX(CR:CR,MIN(IF(ISNUMBER(CR43:CR239),ROW(CR43:CR239),"")))</f>
        <v>23.166666666666668</v>
      </c>
      <c r="CT43" s="12">
        <f>IF('Données projet'!$A$140&gt;35,CT42+CS43-DB42,IF(A43&lt;'Données projet'!$A$140,$CQ$205^A43,IF(A43='Données projet'!$A$140,'Données projet'!$B$140,CT42+CS43-DB42)))</f>
        <v>363.00000000000011</v>
      </c>
      <c r="CU43" s="17">
        <f>CT43*VLOOKUP('Données projet'!$B$13,Paramètres!$A$1:$I$89,3,0)*VLOOKUP('Données projet'!$B$13,Paramètres!$A$1:$I$89,5,0)</f>
        <v>217.07400000000007</v>
      </c>
      <c r="CV43" s="13">
        <f t="shared" si="41"/>
        <v>53.478439358974512</v>
      </c>
      <c r="CW43" s="20">
        <f t="shared" si="13"/>
        <v>471.21216521688075</v>
      </c>
      <c r="CX43" s="59">
        <f t="shared" si="14"/>
        <v>736.77810364654442</v>
      </c>
      <c r="CY43" s="59">
        <f ca="1">AVERAGE(OFFSET($CX$3,0,0,'Données projet'!$E$13+1,1))-AVERAGE(OFFSET($H$3,0,0,'Données projet'!$E$13+1,1))</f>
        <v>317.12995176362455</v>
      </c>
      <c r="CZ43" s="59">
        <f t="shared" si="42"/>
        <v>328.11301015275262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64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14.810725934054153</v>
      </c>
      <c r="DG43" s="21">
        <f>EXP(-LN(2)/25)*DG42+(1-EXP(-LN(2)/25))/(LN(2)/25)*Calculateur!DB43*Calculateur!DD43*VLOOKUP('Données projet'!$B$13,Paramètres!$A$1:$I$89,3,0)*0.475*44/12</f>
        <v>12.221235665236742</v>
      </c>
      <c r="DH43" s="21">
        <f>EXP(-LN(2)/2)*DH42+(1-EXP(-LN(2)/2))/(LN(2)/2)*DB43*DE43*VLOOKUP('Données projet'!$B$13,Paramètres!$A$1:$I$89,3,0)*0.475*44/12</f>
        <v>0.1794182401293129</v>
      </c>
      <c r="DI43" s="22">
        <f t="shared" si="15"/>
        <v>27.211379839420207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191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190.99999999999994</v>
      </c>
      <c r="DP43" s="17">
        <f>DO43*VLOOKUP('Données projet'!$B$14,Paramètres!$A$1:$I$89,3,0)*VLOOKUP('Données projet'!$B$14,Paramètres!$A$1:$I$89,5,0)</f>
        <v>166.85759999999996</v>
      </c>
      <c r="DQ43" s="13">
        <f t="shared" si="43"/>
        <v>42.385468111966098</v>
      </c>
      <c r="DR43" s="20">
        <f t="shared" si="16"/>
        <v>364.43167696167421</v>
      </c>
      <c r="DS43" s="59">
        <f t="shared" si="17"/>
        <v>629.99761539133783</v>
      </c>
      <c r="DT43" s="59">
        <f ca="1">AVERAGE(OFFSET($DS$3,0,0,'Données projet'!$E$14+1,1))-AVERAGE(OFFSET($H$3,0,0,'Données projet'!$E$14+1,1))</f>
        <v>325.5873213944476</v>
      </c>
      <c r="DU43" s="59">
        <f t="shared" si="44"/>
        <v>347.9042278368363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33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2.4020457346198882</v>
      </c>
      <c r="EB43" s="21">
        <f>EXP(-LN(2)/25)*EB42+(1-EXP(-LN(2)/25))/(LN(2)/25)*Calculateur!DW43*Calculateur!DY43*VLOOKUP('Données projet'!$B$14,Paramètres!$A$1:$I$89,3,0)*0.475*44/12</f>
        <v>6.6868486544582471</v>
      </c>
      <c r="EC43" s="21">
        <f>EXP(-LN(2)/2)*EC42+(1-EXP(-LN(2)/2))/(LN(2)/2)*DW43*DZ43*VLOOKUP('Données projet'!$B$14,Paramètres!$A$1:$I$89,3,0)*0.475*44/12</f>
        <v>0.3734318948857332</v>
      </c>
      <c r="ED43" s="22">
        <f t="shared" si="18"/>
        <v>9.4623262839638684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215</v>
      </c>
      <c r="EH43" s="12">
        <f>VLOOKUP(A43,'Données projet'!$A$191:$I$211,9,0)</f>
        <v>10</v>
      </c>
      <c r="EI43" s="12">
        <f t="array" ref="EI43">INDEX(EH:EH,MIN(IF(ISNUMBER(EH43:EH239),ROW(EH43:EH239),"")))</f>
        <v>10</v>
      </c>
      <c r="EJ43" s="12">
        <f>IF('Données projet'!$A$192&gt;35,EJ42+EI43-ER42,IF(A43&lt;'Données projet'!$A$192,$EG$205^A43,IF(A43='Données projet'!$A$192,'Données projet'!$B$192,EJ42+EI43-ER42)))</f>
        <v>214.99999999999994</v>
      </c>
      <c r="EK43" s="17">
        <f>EJ43*VLOOKUP('Données projet'!$B$15,Paramètres!$A$1:$I$89,3,0)*VLOOKUP('Données projet'!$B$15,Paramètres!$A$1:$I$89,5,0)</f>
        <v>128.56999999999996</v>
      </c>
      <c r="EL43" s="13">
        <f t="shared" si="45"/>
        <v>33.665715905233249</v>
      </c>
      <c r="EM43" s="20">
        <f t="shared" si="19"/>
        <v>282.5605385349478</v>
      </c>
      <c r="EN43" s="59">
        <f t="shared" si="20"/>
        <v>548.12647696461147</v>
      </c>
      <c r="EO43" s="59">
        <f ca="1">AVERAGE(OFFSET($EN$3,0,0,'Données projet'!$E$15+1,1))-AVERAGE(OFFSET($H$3,0,0,'Données projet'!$E$15+1,1))</f>
        <v>205.5480000480477</v>
      </c>
      <c r="EP43" s="59">
        <f t="shared" si="46"/>
        <v>229.86812144828366</v>
      </c>
      <c r="EQ43" s="15">
        <f>IF(ISNA(VLOOKUP(A43,'Données projet'!$A$191:$I$211,3,0)),0,VLOOKUP(A43,'Données projet'!$A$191:$I$211,3,0))</f>
        <v>7</v>
      </c>
      <c r="ER43" s="15">
        <f>IF(ISNA(VLOOKUP(A43,'Données projet'!$A$191:$I$211,4,0)),0,VLOOKUP(A43,'Données projet'!$A$191:$I$211,4,0))</f>
        <v>31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6.0338384246076666</v>
      </c>
      <c r="EW43" s="21">
        <f>EXP(-LN(2)/25)*EW42+(1-EXP(-LN(2)/25))/(LN(2)/25)*Calculateur!ER43*Calculateur!ET43*VLOOKUP('Données projet'!$B$15,Paramètres!$A$1:$I$89,3,0)*0.475*44/12</f>
        <v>4.5642301056858416</v>
      </c>
      <c r="EX43" s="21">
        <f>EXP(-LN(2)/2)*EX42+(1-EXP(-LN(2)/2))/(LN(2)/2)*ER43*EU43*VLOOKUP('Données projet'!$B$15,Paramètres!$A$1:$I$89,3,0)*0.475*44/12</f>
        <v>9.2436594693487931E-2</v>
      </c>
      <c r="EY43" s="22">
        <f t="shared" si="21"/>
        <v>10.690505124986997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3.05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7.163519999999993</v>
      </c>
      <c r="D44" s="11">
        <f t="shared" si="32"/>
        <v>2.625075632407591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31.78421517619277</v>
      </c>
      <c r="H44" s="67">
        <f t="shared" si="1"/>
        <v>228.98180405977652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24.8</v>
      </c>
      <c r="N44" s="13">
        <f>IF('Données projet'!$A$36&gt;35,N43+M44-V43,IF(A44&lt;'Données projet'!$A$36,$K$205^A44,IF(A44='Données projet'!$A$36,'Données projet'!$B$36,N43+M44-V43)))</f>
        <v>586.79999999999984</v>
      </c>
      <c r="O44" s="13">
        <f>N44*VLOOKUP('Données projet'!$B$9,Paramètres!$A$1:$I$89,3,0)*VLOOKUP('Données projet'!$B$9,Paramètres!$A$1:$I$89,5,0)</f>
        <v>328.02119999999991</v>
      </c>
      <c r="P44" s="13">
        <f t="shared" si="33"/>
        <v>77.019907950957702</v>
      </c>
      <c r="Q44" s="20">
        <f t="shared" si="53"/>
        <v>705.44659634791776</v>
      </c>
      <c r="R44" s="59">
        <f t="shared" si="0"/>
        <v>971.49423700056514</v>
      </c>
      <c r="S44" s="59">
        <f ca="1">AVERAGE(OFFSET($R$3,0,0,'Données projet'!$E$9+1,1))-AVERAGE(OFFSET($H$3,0,0,'Données projet'!$E$9+1,1))</f>
        <v>542.23071537860039</v>
      </c>
      <c r="T44" s="59">
        <f t="shared" si="34"/>
        <v>667.26143680054633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5.9042662249760189</v>
      </c>
      <c r="AA44" s="21">
        <f>EXP(-LN(2)/25)*AA43+(1-EXP(-LN(2)/25))/(LN(2)/25)*Calculateur!V44*Calculateur!X44*VLOOKUP('Données projet'!$B$9,Paramètres!$A$1:$I$89,3,0)*0.475*44/12</f>
        <v>31.410944755517477</v>
      </c>
      <c r="AB44" s="21">
        <f>EXP(-LN(2)/2)*AB43+(1-EXP(-LN(2)/2))/(LN(2)/2)*V44*Y44*VLOOKUP('Données projet'!$B$9,Paramètres!$A$1:$I$89,3,0)*0.475*44/12</f>
        <v>0.31859486582210073</v>
      </c>
      <c r="AC44" s="22">
        <f t="shared" si="3"/>
        <v>37.633805846315596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22.8</v>
      </c>
      <c r="AI44" s="13">
        <f>IF('Données projet'!$A$62&gt;35,AI43+AH44-AQ43,IF(A44&lt;'Données projet'!$A$62,$AF$205^A44,IF(A44='Données projet'!$A$62,'Données projet'!$B$62,AI43+AH44-AQ43)))</f>
        <v>514.80000000000018</v>
      </c>
      <c r="AJ44" s="13">
        <f>AI44*VLOOKUP('Données projet'!$B$10,Paramètres!$A$1:$I$89,3,0)*VLOOKUP('Données projet'!$B$10,Paramètres!$A$1:$I$89,5,0)</f>
        <v>287.77320000000009</v>
      </c>
      <c r="AK44" s="13">
        <f t="shared" si="35"/>
        <v>68.607082381743922</v>
      </c>
      <c r="AL44" s="20">
        <f t="shared" si="4"/>
        <v>620.69565848153741</v>
      </c>
      <c r="AM44" s="59">
        <f t="shared" si="5"/>
        <v>886.74329913418478</v>
      </c>
      <c r="AN44" s="59">
        <f ca="1">AVERAGE(OFFSET($AM$3,0,0,'Données projet'!$E$10+1,1))-AVERAGE(OFFSET($H$3,0,0,'Données projet'!$E$10+1,1))</f>
        <v>427.83834708696861</v>
      </c>
      <c r="AO44" s="59">
        <f t="shared" si="36"/>
        <v>545.63950537101903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3.5425597349856117</v>
      </c>
      <c r="AV44" s="21">
        <f>EXP(-LN(2)/25)*AV43+(1-EXP(-LN(2)/25))/(LN(2)/25)*Calculateur!AQ44*Calculateur!AS44*VLOOKUP('Données projet'!$B$10,Paramètres!$A$1:$I$89,3,0)*0.475*44/12</f>
        <v>18.148918901438218</v>
      </c>
      <c r="AW44" s="21">
        <f>EXP(-LN(2)/2)*AW43+(1-EXP(-LN(2)/2))/(LN(2)/2)*AQ44*AT44*VLOOKUP('Données projet'!$B$10,Paramètres!$A$1:$I$89,3,0)*0.475*44/12</f>
        <v>0.20444736497662877</v>
      </c>
      <c r="AX44" s="21">
        <f t="shared" si="6"/>
        <v>21.895926001400461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</v>
      </c>
      <c r="BD44" s="12">
        <f>IF('Données projet'!$A$88&gt;35,BD43+BC44-BL43,IF(A44&lt;'Données projet'!$A$88,$BA$205^A44,IF(A44='Données projet'!$A$88,'Données projet'!$B$88,BD43+BC44-BL43)))</f>
        <v>129.99999999999994</v>
      </c>
      <c r="BE44" s="13">
        <f>BD44*VLOOKUP('Données projet'!$B$11,Paramètres!$A$1:$I$89,3,0)*VLOOKUP('Données projet'!$B$11,Paramètres!$A$1:$I$89,5,0)</f>
        <v>60.839999999999968</v>
      </c>
      <c r="BF44" s="13">
        <f t="shared" si="37"/>
        <v>17.38047521653144</v>
      </c>
      <c r="BG44" s="20">
        <f t="shared" si="7"/>
        <v>136.23399433545885</v>
      </c>
      <c r="BH44" s="59">
        <f t="shared" si="8"/>
        <v>402.28163498810625</v>
      </c>
      <c r="BI44" s="59">
        <f ca="1">AVERAGE(OFFSET($BH$3,0,0,'Données projet'!$E$11+1,1))-AVERAGE(OFFSET($H$3,0,0,'Données projet'!$E$11+1,1))</f>
        <v>210.62109466714364</v>
      </c>
      <c r="BJ44" s="59">
        <f t="shared" si="38"/>
        <v>193.35729443770401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5.2498341427685915</v>
      </c>
      <c r="BQ44" s="21">
        <f>EXP(-LN(2)/25)*BQ43+(1-EXP(-LN(2)/25))/(LN(2)/25)*Calculateur!BL44*Calculateur!BN44*VLOOKUP('Données projet'!$B$11,Paramètres!$A$1:$I$89,3,0)*0.475*44/12</f>
        <v>5.9061293674377389</v>
      </c>
      <c r="BR44" s="21">
        <f>EXP(-LN(2)/2)*BR43+(1-EXP(-LN(2)/2))/(LN(2)/2)*BL44*BO44*VLOOKUP('Données projet'!$B$11,Paramètres!$A$1:$I$89,3,0)*0.475*44/12</f>
        <v>0.1749201174732197</v>
      </c>
      <c r="BS44" s="22">
        <f t="shared" si="9"/>
        <v>11.330883627679549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19</v>
      </c>
      <c r="BY44" s="12">
        <f>IF('Données projet'!$A$114&gt;35,BY43+BX44-CG43,IF(A44&lt;'Données projet'!$A$114,$BV$205^A44,IF(A44='Données projet'!$A$114,'Données projet'!$B$114,BY43+BX44-CG43)))</f>
        <v>242.00000000000006</v>
      </c>
      <c r="BZ44" s="13">
        <f>BY44*VLOOKUP('Données projet'!$B$12,Paramètres!$A$1:$I$89,3,0)*VLOOKUP('Données projet'!$B$12,Paramètres!$A$1:$I$89,5,0)</f>
        <v>144.71600000000007</v>
      </c>
      <c r="CA44" s="13">
        <f t="shared" si="39"/>
        <v>37.375282885096105</v>
      </c>
      <c r="CB44" s="20">
        <f t="shared" si="10"/>
        <v>317.14231769154247</v>
      </c>
      <c r="CC44" s="59">
        <f t="shared" si="11"/>
        <v>583.18995834418979</v>
      </c>
      <c r="CD44" s="59">
        <f ca="1">AVERAGE(OFFSET($CC$3,0,0,'Données projet'!$E$12+1,1))-AVERAGE(OFFSET($H$3,0,0,'Données projet'!$E$12+1,1))</f>
        <v>368.16165268258442</v>
      </c>
      <c r="CE44" s="59">
        <f t="shared" si="40"/>
        <v>291.32219253157041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6.0148305904457793</v>
      </c>
      <c r="CL44" s="21">
        <f>EXP(-LN(2)/25)*CL43+(1-EXP(-LN(2)/25))/(LN(2)/25)*Calculateur!CG44*Calculateur!CI44*VLOOKUP('Données projet'!$B$12,Paramètres!$A$1:$I$89,3,0)*0.475*44/12</f>
        <v>4.8969537686699898</v>
      </c>
      <c r="CM44" s="21">
        <f>EXP(-LN(2)/2)*CM43+(1-EXP(-LN(2)/2))/(LN(2)/2)*CG44*CJ44*VLOOKUP('Données projet'!$B$12,Paramètres!$A$1:$I$89,3,0)*0.475*44/12</f>
        <v>0.17507154056485777</v>
      </c>
      <c r="CN44" s="22">
        <f t="shared" si="12"/>
        <v>11.086855899680627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</v>
      </c>
      <c r="CT44" s="12">
        <f>IF('Données projet'!$A$140&gt;35,CT43+CS44-DB43,IF(A44&lt;'Données projet'!$A$140,$CQ$205^A44,IF(A44='Données projet'!$A$140,'Données projet'!$B$140,CT43+CS44-DB43)))</f>
        <v>310.00000000000011</v>
      </c>
      <c r="CU44" s="17">
        <f>CT44*VLOOKUP('Données projet'!$B$13,Paramètres!$A$1:$I$89,3,0)*VLOOKUP('Données projet'!$B$13,Paramètres!$A$1:$I$89,5,0)</f>
        <v>185.38000000000008</v>
      </c>
      <c r="CV44" s="13">
        <f t="shared" si="41"/>
        <v>46.517077709312211</v>
      </c>
      <c r="CW44" s="20">
        <f t="shared" si="13"/>
        <v>403.88741034371895</v>
      </c>
      <c r="CX44" s="59">
        <f t="shared" si="14"/>
        <v>669.93505099636627</v>
      </c>
      <c r="CY44" s="59">
        <f ca="1">AVERAGE(OFFSET($CX$3,0,0,'Données projet'!$E$13+1,1))-AVERAGE(OFFSET($H$3,0,0,'Données projet'!$E$13+1,1))</f>
        <v>317.12995176362455</v>
      </c>
      <c r="CZ44" s="59">
        <f t="shared" si="42"/>
        <v>328.11301015275262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14.520296632138171</v>
      </c>
      <c r="DG44" s="21">
        <f>EXP(-LN(2)/25)*DG43+(1-EXP(-LN(2)/25))/(LN(2)/25)*Calculateur!DB44*Calculateur!DD44*VLOOKUP('Données projet'!$B$13,Paramètres!$A$1:$I$89,3,0)*0.475*44/12</f>
        <v>11.887045333283991</v>
      </c>
      <c r="DH44" s="21">
        <f>EXP(-LN(2)/2)*DH43+(1-EXP(-LN(2)/2))/(LN(2)/2)*DB44*DE44*VLOOKUP('Données projet'!$B$13,Paramètres!$A$1:$I$89,3,0)*0.475*44/12</f>
        <v>0.1268678542639935</v>
      </c>
      <c r="DI44" s="22">
        <f t="shared" si="15"/>
        <v>26.534209819686154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8.6</v>
      </c>
      <c r="DO44" s="12">
        <f>IF('Données projet'!$A$166&gt;35,DO43+DN44-DW43,IF(A44&lt;'Données projet'!$A$166,$DL$205^A44,IF(A44='Données projet'!$A$166,'Données projet'!$B$166,DO43+DN44-DW43)))</f>
        <v>166.59999999999994</v>
      </c>
      <c r="DP44" s="17">
        <f>DO44*VLOOKUP('Données projet'!$B$14,Paramètres!$A$1:$I$89,3,0)*VLOOKUP('Données projet'!$B$14,Paramètres!$A$1:$I$89,5,0)</f>
        <v>145.54175999999998</v>
      </c>
      <c r="DQ44" s="13">
        <f t="shared" si="43"/>
        <v>37.563662342876064</v>
      </c>
      <c r="DR44" s="20">
        <f t="shared" si="16"/>
        <v>318.90861058050911</v>
      </c>
      <c r="DS44" s="59">
        <f t="shared" si="17"/>
        <v>584.95625123315654</v>
      </c>
      <c r="DT44" s="59">
        <f ca="1">AVERAGE(OFFSET($DS$3,0,0,'Données projet'!$E$14+1,1))-AVERAGE(OFFSET($H$3,0,0,'Données projet'!$E$14+1,1))</f>
        <v>325.5873213944476</v>
      </c>
      <c r="DU44" s="59">
        <f t="shared" si="44"/>
        <v>347.9042278368363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2.3549430828672233</v>
      </c>
      <c r="EB44" s="21">
        <f>EXP(-LN(2)/25)*EB43+(1-EXP(-LN(2)/25))/(LN(2)/25)*Calculateur!DW44*Calculateur!DY44*VLOOKUP('Données projet'!$B$14,Paramètres!$A$1:$I$89,3,0)*0.475*44/12</f>
        <v>6.5039964263559984</v>
      </c>
      <c r="EC44" s="21">
        <f>EXP(-LN(2)/2)*EC43+(1-EXP(-LN(2)/2))/(LN(2)/2)*DW44*DZ44*VLOOKUP('Données projet'!$B$14,Paramètres!$A$1:$I$89,3,0)*0.475*44/12</f>
        <v>0.26405622518504396</v>
      </c>
      <c r="ED44" s="22">
        <f t="shared" si="18"/>
        <v>9.1229957344082653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7.333333333333333</v>
      </c>
      <c r="EJ44" s="12">
        <f>IF('Données projet'!$A$192&gt;35,EJ43+EI44-ER43,IF(A44&lt;'Données projet'!$A$192,$EG$205^A44,IF(A44='Données projet'!$A$192,'Données projet'!$B$192,EJ43+EI44-ER43)))</f>
        <v>191.33333333333329</v>
      </c>
      <c r="EK44" s="17">
        <f>EJ44*VLOOKUP('Données projet'!$B$15,Paramètres!$A$1:$I$89,3,0)*VLOOKUP('Données projet'!$B$15,Paramètres!$A$1:$I$89,5,0)</f>
        <v>114.41733333333332</v>
      </c>
      <c r="EL44" s="13">
        <f t="shared" si="45"/>
        <v>30.36934592669316</v>
      </c>
      <c r="EM44" s="20">
        <f t="shared" si="19"/>
        <v>252.17013304454611</v>
      </c>
      <c r="EN44" s="59">
        <f t="shared" si="20"/>
        <v>518.21777369719348</v>
      </c>
      <c r="EO44" s="59">
        <f ca="1">AVERAGE(OFFSET($EN$3,0,0,'Données projet'!$E$15+1,1))-AVERAGE(OFFSET($H$3,0,0,'Données projet'!$E$15+1,1))</f>
        <v>205.5480000480477</v>
      </c>
      <c r="EP44" s="59">
        <f t="shared" si="46"/>
        <v>229.86812144828366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5.915518533379152</v>
      </c>
      <c r="EW44" s="21">
        <f>EXP(-LN(2)/25)*EW43+(1-EXP(-LN(2)/25))/(LN(2)/25)*Calculateur!ER44*Calculateur!ET44*VLOOKUP('Données projet'!$B$15,Paramètres!$A$1:$I$89,3,0)*0.475*44/12</f>
        <v>4.4394209934234325</v>
      </c>
      <c r="EX44" s="21">
        <f>EXP(-LN(2)/2)*EX43+(1-EXP(-LN(2)/2))/(LN(2)/2)*ER44*EU44*VLOOKUP('Données projet'!$B$15,Paramètres!$A$1:$I$89,3,0)*0.475*44/12</f>
        <v>6.5362542937557749E-2</v>
      </c>
      <c r="EY44" s="22">
        <f t="shared" si="21"/>
        <v>10.420302069740144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3.05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7.3382399999999928</v>
      </c>
      <c r="D45" s="11">
        <f t="shared" si="32"/>
        <v>2.6815696263428586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32.355354305071465</v>
      </c>
      <c r="H45" s="67">
        <f t="shared" si="1"/>
        <v>229.38450176588043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24.8</v>
      </c>
      <c r="N45" s="13">
        <f>IF('Données projet'!$A$36&gt;35,N44+M45-V44,IF(A45&lt;'Données projet'!$A$36,$K$205^A45,IF(A45='Données projet'!$A$36,'Données projet'!$B$36,N44+M45-V44)))</f>
        <v>611.5999999999998</v>
      </c>
      <c r="O45" s="13">
        <f>N45*VLOOKUP('Données projet'!$B$9,Paramètres!$A$1:$I$89,3,0)*VLOOKUP('Données projet'!$B$9,Paramètres!$A$1:$I$89,5,0)</f>
        <v>341.88439999999986</v>
      </c>
      <c r="P45" s="13">
        <f t="shared" si="33"/>
        <v>79.889150066970018</v>
      </c>
      <c r="Q45" s="20">
        <f t="shared" si="53"/>
        <v>734.58893303330581</v>
      </c>
      <c r="R45" s="59">
        <f t="shared" si="0"/>
        <v>1001.109919452293</v>
      </c>
      <c r="S45" s="59">
        <f ca="1">AVERAGE(OFFSET($R$3,0,0,'Données projet'!$E$9+1,1))-AVERAGE(OFFSET($H$3,0,0,'Données projet'!$E$9+1,1))</f>
        <v>542.23071537860039</v>
      </c>
      <c r="T45" s="59">
        <f t="shared" si="34"/>
        <v>667.26143680054633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5.788487165551043</v>
      </c>
      <c r="AA45" s="21">
        <f>EXP(-LN(2)/25)*AA44+(1-EXP(-LN(2)/25))/(LN(2)/25)*Calculateur!V45*Calculateur!X45*VLOOKUP('Données projet'!$B$9,Paramètres!$A$1:$I$89,3,0)*0.475*44/12</f>
        <v>30.552010819348059</v>
      </c>
      <c r="AB45" s="21">
        <f>EXP(-LN(2)/2)*AB44+(1-EXP(-LN(2)/2))/(LN(2)/2)*V45*Y45*VLOOKUP('Données projet'!$B$9,Paramètres!$A$1:$I$89,3,0)*0.475*44/12</f>
        <v>0.22528059007402565</v>
      </c>
      <c r="AC45" s="22">
        <f t="shared" si="3"/>
        <v>36.56577857497313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22.8</v>
      </c>
      <c r="AI45" s="13">
        <f>IF('Données projet'!$A$62&gt;35,AI44+AH45-AQ44,IF(A45&lt;'Données projet'!$A$62,$AF$205^A45,IF(A45='Données projet'!$A$62,'Données projet'!$B$62,AI44+AH45-AQ44)))</f>
        <v>537.60000000000014</v>
      </c>
      <c r="AJ45" s="13">
        <f>AI45*VLOOKUP('Données projet'!$B$10,Paramètres!$A$1:$I$89,3,0)*VLOOKUP('Données projet'!$B$10,Paramètres!$A$1:$I$89,5,0)</f>
        <v>300.5184000000001</v>
      </c>
      <c r="AK45" s="13">
        <f t="shared" si="35"/>
        <v>71.285129105116411</v>
      </c>
      <c r="AL45" s="20">
        <f t="shared" si="4"/>
        <v>647.55781319141124</v>
      </c>
      <c r="AM45" s="59">
        <f t="shared" si="5"/>
        <v>914.07879961039839</v>
      </c>
      <c r="AN45" s="59">
        <f ca="1">AVERAGE(OFFSET($AM$3,0,0,'Données projet'!$E$10+1,1))-AVERAGE(OFFSET($H$3,0,0,'Données projet'!$E$10+1,1))</f>
        <v>427.83834708696861</v>
      </c>
      <c r="AO45" s="59">
        <f t="shared" si="36"/>
        <v>545.63950537101903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3.4730922993306259</v>
      </c>
      <c r="AV45" s="21">
        <f>EXP(-LN(2)/25)*AV44+(1-EXP(-LN(2)/25))/(LN(2)/25)*Calculateur!AQ45*Calculateur!AS45*VLOOKUP('Données projet'!$B$10,Paramètres!$A$1:$I$89,3,0)*0.475*44/12</f>
        <v>17.652635759668225</v>
      </c>
      <c r="AW45" s="21">
        <f>EXP(-LN(2)/2)*AW44+(1-EXP(-LN(2)/2))/(LN(2)/2)*AQ45*AT45*VLOOKUP('Données projet'!$B$10,Paramètres!$A$1:$I$89,3,0)*0.475*44/12</f>
        <v>0.14456611817069526</v>
      </c>
      <c r="AX45" s="21">
        <f t="shared" si="6"/>
        <v>21.270294177169546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</v>
      </c>
      <c r="BD45" s="12">
        <f>IF('Données projet'!$A$88&gt;35,BD44+BC45-BL44,IF(A45&lt;'Données projet'!$A$88,$BA$205^A45,IF(A45='Données projet'!$A$88,'Données projet'!$B$88,BD44+BC45-BL44)))</f>
        <v>136.99999999999994</v>
      </c>
      <c r="BE45" s="13">
        <f>BD45*VLOOKUP('Données projet'!$B$11,Paramètres!$A$1:$I$89,3,0)*VLOOKUP('Données projet'!$B$11,Paramètres!$A$1:$I$89,5,0)</f>
        <v>64.115999999999971</v>
      </c>
      <c r="BF45" s="13">
        <f t="shared" si="37"/>
        <v>18.204870493705258</v>
      </c>
      <c r="BG45" s="20">
        <f t="shared" si="7"/>
        <v>143.37551610986995</v>
      </c>
      <c r="BH45" s="59">
        <f t="shared" si="8"/>
        <v>409.89650252885713</v>
      </c>
      <c r="BI45" s="59">
        <f ca="1">AVERAGE(OFFSET($BH$3,0,0,'Données projet'!$E$11+1,1))-AVERAGE(OFFSET($H$3,0,0,'Données projet'!$E$11+1,1))</f>
        <v>210.62109466714364</v>
      </c>
      <c r="BJ45" s="59">
        <f t="shared" si="38"/>
        <v>193.35729443770401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5.146888097311547</v>
      </c>
      <c r="BQ45" s="21">
        <f>EXP(-LN(2)/25)*BQ44+(1-EXP(-LN(2)/25))/(LN(2)/25)*Calculateur!BL45*Calculateur!BN45*VLOOKUP('Données projet'!$B$11,Paramètres!$A$1:$I$89,3,0)*0.475*44/12</f>
        <v>5.7446259492953091</v>
      </c>
      <c r="BR45" s="21">
        <f>EXP(-LN(2)/2)*BR44+(1-EXP(-LN(2)/2))/(LN(2)/2)*BL45*BO45*VLOOKUP('Données projet'!$B$11,Paramètres!$A$1:$I$89,3,0)*0.475*44/12</f>
        <v>0.12368720123126116</v>
      </c>
      <c r="BS45" s="22">
        <f t="shared" si="9"/>
        <v>11.015201247838117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19</v>
      </c>
      <c r="BY45" s="12">
        <f>IF('Données projet'!$A$114&gt;35,BY44+BX45-CG44,IF(A45&lt;'Données projet'!$A$114,$BV$205^A45,IF(A45='Données projet'!$A$114,'Données projet'!$B$114,BY44+BX45-CG44)))</f>
        <v>261.00000000000006</v>
      </c>
      <c r="BZ45" s="13">
        <f>BY45*VLOOKUP('Données projet'!$B$12,Paramètres!$A$1:$I$89,3,0)*VLOOKUP('Données projet'!$B$12,Paramètres!$A$1:$I$89,5,0)</f>
        <v>156.07800000000003</v>
      </c>
      <c r="CA45" s="13">
        <f t="shared" si="39"/>
        <v>39.956623674978466</v>
      </c>
      <c r="CB45" s="20">
        <f t="shared" si="10"/>
        <v>341.42696956725422</v>
      </c>
      <c r="CC45" s="59">
        <f t="shared" si="11"/>
        <v>607.94795598624137</v>
      </c>
      <c r="CD45" s="59">
        <f ca="1">AVERAGE(OFFSET($CC$3,0,0,'Données projet'!$E$12+1,1))-AVERAGE(OFFSET($H$3,0,0,'Données projet'!$E$12+1,1))</f>
        <v>368.16165268258442</v>
      </c>
      <c r="CE45" s="59">
        <f t="shared" si="40"/>
        <v>291.32219253157041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5.8968834312515455</v>
      </c>
      <c r="CL45" s="21">
        <f>EXP(-LN(2)/25)*CL44+(1-EXP(-LN(2)/25))/(LN(2)/25)*Calculateur!CG45*Calculateur!CI45*VLOOKUP('Données projet'!$B$12,Paramètres!$A$1:$I$89,3,0)*0.475*44/12</f>
        <v>4.7630463103461027</v>
      </c>
      <c r="CM45" s="21">
        <f>EXP(-LN(2)/2)*CM44+(1-EXP(-LN(2)/2))/(LN(2)/2)*CG45*CJ45*VLOOKUP('Données projet'!$B$12,Paramètres!$A$1:$I$89,3,0)*0.475*44/12</f>
        <v>0.12379427352618667</v>
      </c>
      <c r="CN45" s="22">
        <f t="shared" si="12"/>
        <v>10.783724015123834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</v>
      </c>
      <c r="CT45" s="12">
        <f>IF('Données projet'!$A$140&gt;35,CT44+CS45-DB44,IF(A45&lt;'Données projet'!$A$140,$CQ$205^A45,IF(A45='Données projet'!$A$140,'Données projet'!$B$140,CT44+CS45-DB44)))</f>
        <v>321.00000000000011</v>
      </c>
      <c r="CU45" s="17">
        <f>CT45*VLOOKUP('Données projet'!$B$13,Paramètres!$A$1:$I$89,3,0)*VLOOKUP('Données projet'!$B$13,Paramètres!$A$1:$I$89,5,0)</f>
        <v>191.95800000000008</v>
      </c>
      <c r="CV45" s="13">
        <f t="shared" si="41"/>
        <v>47.972580210954611</v>
      </c>
      <c r="CW45" s="20">
        <f t="shared" si="13"/>
        <v>417.87909386741279</v>
      </c>
      <c r="CX45" s="59">
        <f t="shared" si="14"/>
        <v>684.4000802864</v>
      </c>
      <c r="CY45" s="59">
        <f ca="1">AVERAGE(OFFSET($CX$3,0,0,'Données projet'!$E$13+1,1))-AVERAGE(OFFSET($H$3,0,0,'Données projet'!$E$13+1,1))</f>
        <v>317.12995176362455</v>
      </c>
      <c r="CZ45" s="59">
        <f t="shared" si="42"/>
        <v>328.11301015275262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14.235562471688381</v>
      </c>
      <c r="DG45" s="21">
        <f>EXP(-LN(2)/25)*DG44+(1-EXP(-LN(2)/25))/(LN(2)/25)*Calculateur!DB45*Calculateur!DD45*VLOOKUP('Données projet'!$B$13,Paramètres!$A$1:$I$89,3,0)*0.475*44/12</f>
        <v>11.561993453532795</v>
      </c>
      <c r="DH45" s="21">
        <f>EXP(-LN(2)/2)*DH44+(1-EXP(-LN(2)/2))/(LN(2)/2)*DB45*DE45*VLOOKUP('Données projet'!$B$13,Paramètres!$A$1:$I$89,3,0)*0.475*44/12</f>
        <v>8.970912006465645E-2</v>
      </c>
      <c r="DI45" s="22">
        <f t="shared" si="15"/>
        <v>25.887265045285833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8.6</v>
      </c>
      <c r="DO45" s="12">
        <f>IF('Données projet'!$A$166&gt;35,DO44+DN45-DW44,IF(A45&lt;'Données projet'!$A$166,$DL$205^A45,IF(A45='Données projet'!$A$166,'Données projet'!$B$166,DO44+DN45-DW44)))</f>
        <v>175.19999999999993</v>
      </c>
      <c r="DP45" s="17">
        <f>DO45*VLOOKUP('Données projet'!$B$14,Paramètres!$A$1:$I$89,3,0)*VLOOKUP('Données projet'!$B$14,Paramètres!$A$1:$I$89,5,0)</f>
        <v>153.05471999999995</v>
      </c>
      <c r="DQ45" s="13">
        <f t="shared" si="43"/>
        <v>39.271965088385166</v>
      </c>
      <c r="DR45" s="20">
        <f t="shared" si="16"/>
        <v>334.96897652893739</v>
      </c>
      <c r="DS45" s="59">
        <f t="shared" si="17"/>
        <v>601.4899629479246</v>
      </c>
      <c r="DT45" s="59">
        <f ca="1">AVERAGE(OFFSET($DS$3,0,0,'Données projet'!$E$14+1,1))-AVERAGE(OFFSET($H$3,0,0,'Données projet'!$E$14+1,1))</f>
        <v>325.5873213944476</v>
      </c>
      <c r="DU45" s="59">
        <f t="shared" si="44"/>
        <v>347.9042278368363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2.3087640853856475</v>
      </c>
      <c r="EB45" s="21">
        <f>EXP(-LN(2)/25)*EB44+(1-EXP(-LN(2)/25))/(LN(2)/25)*Calculateur!DW45*Calculateur!DY45*VLOOKUP('Données projet'!$B$14,Paramètres!$A$1:$I$89,3,0)*0.475*44/12</f>
        <v>6.3261443020469867</v>
      </c>
      <c r="EC45" s="21">
        <f>EXP(-LN(2)/2)*EC44+(1-EXP(-LN(2)/2))/(LN(2)/2)*DW45*DZ45*VLOOKUP('Données projet'!$B$14,Paramètres!$A$1:$I$89,3,0)*0.475*44/12</f>
        <v>0.1867159474428666</v>
      </c>
      <c r="ED45" s="22">
        <f t="shared" si="18"/>
        <v>8.8216243348755015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7.333333333333333</v>
      </c>
      <c r="EJ45" s="12">
        <f>IF('Données projet'!$A$192&gt;35,EJ44+EI45-ER44,IF(A45&lt;'Données projet'!$A$192,$EG$205^A45,IF(A45='Données projet'!$A$192,'Données projet'!$B$192,EJ44+EI45-ER44)))</f>
        <v>198.66666666666663</v>
      </c>
      <c r="EK45" s="17">
        <f>EJ45*VLOOKUP('Données projet'!$B$15,Paramètres!$A$1:$I$89,3,0)*VLOOKUP('Données projet'!$B$15,Paramètres!$A$1:$I$89,5,0)</f>
        <v>118.80266666666665</v>
      </c>
      <c r="EL45" s="13">
        <f t="shared" si="45"/>
        <v>31.395578184054404</v>
      </c>
      <c r="EM45" s="20">
        <f t="shared" si="19"/>
        <v>261.59527644833923</v>
      </c>
      <c r="EN45" s="59">
        <f t="shared" si="20"/>
        <v>528.11626286732644</v>
      </c>
      <c r="EO45" s="59">
        <f ca="1">AVERAGE(OFFSET($EN$3,0,0,'Données projet'!$E$15+1,1))-AVERAGE(OFFSET($H$3,0,0,'Données projet'!$E$15+1,1))</f>
        <v>205.5480000480477</v>
      </c>
      <c r="EP45" s="59">
        <f t="shared" si="46"/>
        <v>229.86812144828366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5.7995188230496213</v>
      </c>
      <c r="EW45" s="21">
        <f>EXP(-LN(2)/25)*EW44+(1-EXP(-LN(2)/25))/(LN(2)/25)*Calculateur!ER45*Calculateur!ET45*VLOOKUP('Données projet'!$B$15,Paramètres!$A$1:$I$89,3,0)*0.475*44/12</f>
        <v>4.3180247928992648</v>
      </c>
      <c r="EX45" s="21">
        <f>EXP(-LN(2)/2)*EX44+(1-EXP(-LN(2)/2))/(LN(2)/2)*ER45*EU45*VLOOKUP('Données projet'!$B$15,Paramètres!$A$1:$I$89,3,0)*0.475*44/12</f>
        <v>4.6218297346743965E-2</v>
      </c>
      <c r="EY45" s="22">
        <f t="shared" si="21"/>
        <v>10.16376191329563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3.05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7.5129599999999925</v>
      </c>
      <c r="D46" s="11">
        <f t="shared" si="32"/>
        <v>2.7379072523545944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32.926107177746069</v>
      </c>
      <c r="H46" s="67">
        <f t="shared" si="1"/>
        <v>229.7869271311842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24.8</v>
      </c>
      <c r="N46" s="13">
        <f>IF('Données projet'!$A$36&gt;35,N45+M46-V45,IF(A46&lt;'Données projet'!$A$36,$K$205^A46,IF(A46='Données projet'!$A$36,'Données projet'!$B$36,N45+M46-V45)))</f>
        <v>636.39999999999975</v>
      </c>
      <c r="O46" s="13">
        <f>N46*VLOOKUP('Données projet'!$B$9,Paramètres!$A$1:$I$89,3,0)*VLOOKUP('Données projet'!$B$9,Paramètres!$A$1:$I$89,5,0)</f>
        <v>355.74759999999986</v>
      </c>
      <c r="P46" s="13">
        <f t="shared" si="33"/>
        <v>82.744877508992289</v>
      </c>
      <c r="Q46" s="20">
        <f t="shared" si="53"/>
        <v>763.70773166149456</v>
      </c>
      <c r="R46" s="59">
        <f t="shared" si="0"/>
        <v>1030.6938523560182</v>
      </c>
      <c r="S46" s="59">
        <f ca="1">AVERAGE(OFFSET($R$3,0,0,'Données projet'!$E$9+1,1))-AVERAGE(OFFSET($H$3,0,0,'Données projet'!$E$9+1,1))</f>
        <v>542.23071537860039</v>
      </c>
      <c r="T46" s="59">
        <f t="shared" si="34"/>
        <v>667.26143680054633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5.6749784628631375</v>
      </c>
      <c r="AA46" s="21">
        <f>EXP(-LN(2)/25)*AA45+(1-EXP(-LN(2)/25))/(LN(2)/25)*Calculateur!V46*Calculateur!X46*VLOOKUP('Données projet'!$B$9,Paramètres!$A$1:$I$89,3,0)*0.475*44/12</f>
        <v>29.716564476832566</v>
      </c>
      <c r="AB46" s="21">
        <f>EXP(-LN(2)/2)*AB45+(1-EXP(-LN(2)/2))/(LN(2)/2)*V46*Y46*VLOOKUP('Données projet'!$B$9,Paramètres!$A$1:$I$89,3,0)*0.475*44/12</f>
        <v>0.15929743291105036</v>
      </c>
      <c r="AC46" s="22">
        <f t="shared" si="3"/>
        <v>35.550840372606757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22.8</v>
      </c>
      <c r="AI46" s="13">
        <f>IF('Données projet'!$A$62&gt;35,AI45+AH46-AQ45,IF(A46&lt;'Données projet'!$A$62,$AF$205^A46,IF(A46='Données projet'!$A$62,'Données projet'!$B$62,AI45+AH46-AQ45)))</f>
        <v>560.40000000000009</v>
      </c>
      <c r="AJ46" s="13">
        <f>AI46*VLOOKUP('Données projet'!$B$10,Paramètres!$A$1:$I$89,3,0)*VLOOKUP('Données projet'!$B$10,Paramètres!$A$1:$I$89,5,0)</f>
        <v>313.26360000000005</v>
      </c>
      <c r="AK46" s="13">
        <f t="shared" si="35"/>
        <v>73.949983766039026</v>
      </c>
      <c r="AL46" s="20">
        <f t="shared" si="4"/>
        <v>674.39699172585131</v>
      </c>
      <c r="AM46" s="59">
        <f t="shared" si="5"/>
        <v>941.3831124203748</v>
      </c>
      <c r="AN46" s="59">
        <f ca="1">AVERAGE(OFFSET($AM$3,0,0,'Données projet'!$E$10+1,1))-AVERAGE(OFFSET($H$3,0,0,'Données projet'!$E$10+1,1))</f>
        <v>427.83834708696861</v>
      </c>
      <c r="AO46" s="59">
        <f t="shared" si="36"/>
        <v>545.63950537101903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3.4049870777178826</v>
      </c>
      <c r="AV46" s="21">
        <f>EXP(-LN(2)/25)*AV45+(1-EXP(-LN(2)/25))/(LN(2)/25)*Calculateur!AQ46*Calculateur!AS46*VLOOKUP('Données projet'!$B$10,Paramètres!$A$1:$I$89,3,0)*0.475*44/12</f>
        <v>17.169923506508329</v>
      </c>
      <c r="AW46" s="21">
        <f>EXP(-LN(2)/2)*AW45+(1-EXP(-LN(2)/2))/(LN(2)/2)*AQ46*AT46*VLOOKUP('Données projet'!$B$10,Paramètres!$A$1:$I$89,3,0)*0.475*44/12</f>
        <v>0.10222368248831439</v>
      </c>
      <c r="AX46" s="21">
        <f t="shared" si="6"/>
        <v>20.677134266714528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</v>
      </c>
      <c r="BD46" s="12">
        <f>IF('Données projet'!$A$88&gt;35,BD45+BC46-BL45,IF(A46&lt;'Données projet'!$A$88,$BA$205^A46,IF(A46='Données projet'!$A$88,'Données projet'!$B$88,BD45+BC46-BL45)))</f>
        <v>143.99999999999994</v>
      </c>
      <c r="BE46" s="13">
        <f>BD46*VLOOKUP('Données projet'!$B$11,Paramètres!$A$1:$I$89,3,0)*VLOOKUP('Données projet'!$B$11,Paramètres!$A$1:$I$89,5,0)</f>
        <v>67.391999999999967</v>
      </c>
      <c r="BF46" s="13">
        <f t="shared" si="37"/>
        <v>19.02437502991798</v>
      </c>
      <c r="BG46" s="20">
        <f t="shared" si="7"/>
        <v>150.50851984377374</v>
      </c>
      <c r="BH46" s="59">
        <f t="shared" si="8"/>
        <v>417.49464053829729</v>
      </c>
      <c r="BI46" s="59">
        <f ca="1">AVERAGE(OFFSET($BH$3,0,0,'Données projet'!$E$11+1,1))-AVERAGE(OFFSET($H$3,0,0,'Données projet'!$E$11+1,1))</f>
        <v>210.62109466714364</v>
      </c>
      <c r="BJ46" s="59">
        <f t="shared" si="38"/>
        <v>193.35729443770401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5.0459607610150279</v>
      </c>
      <c r="BQ46" s="21">
        <f>EXP(-LN(2)/25)*BQ45+(1-EXP(-LN(2)/25))/(LN(2)/25)*Calculateur!BL46*Calculateur!BN46*VLOOKUP('Données projet'!$B$11,Paramètres!$A$1:$I$89,3,0)*0.475*44/12</f>
        <v>5.58753885061508</v>
      </c>
      <c r="BR46" s="21">
        <f>EXP(-LN(2)/2)*BR45+(1-EXP(-LN(2)/2))/(LN(2)/2)*BL46*BO46*VLOOKUP('Données projet'!$B$11,Paramètres!$A$1:$I$89,3,0)*0.475*44/12</f>
        <v>8.7460058736609864E-2</v>
      </c>
      <c r="BS46" s="22">
        <f t="shared" si="9"/>
        <v>10.720959670366717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19</v>
      </c>
      <c r="BY46" s="12">
        <f>IF('Données projet'!$A$114&gt;35,BY45+BX46-CG45,IF(A46&lt;'Données projet'!$A$114,$BV$205^A46,IF(A46='Données projet'!$A$114,'Données projet'!$B$114,BY45+BX46-CG45)))</f>
        <v>280.00000000000006</v>
      </c>
      <c r="BZ46" s="13">
        <f>BY46*VLOOKUP('Données projet'!$B$12,Paramètres!$A$1:$I$89,3,0)*VLOOKUP('Données projet'!$B$12,Paramètres!$A$1:$I$89,5,0)</f>
        <v>167.44000000000005</v>
      </c>
      <c r="CA46" s="13">
        <f t="shared" si="39"/>
        <v>42.516163405082935</v>
      </c>
      <c r="CB46" s="20">
        <f t="shared" si="10"/>
        <v>365.67365126385283</v>
      </c>
      <c r="CC46" s="59">
        <f t="shared" si="11"/>
        <v>632.65977195837638</v>
      </c>
      <c r="CD46" s="59">
        <f ca="1">AVERAGE(OFFSET($CC$3,0,0,'Données projet'!$E$12+1,1))-AVERAGE(OFFSET($H$3,0,0,'Données projet'!$E$12+1,1))</f>
        <v>368.16165268258442</v>
      </c>
      <c r="CE46" s="59">
        <f t="shared" si="40"/>
        <v>291.32219253157041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5.7812491439084468</v>
      </c>
      <c r="CL46" s="21">
        <f>EXP(-LN(2)/25)*CL45+(1-EXP(-LN(2)/25))/(LN(2)/25)*Calculateur!CG46*Calculateur!CI46*VLOOKUP('Données projet'!$B$12,Paramètres!$A$1:$I$89,3,0)*0.475*44/12</f>
        <v>4.6328005585119696</v>
      </c>
      <c r="CM46" s="21">
        <f>EXP(-LN(2)/2)*CM45+(1-EXP(-LN(2)/2))/(LN(2)/2)*CG46*CJ46*VLOOKUP('Données projet'!$B$12,Paramètres!$A$1:$I$89,3,0)*0.475*44/12</f>
        <v>8.7535770282428899E-2</v>
      </c>
      <c r="CN46" s="22">
        <f t="shared" si="12"/>
        <v>10.501585472702846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</v>
      </c>
      <c r="CT46" s="12">
        <f>IF('Données projet'!$A$140&gt;35,CT45+CS46-DB45,IF(A46&lt;'Données projet'!$A$140,$CQ$205^A46,IF(A46='Données projet'!$A$140,'Données projet'!$B$140,CT45+CS46-DB45)))</f>
        <v>332.00000000000011</v>
      </c>
      <c r="CU46" s="17">
        <f>CT46*VLOOKUP('Données projet'!$B$13,Paramètres!$A$1:$I$89,3,0)*VLOOKUP('Données projet'!$B$13,Paramètres!$A$1:$I$89,5,0)</f>
        <v>198.53600000000009</v>
      </c>
      <c r="CV46" s="13">
        <f t="shared" si="41"/>
        <v>49.42228739122875</v>
      </c>
      <c r="CW46" s="20">
        <f t="shared" si="13"/>
        <v>431.86068387305687</v>
      </c>
      <c r="CX46" s="59">
        <f t="shared" si="14"/>
        <v>698.84680456758042</v>
      </c>
      <c r="CY46" s="59">
        <f ca="1">AVERAGE(OFFSET($CX$3,0,0,'Données projet'!$E$13+1,1))-AVERAGE(OFFSET($H$3,0,0,'Données projet'!$E$13+1,1))</f>
        <v>317.12995176362455</v>
      </c>
      <c r="CZ46" s="59">
        <f t="shared" si="42"/>
        <v>328.11301015275262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13.95641177445432</v>
      </c>
      <c r="DG46" s="21">
        <f>EXP(-LN(2)/25)*DG45+(1-EXP(-LN(2)/25))/(LN(2)/25)*Calculateur!DB46*Calculateur!DD46*VLOOKUP('Données projet'!$B$13,Paramètres!$A$1:$I$89,3,0)*0.475*44/12</f>
        <v>11.245830134527131</v>
      </c>
      <c r="DH46" s="21">
        <f>EXP(-LN(2)/2)*DH45+(1-EXP(-LN(2)/2))/(LN(2)/2)*DB46*DE46*VLOOKUP('Données projet'!$B$13,Paramètres!$A$1:$I$89,3,0)*0.475*44/12</f>
        <v>6.3433927131996748E-2</v>
      </c>
      <c r="DI46" s="22">
        <f t="shared" si="15"/>
        <v>25.265675836113445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8.6</v>
      </c>
      <c r="DO46" s="12">
        <f>IF('Données projet'!$A$166&gt;35,DO45+DN46-DW45,IF(A46&lt;'Données projet'!$A$166,$DL$205^A46,IF(A46='Données projet'!$A$166,'Données projet'!$B$166,DO45+DN46-DW45)))</f>
        <v>183.79999999999993</v>
      </c>
      <c r="DP46" s="17">
        <f>DO46*VLOOKUP('Données projet'!$B$14,Paramètres!$A$1:$I$89,3,0)*VLOOKUP('Données projet'!$B$14,Paramètres!$A$1:$I$89,5,0)</f>
        <v>160.56767999999997</v>
      </c>
      <c r="DQ46" s="13">
        <f t="shared" si="43"/>
        <v>40.970530810309882</v>
      </c>
      <c r="DR46" s="20">
        <f t="shared" si="16"/>
        <v>351.01238382795628</v>
      </c>
      <c r="DS46" s="59">
        <f t="shared" si="17"/>
        <v>617.99850452247983</v>
      </c>
      <c r="DT46" s="59">
        <f ca="1">AVERAGE(OFFSET($DS$3,0,0,'Données projet'!$E$14+1,1))-AVERAGE(OFFSET($H$3,0,0,'Données projet'!$E$14+1,1))</f>
        <v>325.5873213944476</v>
      </c>
      <c r="DU46" s="59">
        <f t="shared" si="44"/>
        <v>347.9042278368363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2.263490629878278</v>
      </c>
      <c r="EB46" s="21">
        <f>EXP(-LN(2)/25)*EB45+(1-EXP(-LN(2)/25))/(LN(2)/25)*Calculateur!DW46*Calculateur!DY46*VLOOKUP('Données projet'!$B$14,Paramètres!$A$1:$I$89,3,0)*0.475*44/12</f>
        <v>6.1531555534300413</v>
      </c>
      <c r="EC46" s="21">
        <f>EXP(-LN(2)/2)*EC45+(1-EXP(-LN(2)/2))/(LN(2)/2)*DW46*DZ46*VLOOKUP('Données projet'!$B$14,Paramètres!$A$1:$I$89,3,0)*0.475*44/12</f>
        <v>0.13202811259252198</v>
      </c>
      <c r="ED46" s="22">
        <f t="shared" si="18"/>
        <v>8.5486742959008417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7.333333333333333</v>
      </c>
      <c r="EJ46" s="12">
        <f>IF('Données projet'!$A$192&gt;35,EJ45+EI46-ER45,IF(A46&lt;'Données projet'!$A$192,$EG$205^A46,IF(A46='Données projet'!$A$192,'Données projet'!$B$192,EJ45+EI46-ER45)))</f>
        <v>205.99999999999997</v>
      </c>
      <c r="EK46" s="17">
        <f>EJ46*VLOOKUP('Données projet'!$B$15,Paramètres!$A$1:$I$89,3,0)*VLOOKUP('Données projet'!$B$15,Paramètres!$A$1:$I$89,5,0)</f>
        <v>123.18799999999999</v>
      </c>
      <c r="EL46" s="13">
        <f t="shared" si="45"/>
        <v>32.417409489939047</v>
      </c>
      <c r="EM46" s="20">
        <f t="shared" si="19"/>
        <v>271.01275486164383</v>
      </c>
      <c r="EN46" s="59">
        <f t="shared" si="20"/>
        <v>537.99887555616738</v>
      </c>
      <c r="EO46" s="59">
        <f ca="1">AVERAGE(OFFSET($EN$3,0,0,'Données projet'!$E$15+1,1))-AVERAGE(OFFSET($H$3,0,0,'Données projet'!$E$15+1,1))</f>
        <v>205.5480000480477</v>
      </c>
      <c r="EP46" s="59">
        <f t="shared" si="46"/>
        <v>229.86812144828366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5.6857937962868155</v>
      </c>
      <c r="EW46" s="21">
        <f>EXP(-LN(2)/25)*EW45+(1-EXP(-LN(2)/25))/(LN(2)/25)*Calculateur!ER46*Calculateur!ET46*VLOOKUP('Données projet'!$B$15,Paramètres!$A$1:$I$89,3,0)*0.475*44/12</f>
        <v>4.1999481778623791</v>
      </c>
      <c r="EX46" s="21">
        <f>EXP(-LN(2)/2)*EX45+(1-EXP(-LN(2)/2))/(LN(2)/2)*ER46*EU46*VLOOKUP('Données projet'!$B$15,Paramètres!$A$1:$I$89,3,0)*0.475*44/12</f>
        <v>3.2681271468778875E-2</v>
      </c>
      <c r="EY46" s="22">
        <f t="shared" si="21"/>
        <v>9.9184232456179728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3.05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7.6876799999999923</v>
      </c>
      <c r="D47" s="11">
        <f t="shared" si="32"/>
        <v>2.79409256543943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33.496483810769661</v>
      </c>
      <c r="H47" s="67">
        <f t="shared" si="1"/>
        <v>230.18908721814029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24.8</v>
      </c>
      <c r="N47" s="13">
        <f>IF('Données projet'!$A$36&gt;35,N46+M47-V46,IF(A47&lt;'Données projet'!$A$36,$K$205^A47,IF(A47='Données projet'!$A$36,'Données projet'!$B$36,N46+M47-V46)))</f>
        <v>661.1999999999997</v>
      </c>
      <c r="O47" s="13">
        <f>N47*VLOOKUP('Données projet'!$B$9,Paramètres!$A$1:$I$89,3,0)*VLOOKUP('Données projet'!$B$9,Paramètres!$A$1:$I$89,5,0)</f>
        <v>369.61079999999981</v>
      </c>
      <c r="P47" s="13">
        <f t="shared" si="33"/>
        <v>85.587677206936931</v>
      </c>
      <c r="Q47" s="20">
        <f t="shared" si="53"/>
        <v>792.80401446874805</v>
      </c>
      <c r="R47" s="59">
        <f t="shared" si="0"/>
        <v>1060.2472003990119</v>
      </c>
      <c r="S47" s="59">
        <f ca="1">AVERAGE(OFFSET($R$3,0,0,'Données projet'!$E$9+1,1))-AVERAGE(OFFSET($H$3,0,0,'Données projet'!$E$9+1,1))</f>
        <v>542.23071537860039</v>
      </c>
      <c r="T47" s="59">
        <f t="shared" si="34"/>
        <v>667.26143680054633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5.5636955966014696</v>
      </c>
      <c r="AA47" s="21">
        <f>EXP(-LN(2)/25)*AA46+(1-EXP(-LN(2)/25))/(LN(2)/25)*Calculateur!V47*Calculateur!X47*VLOOKUP('Données projet'!$B$9,Paramètres!$A$1:$I$89,3,0)*0.475*44/12</f>
        <v>28.903963458487372</v>
      </c>
      <c r="AB47" s="21">
        <f>EXP(-LN(2)/2)*AB46+(1-EXP(-LN(2)/2))/(LN(2)/2)*V47*Y47*VLOOKUP('Données projet'!$B$9,Paramètres!$A$1:$I$89,3,0)*0.475*44/12</f>
        <v>0.11264029503701282</v>
      </c>
      <c r="AC47" s="22">
        <f t="shared" si="3"/>
        <v>34.580299350125856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22.8</v>
      </c>
      <c r="AI47" s="13">
        <f>IF('Données projet'!$A$62&gt;35,AI46+AH47-AQ46,IF(A47&lt;'Données projet'!$A$62,$AF$205^A47,IF(A47='Données projet'!$A$62,'Données projet'!$B$62,AI46+AH47-AQ46)))</f>
        <v>583.20000000000005</v>
      </c>
      <c r="AJ47" s="13">
        <f>AI47*VLOOKUP('Données projet'!$B$10,Paramètres!$A$1:$I$89,3,0)*VLOOKUP('Données projet'!$B$10,Paramètres!$A$1:$I$89,5,0)</f>
        <v>326.00880000000001</v>
      </c>
      <c r="AK47" s="13">
        <f t="shared" si="35"/>
        <v>76.602244480772981</v>
      </c>
      <c r="AL47" s="20">
        <f t="shared" si="4"/>
        <v>701.2142358040129</v>
      </c>
      <c r="AM47" s="59">
        <f t="shared" si="5"/>
        <v>968.6574217342768</v>
      </c>
      <c r="AN47" s="59">
        <f ca="1">AVERAGE(OFFSET($AM$3,0,0,'Données projet'!$E$10+1,1))-AVERAGE(OFFSET($H$3,0,0,'Données projet'!$E$10+1,1))</f>
        <v>427.83834708696861</v>
      </c>
      <c r="AO47" s="59">
        <f t="shared" si="36"/>
        <v>545.63950537101903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3.3382173579608816</v>
      </c>
      <c r="AV47" s="21">
        <f>EXP(-LN(2)/25)*AV46+(1-EXP(-LN(2)/25))/(LN(2)/25)*Calculateur!AQ47*Calculateur!AS47*VLOOKUP('Données projet'!$B$10,Paramètres!$A$1:$I$89,3,0)*0.475*44/12</f>
        <v>16.700411045295823</v>
      </c>
      <c r="AW47" s="21">
        <f>EXP(-LN(2)/2)*AW46+(1-EXP(-LN(2)/2))/(LN(2)/2)*AQ47*AT47*VLOOKUP('Données projet'!$B$10,Paramètres!$A$1:$I$89,3,0)*0.475*44/12</f>
        <v>7.2283059085347628E-2</v>
      </c>
      <c r="AX47" s="21">
        <f t="shared" si="6"/>
        <v>20.110911462342052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</v>
      </c>
      <c r="BD47" s="12">
        <f>IF('Données projet'!$A$88&gt;35,BD46+BC47-BL46,IF(A47&lt;'Données projet'!$A$88,$BA$205^A47,IF(A47='Données projet'!$A$88,'Données projet'!$B$88,BD46+BC47-BL46)))</f>
        <v>150.99999999999994</v>
      </c>
      <c r="BE47" s="13">
        <f>BD47*VLOOKUP('Données projet'!$B$11,Paramètres!$A$1:$I$89,3,0)*VLOOKUP('Données projet'!$B$11,Paramètres!$A$1:$I$89,5,0)</f>
        <v>70.667999999999978</v>
      </c>
      <c r="BF47" s="13">
        <f t="shared" si="37"/>
        <v>19.839253706984856</v>
      </c>
      <c r="BG47" s="20">
        <f t="shared" si="7"/>
        <v>157.63346687299858</v>
      </c>
      <c r="BH47" s="59">
        <f t="shared" si="8"/>
        <v>425.07665280326239</v>
      </c>
      <c r="BI47" s="59">
        <f ca="1">AVERAGE(OFFSET($BH$3,0,0,'Données projet'!$E$11+1,1))-AVERAGE(OFFSET($H$3,0,0,'Données projet'!$E$11+1,1))</f>
        <v>210.62109466714364</v>
      </c>
      <c r="BJ47" s="59">
        <f t="shared" si="38"/>
        <v>193.35729443770401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4.9470125482236869</v>
      </c>
      <c r="BQ47" s="21">
        <f>EXP(-LN(2)/25)*BQ46+(1-EXP(-LN(2)/25))/(LN(2)/25)*Calculateur!BL47*Calculateur!BN47*VLOOKUP('Données projet'!$B$11,Paramètres!$A$1:$I$89,3,0)*0.475*44/12</f>
        <v>5.434747306909113</v>
      </c>
      <c r="BR47" s="21">
        <f>EXP(-LN(2)/2)*BR46+(1-EXP(-LN(2)/2))/(LN(2)/2)*BL47*BO47*VLOOKUP('Données projet'!$B$11,Paramètres!$A$1:$I$89,3,0)*0.475*44/12</f>
        <v>6.1843600615630587E-2</v>
      </c>
      <c r="BS47" s="22">
        <f t="shared" si="9"/>
        <v>10.443603455748429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19</v>
      </c>
      <c r="BY47" s="12">
        <f>IF('Données projet'!$A$114&gt;35,BY46+BX47-CG46,IF(A47&lt;'Données projet'!$A$114,$BV$205^A47,IF(A47='Données projet'!$A$114,'Données projet'!$B$114,BY46+BX47-CG46)))</f>
        <v>299.00000000000006</v>
      </c>
      <c r="BZ47" s="13">
        <f>BY47*VLOOKUP('Données projet'!$B$12,Paramètres!$A$1:$I$89,3,0)*VLOOKUP('Données projet'!$B$12,Paramètres!$A$1:$I$89,5,0)</f>
        <v>178.80200000000002</v>
      </c>
      <c r="CA47" s="13">
        <f t="shared" si="39"/>
        <v>45.055549739375941</v>
      </c>
      <c r="CB47" s="20">
        <f t="shared" si="10"/>
        <v>389.88523246274644</v>
      </c>
      <c r="CC47" s="59">
        <f t="shared" si="11"/>
        <v>657.32841839301022</v>
      </c>
      <c r="CD47" s="59">
        <f ca="1">AVERAGE(OFFSET($CC$3,0,0,'Données projet'!$E$12+1,1))-AVERAGE(OFFSET($H$3,0,0,'Données projet'!$E$12+1,1))</f>
        <v>368.16165268258442</v>
      </c>
      <c r="CE47" s="59">
        <f t="shared" si="40"/>
        <v>291.32219253157041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5.6678823744101949</v>
      </c>
      <c r="CL47" s="21">
        <f>EXP(-LN(2)/25)*CL46+(1-EXP(-LN(2)/25))/(LN(2)/25)*Calculateur!CG47*Calculateur!CI47*VLOOKUP('Données projet'!$B$12,Paramètres!$A$1:$I$89,3,0)*0.475*44/12</f>
        <v>4.5061163836110669</v>
      </c>
      <c r="CM47" s="21">
        <f>EXP(-LN(2)/2)*CM46+(1-EXP(-LN(2)/2))/(LN(2)/2)*CG47*CJ47*VLOOKUP('Données projet'!$B$12,Paramètres!$A$1:$I$89,3,0)*0.475*44/12</f>
        <v>6.1897136763093344E-2</v>
      </c>
      <c r="CN47" s="22">
        <f t="shared" si="12"/>
        <v>10.235895894784356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</v>
      </c>
      <c r="CT47" s="12">
        <f>IF('Données projet'!$A$140&gt;35,CT46+CS47-DB46,IF(A47&lt;'Données projet'!$A$140,$CQ$205^A47,IF(A47='Données projet'!$A$140,'Données projet'!$B$140,CT46+CS47-DB46)))</f>
        <v>343.00000000000011</v>
      </c>
      <c r="CU47" s="17">
        <f>CT47*VLOOKUP('Données projet'!$B$13,Paramètres!$A$1:$I$89,3,0)*VLOOKUP('Données projet'!$B$13,Paramètres!$A$1:$I$89,5,0)</f>
        <v>205.11400000000009</v>
      </c>
      <c r="CV47" s="13">
        <f t="shared" si="41"/>
        <v>50.86641328088507</v>
      </c>
      <c r="CW47" s="20">
        <f t="shared" si="13"/>
        <v>445.83255313087494</v>
      </c>
      <c r="CX47" s="59">
        <f t="shared" si="14"/>
        <v>713.27573906113878</v>
      </c>
      <c r="CY47" s="59">
        <f ca="1">AVERAGE(OFFSET($CX$3,0,0,'Données projet'!$E$13+1,1))-AVERAGE(OFFSET($H$3,0,0,'Données projet'!$E$13+1,1))</f>
        <v>317.12995176362455</v>
      </c>
      <c r="CZ47" s="59">
        <f t="shared" si="42"/>
        <v>328.11301015275262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13.682735052127907</v>
      </c>
      <c r="DG47" s="21">
        <f>EXP(-LN(2)/25)*DG46+(1-EXP(-LN(2)/25))/(LN(2)/25)*Calculateur!DB47*Calculateur!DD47*VLOOKUP('Données projet'!$B$13,Paramètres!$A$1:$I$89,3,0)*0.475*44/12</f>
        <v>10.938312318105982</v>
      </c>
      <c r="DH47" s="21">
        <f>EXP(-LN(2)/2)*DH46+(1-EXP(-LN(2)/2))/(LN(2)/2)*DB47*DE47*VLOOKUP('Données projet'!$B$13,Paramètres!$A$1:$I$89,3,0)*0.475*44/12</f>
        <v>4.4854560032328225E-2</v>
      </c>
      <c r="DI47" s="22">
        <f t="shared" si="15"/>
        <v>24.665901930266216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8.6</v>
      </c>
      <c r="DO47" s="12">
        <f>IF('Données projet'!$A$166&gt;35,DO46+DN47-DW46,IF(A47&lt;'Données projet'!$A$166,$DL$205^A47,IF(A47='Données projet'!$A$166,'Données projet'!$B$166,DO46+DN47-DW46)))</f>
        <v>192.39999999999992</v>
      </c>
      <c r="DP47" s="17">
        <f>DO47*VLOOKUP('Données projet'!$B$14,Paramètres!$A$1:$I$89,3,0)*VLOOKUP('Données projet'!$B$14,Paramètres!$A$1:$I$89,5,0)</f>
        <v>168.08063999999996</v>
      </c>
      <c r="DQ47" s="13">
        <f t="shared" si="43"/>
        <v>42.659867131343425</v>
      </c>
      <c r="DR47" s="20">
        <f t="shared" si="16"/>
        <v>367.03971658708974</v>
      </c>
      <c r="DS47" s="59">
        <f t="shared" si="17"/>
        <v>634.48290251735352</v>
      </c>
      <c r="DT47" s="59">
        <f ca="1">AVERAGE(OFFSET($DS$3,0,0,'Données projet'!$E$14+1,1))-AVERAGE(OFFSET($H$3,0,0,'Données projet'!$E$14+1,1))</f>
        <v>325.5873213944476</v>
      </c>
      <c r="DU47" s="59">
        <f t="shared" si="44"/>
        <v>347.9042278368363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2.2191049592193268</v>
      </c>
      <c r="EB47" s="21">
        <f>EXP(-LN(2)/25)*EB46+(1-EXP(-LN(2)/25))/(LN(2)/25)*Calculateur!DW47*Calculateur!DY47*VLOOKUP('Données projet'!$B$14,Paramètres!$A$1:$I$89,3,0)*0.475*44/12</f>
        <v>5.9848971912411093</v>
      </c>
      <c r="EC47" s="21">
        <f>EXP(-LN(2)/2)*EC46+(1-EXP(-LN(2)/2))/(LN(2)/2)*DW47*DZ47*VLOOKUP('Données projet'!$B$14,Paramètres!$A$1:$I$89,3,0)*0.475*44/12</f>
        <v>9.3357973721433299E-2</v>
      </c>
      <c r="ED47" s="22">
        <f t="shared" si="18"/>
        <v>8.2973601241818695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7.333333333333333</v>
      </c>
      <c r="EJ47" s="12">
        <f>IF('Données projet'!$A$192&gt;35,EJ46+EI47-ER46,IF(A47&lt;'Données projet'!$A$192,$EG$205^A47,IF(A47='Données projet'!$A$192,'Données projet'!$B$192,EJ46+EI47-ER46)))</f>
        <v>213.33333333333331</v>
      </c>
      <c r="EK47" s="17">
        <f>EJ47*VLOOKUP('Données projet'!$B$15,Paramètres!$A$1:$I$89,3,0)*VLOOKUP('Données projet'!$B$15,Paramètres!$A$1:$I$89,5,0)</f>
        <v>127.57333333333332</v>
      </c>
      <c r="EL47" s="13">
        <f t="shared" si="45"/>
        <v>33.435014461818334</v>
      </c>
      <c r="EM47" s="20">
        <f t="shared" si="19"/>
        <v>280.42287240988907</v>
      </c>
      <c r="EN47" s="59">
        <f t="shared" si="20"/>
        <v>547.8660583401529</v>
      </c>
      <c r="EO47" s="59">
        <f ca="1">AVERAGE(OFFSET($EN$3,0,0,'Données projet'!$E$15+1,1))-AVERAGE(OFFSET($H$3,0,0,'Données projet'!$E$15+1,1))</f>
        <v>205.5480000480477</v>
      </c>
      <c r="EP47" s="59">
        <f t="shared" si="46"/>
        <v>229.86812144828366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5.5742988479334112</v>
      </c>
      <c r="EW47" s="21">
        <f>EXP(-LN(2)/25)*EW46+(1-EXP(-LN(2)/25))/(LN(2)/25)*Calculateur!ER47*Calculateur!ET47*VLOOKUP('Données projet'!$B$15,Paramètres!$A$1:$I$89,3,0)*0.475*44/12</f>
        <v>4.0851003740730567</v>
      </c>
      <c r="EX47" s="21">
        <f>EXP(-LN(2)/2)*EX46+(1-EXP(-LN(2)/2))/(LN(2)/2)*ER47*EU47*VLOOKUP('Données projet'!$B$15,Paramètres!$A$1:$I$89,3,0)*0.475*44/12</f>
        <v>2.3109148673371983E-2</v>
      </c>
      <c r="EY47" s="22">
        <f t="shared" si="21"/>
        <v>9.6825083706798392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3.05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7.8623999999999921</v>
      </c>
      <c r="D48" s="11">
        <f t="shared" si="32"/>
        <v>2.8501294257559735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34.066493739411229</v>
      </c>
      <c r="H48" s="67">
        <f t="shared" si="1"/>
        <v>230.59098874985827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686</v>
      </c>
      <c r="L48" s="12">
        <f>VLOOKUP(A48,'Données projet'!$A$35:$I$55,9,0)</f>
        <v>24.8</v>
      </c>
      <c r="M48" s="12">
        <f t="array" ref="M48">INDEX(L:L,MIN(IF(ISNUMBER(L48:L244),ROW(L48:L244),"")))</f>
        <v>24.8</v>
      </c>
      <c r="N48" s="13">
        <f>IF('Données projet'!$A$36&gt;35,N47+M48-V47,IF(A48&lt;'Données projet'!$A$36,$K$205^A48,IF(A48='Données projet'!$A$36,'Données projet'!$B$36,N47+M48-V47)))</f>
        <v>685.99999999999966</v>
      </c>
      <c r="O48" s="13">
        <f>N48*VLOOKUP('Données projet'!$B$9,Paramètres!$A$1:$I$89,3,0)*VLOOKUP('Données projet'!$B$9,Paramètres!$A$1:$I$89,5,0)</f>
        <v>383.47399999999982</v>
      </c>
      <c r="P48" s="13">
        <f t="shared" si="33"/>
        <v>88.418089567872116</v>
      </c>
      <c r="Q48" s="20">
        <f t="shared" si="53"/>
        <v>821.87872266404372</v>
      </c>
      <c r="R48" s="59">
        <f t="shared" si="0"/>
        <v>1089.7710447700524</v>
      </c>
      <c r="S48" s="59">
        <f ca="1">AVERAGE(OFFSET($R$3,0,0,'Données projet'!$E$9+1,1))-AVERAGE(OFFSET($H$3,0,0,'Données projet'!$E$9+1,1))</f>
        <v>542.23071537860039</v>
      </c>
      <c r="T48" s="59">
        <f t="shared" si="34"/>
        <v>667.26143680054633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64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5.4545949194713463</v>
      </c>
      <c r="AA48" s="21">
        <f>EXP(-LN(2)/25)*AA47+(1-EXP(-LN(2)/25))/(LN(2)/25)*Calculateur!V48*Calculateur!X48*VLOOKUP('Données projet'!$B$9,Paramètres!$A$1:$I$89,3,0)*0.475*44/12</f>
        <v>28.113583057721659</v>
      </c>
      <c r="AB48" s="21">
        <f>EXP(-LN(2)/2)*AB47+(1-EXP(-LN(2)/2))/(LN(2)/2)*V48*Y48*VLOOKUP('Données projet'!$B$9,Paramètres!$A$1:$I$89,3,0)*0.475*44/12</f>
        <v>7.9648716455525181E-2</v>
      </c>
      <c r="AC48" s="22">
        <f t="shared" si="3"/>
        <v>33.647826693648526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606</v>
      </c>
      <c r="AG48" s="12">
        <f>VLOOKUP(A48,'Données projet'!$A$61:$I$81,9,0)</f>
        <v>22.8</v>
      </c>
      <c r="AH48" s="12">
        <f t="array" ref="AH48">INDEX(AG:AG,MIN(IF(ISNUMBER(AG48:AG244),ROW(AG48:AG244),"")))</f>
        <v>22.8</v>
      </c>
      <c r="AI48" s="13">
        <f>IF('Données projet'!$A$62&gt;35,AI47+AH48-AQ47,IF(A48&lt;'Données projet'!$A$62,$AF$205^A48,IF(A48='Données projet'!$A$62,'Données projet'!$B$62,AI47+AH48-AQ47)))</f>
        <v>606</v>
      </c>
      <c r="AJ48" s="13">
        <f>AI48*VLOOKUP('Données projet'!$B$10,Paramètres!$A$1:$I$89,3,0)*VLOOKUP('Données projet'!$B$10,Paramètres!$A$1:$I$89,5,0)</f>
        <v>338.75400000000002</v>
      </c>
      <c r="AK48" s="13">
        <f t="shared" si="35"/>
        <v>79.242459951408904</v>
      </c>
      <c r="AL48" s="20">
        <f t="shared" si="4"/>
        <v>728.01050108203719</v>
      </c>
      <c r="AM48" s="59">
        <f t="shared" si="5"/>
        <v>995.90282318804589</v>
      </c>
      <c r="AN48" s="59">
        <f ca="1">AVERAGE(OFFSET($AM$3,0,0,'Données projet'!$E$10+1,1))-AVERAGE(OFFSET($H$3,0,0,'Données projet'!$E$10+1,1))</f>
        <v>427.83834708696861</v>
      </c>
      <c r="AO48" s="59">
        <f t="shared" si="36"/>
        <v>545.63950537101903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66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3.2727569516828079</v>
      </c>
      <c r="AV48" s="21">
        <f>EXP(-LN(2)/25)*AV47+(1-EXP(-LN(2)/25))/(LN(2)/25)*Calculateur!AQ48*Calculateur!AS48*VLOOKUP('Données projet'!$B$10,Paramètres!$A$1:$I$89,3,0)*0.475*44/12</f>
        <v>16.24373742702576</v>
      </c>
      <c r="AW48" s="21">
        <f>EXP(-LN(2)/2)*AW47+(1-EXP(-LN(2)/2))/(LN(2)/2)*AQ48*AT48*VLOOKUP('Données projet'!$B$10,Paramètres!$A$1:$I$89,3,0)*0.475*44/12</f>
        <v>5.1111841244157193E-2</v>
      </c>
      <c r="AX48" s="21">
        <f t="shared" si="6"/>
        <v>19.567606219952726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7</v>
      </c>
      <c r="BD48" s="12">
        <f>IF('Données projet'!$A$88&gt;35,BD47+BC48-BL47,IF(A48&lt;'Données projet'!$A$88,$BA$205^A48,IF(A48='Données projet'!$A$88,'Données projet'!$B$88,BD47+BC48-BL47)))</f>
        <v>157.99999999999994</v>
      </c>
      <c r="BE48" s="13">
        <f>BD48*VLOOKUP('Données projet'!$B$11,Paramètres!$A$1:$I$89,3,0)*VLOOKUP('Données projet'!$B$11,Paramètres!$A$1:$I$89,5,0)</f>
        <v>73.943999999999974</v>
      </c>
      <c r="BF48" s="13">
        <f t="shared" si="37"/>
        <v>20.649745460165708</v>
      </c>
      <c r="BG48" s="20">
        <f t="shared" si="7"/>
        <v>164.75077334312189</v>
      </c>
      <c r="BH48" s="59">
        <f t="shared" si="8"/>
        <v>432.64309544913067</v>
      </c>
      <c r="BI48" s="59">
        <f ca="1">AVERAGE(OFFSET($BH$3,0,0,'Données projet'!$E$11+1,1))-AVERAGE(OFFSET($H$3,0,0,'Données projet'!$E$11+1,1))</f>
        <v>210.62109466714364</v>
      </c>
      <c r="BJ48" s="59">
        <f t="shared" si="38"/>
        <v>193.35729443770401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4.8500046495327336</v>
      </c>
      <c r="BQ48" s="21">
        <f>EXP(-LN(2)/25)*BQ47+(1-EXP(-LN(2)/25))/(LN(2)/25)*Calculateur!BL48*Calculateur!BN48*VLOOKUP('Données projet'!$B$11,Paramètres!$A$1:$I$89,3,0)*0.475*44/12</f>
        <v>5.2861338560007436</v>
      </c>
      <c r="BR48" s="21">
        <f>EXP(-LN(2)/2)*BR47+(1-EXP(-LN(2)/2))/(LN(2)/2)*BL48*BO48*VLOOKUP('Données projet'!$B$11,Paramètres!$A$1:$I$89,3,0)*0.475*44/12</f>
        <v>4.3730029368304939E-2</v>
      </c>
      <c r="BS48" s="22">
        <f t="shared" si="9"/>
        <v>10.179868534901782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318</v>
      </c>
      <c r="BW48" s="12">
        <f>VLOOKUP(A48,'Données projet'!$A$113:$I$133,9,0)</f>
        <v>19</v>
      </c>
      <c r="BX48" s="12">
        <f t="array" ref="BX48">INDEX(BW:BW,MIN(IF(ISNUMBER(BW48:BW244),ROW(BW48:BW244),"")))</f>
        <v>19</v>
      </c>
      <c r="BY48" s="12">
        <f>IF('Données projet'!$A$114&gt;35,BY47+BX48-CG47,IF(A48&lt;'Données projet'!$A$114,$BV$205^A48,IF(A48='Données projet'!$A$114,'Données projet'!$B$114,BY47+BX48-CG47)))</f>
        <v>318.00000000000006</v>
      </c>
      <c r="BZ48" s="13">
        <f>BY48*VLOOKUP('Données projet'!$B$12,Paramètres!$A$1:$I$89,3,0)*VLOOKUP('Données projet'!$B$12,Paramètres!$A$1:$I$89,5,0)</f>
        <v>190.16400000000004</v>
      </c>
      <c r="CA48" s="13">
        <f t="shared" si="39"/>
        <v>47.576209101852911</v>
      </c>
      <c r="CB48" s="20">
        <f t="shared" si="10"/>
        <v>414.06419751906054</v>
      </c>
      <c r="CC48" s="59">
        <f t="shared" si="11"/>
        <v>681.95651962506929</v>
      </c>
      <c r="CD48" s="59">
        <f ca="1">AVERAGE(OFFSET($CC$3,0,0,'Données projet'!$E$12+1,1))-AVERAGE(OFFSET($H$3,0,0,'Données projet'!$E$12+1,1))</f>
        <v>368.16165268258442</v>
      </c>
      <c r="CE48" s="59">
        <f t="shared" si="40"/>
        <v>291.32219253157041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53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5.5567386581149023</v>
      </c>
      <c r="CL48" s="21">
        <f>EXP(-LN(2)/25)*CL47+(1-EXP(-LN(2)/25))/(LN(2)/25)*Calculateur!CG48*Calculateur!CI48*VLOOKUP('Données projet'!$B$12,Paramètres!$A$1:$I$89,3,0)*0.475*44/12</f>
        <v>4.3828963941348604</v>
      </c>
      <c r="CM48" s="21">
        <f>EXP(-LN(2)/2)*CM47+(1-EXP(-LN(2)/2))/(LN(2)/2)*CG48*CJ48*VLOOKUP('Données projet'!$B$12,Paramètres!$A$1:$I$89,3,0)*0.475*44/12</f>
        <v>4.3767885141214456E-2</v>
      </c>
      <c r="CN48" s="22">
        <f t="shared" si="12"/>
        <v>9.9834029373909772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</v>
      </c>
      <c r="CT48" s="12">
        <f>IF('Données projet'!$A$140&gt;35,CT47+CS48-DB47,IF(A48&lt;'Données projet'!$A$140,$CQ$205^A48,IF(A48='Données projet'!$A$140,'Données projet'!$B$140,CT47+CS48-DB47)))</f>
        <v>354.00000000000011</v>
      </c>
      <c r="CU48" s="17">
        <f>CT48*VLOOKUP('Données projet'!$B$13,Paramètres!$A$1:$I$89,3,0)*VLOOKUP('Données projet'!$B$13,Paramètres!$A$1:$I$89,5,0)</f>
        <v>211.69200000000009</v>
      </c>
      <c r="CV48" s="13">
        <f t="shared" si="41"/>
        <v>52.305157403317885</v>
      </c>
      <c r="CW48" s="20">
        <f t="shared" si="13"/>
        <v>459.79504914411217</v>
      </c>
      <c r="CX48" s="59">
        <f t="shared" si="14"/>
        <v>727.68737125012092</v>
      </c>
      <c r="CY48" s="59">
        <f ca="1">AVERAGE(OFFSET($CX$3,0,0,'Données projet'!$E$13+1,1))-AVERAGE(OFFSET($H$3,0,0,'Données projet'!$E$13+1,1))</f>
        <v>317.12995176362455</v>
      </c>
      <c r="CZ48" s="59">
        <f t="shared" si="42"/>
        <v>328.11301015275262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13.414424963399997</v>
      </c>
      <c r="DG48" s="21">
        <f>EXP(-LN(2)/25)*DG47+(1-EXP(-LN(2)/25))/(LN(2)/25)*Calculateur!DB48*Calculateur!DD48*VLOOKUP('Données projet'!$B$13,Paramètres!$A$1:$I$89,3,0)*0.475*44/12</f>
        <v>10.639203592546529</v>
      </c>
      <c r="DH48" s="21">
        <f>EXP(-LN(2)/2)*DH47+(1-EXP(-LN(2)/2))/(LN(2)/2)*DB48*DE48*VLOOKUP('Données projet'!$B$13,Paramètres!$A$1:$I$89,3,0)*0.475*44/12</f>
        <v>3.1716963565998374E-2</v>
      </c>
      <c r="DI48" s="22">
        <f t="shared" si="15"/>
        <v>24.085345519512522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201</v>
      </c>
      <c r="DM48" s="12">
        <f>VLOOKUP(A48,'Données projet'!$A$165:$I$185,9,0)</f>
        <v>8.6</v>
      </c>
      <c r="DN48" s="12">
        <f t="array" ref="DN48">INDEX(DM:DM,MIN(IF(ISNUMBER(DM48:DM244),ROW(DM48:DM244),"")))</f>
        <v>8.6</v>
      </c>
      <c r="DO48" s="12">
        <f>IF('Données projet'!$A$166&gt;35,DO47+DN48-DW47,IF(A48&lt;'Données projet'!$A$166,$DL$205^A48,IF(A48='Données projet'!$A$166,'Données projet'!$B$166,DO47+DN48-DW47)))</f>
        <v>200.99999999999991</v>
      </c>
      <c r="DP48" s="17">
        <f>DO48*VLOOKUP('Données projet'!$B$14,Paramètres!$A$1:$I$89,3,0)*VLOOKUP('Données projet'!$B$14,Paramètres!$A$1:$I$89,5,0)</f>
        <v>175.59359999999995</v>
      </c>
      <c r="DQ48" s="13">
        <f t="shared" si="43"/>
        <v>44.340433728638573</v>
      </c>
      <c r="DR48" s="20">
        <f t="shared" si="16"/>
        <v>383.05177541071203</v>
      </c>
      <c r="DS48" s="59">
        <f t="shared" si="17"/>
        <v>650.94409751672083</v>
      </c>
      <c r="DT48" s="59">
        <f ca="1">AVERAGE(OFFSET($DS$3,0,0,'Données projet'!$E$14+1,1))-AVERAGE(OFFSET($H$3,0,0,'Données projet'!$E$14+1,1))</f>
        <v>325.5873213944476</v>
      </c>
      <c r="DU48" s="59">
        <f t="shared" si="44"/>
        <v>347.9042278368363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31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2.1755896644894119</v>
      </c>
      <c r="EB48" s="21">
        <f>EXP(-LN(2)/25)*EB47+(1-EXP(-LN(2)/25))/(LN(2)/25)*Calculateur!DW48*Calculateur!DY48*VLOOKUP('Données projet'!$B$14,Paramètres!$A$1:$I$89,3,0)*0.475*44/12</f>
        <v>5.821239862814557</v>
      </c>
      <c r="EC48" s="21">
        <f>EXP(-LN(2)/2)*EC47+(1-EXP(-LN(2)/2))/(LN(2)/2)*DW48*DZ48*VLOOKUP('Données projet'!$B$14,Paramètres!$A$1:$I$89,3,0)*0.475*44/12</f>
        <v>6.6014056296260989E-2</v>
      </c>
      <c r="ED48" s="22">
        <f t="shared" si="18"/>
        <v>8.0628435836002303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7.333333333333333</v>
      </c>
      <c r="EJ48" s="12">
        <f>IF('Données projet'!$A$192&gt;35,EJ47+EI48-ER47,IF(A48&lt;'Données projet'!$A$192,$EG$205^A48,IF(A48='Données projet'!$A$192,'Données projet'!$B$192,EJ47+EI48-ER47)))</f>
        <v>220.66666666666666</v>
      </c>
      <c r="EK48" s="17">
        <f>EJ48*VLOOKUP('Données projet'!$B$15,Paramètres!$A$1:$I$89,3,0)*VLOOKUP('Données projet'!$B$15,Paramètres!$A$1:$I$89,5,0)</f>
        <v>131.95866666666666</v>
      </c>
      <c r="EL48" s="13">
        <f t="shared" si="45"/>
        <v>34.448555031300216</v>
      </c>
      <c r="EM48" s="20">
        <f t="shared" si="19"/>
        <v>289.82591112395897</v>
      </c>
      <c r="EN48" s="59">
        <f t="shared" si="20"/>
        <v>557.71823322996772</v>
      </c>
      <c r="EO48" s="59">
        <f ca="1">AVERAGE(OFFSET($EN$3,0,0,'Données projet'!$E$15+1,1))-AVERAGE(OFFSET($H$3,0,0,'Données projet'!$E$15+1,1))</f>
        <v>205.5480000480477</v>
      </c>
      <c r="EP48" s="59">
        <f t="shared" si="46"/>
        <v>229.86812144828366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5.4649902475120138</v>
      </c>
      <c r="EW48" s="21">
        <f>EXP(-LN(2)/25)*EW47+(1-EXP(-LN(2)/25))/(LN(2)/25)*Calculateur!ER48*Calculateur!ET48*VLOOKUP('Données projet'!$B$15,Paramètres!$A$1:$I$89,3,0)*0.475*44/12</f>
        <v>3.9733930895179368</v>
      </c>
      <c r="EX48" s="21">
        <f>EXP(-LN(2)/2)*EX47+(1-EXP(-LN(2)/2))/(LN(2)/2)*ER48*EU48*VLOOKUP('Données projet'!$B$15,Paramètres!$A$1:$I$89,3,0)*0.475*44/12</f>
        <v>1.6340635734389437E-2</v>
      </c>
      <c r="EY48" s="22">
        <f t="shared" si="21"/>
        <v>9.4547239727643397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3.05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8.0371199999999927</v>
      </c>
      <c r="D49" s="11">
        <f t="shared" si="32"/>
        <v>2.9060215121050113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34.636146050954117</v>
      </c>
      <c r="H49" s="67">
        <f t="shared" si="1"/>
        <v>230.99263813358286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20.399999999999999</v>
      </c>
      <c r="N49" s="13">
        <f>IF('Données projet'!$A$36&gt;35,N48+M49-V48,IF(A49&lt;'Données projet'!$A$36,$K$205^A49,IF(A49='Données projet'!$A$36,'Données projet'!$B$36,N48+M49-V48)))</f>
        <v>642.39999999999964</v>
      </c>
      <c r="O49" s="13">
        <f>N49*VLOOKUP('Données projet'!$B$9,Paramètres!$A$1:$I$89,3,0)*VLOOKUP('Données projet'!$B$9,Paramètres!$A$1:$I$89,5,0)</f>
        <v>359.10159999999985</v>
      </c>
      <c r="P49" s="13">
        <f t="shared" si="33"/>
        <v>83.433815871723468</v>
      </c>
      <c r="Q49" s="20">
        <f t="shared" si="53"/>
        <v>770.74918264325152</v>
      </c>
      <c r="R49" s="59">
        <f t="shared" si="0"/>
        <v>1039.0828494164741</v>
      </c>
      <c r="S49" s="59">
        <f ca="1">AVERAGE(OFFSET($R$3,0,0,'Données projet'!$E$9+1,1))-AVERAGE(OFFSET($H$3,0,0,'Données projet'!$E$9+1,1))</f>
        <v>542.23071537860039</v>
      </c>
      <c r="T49" s="59">
        <f t="shared" si="34"/>
        <v>667.26143680054633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5.3476336400749025</v>
      </c>
      <c r="AA49" s="21">
        <f>EXP(-LN(2)/25)*AA48+(1-EXP(-LN(2)/25))/(LN(2)/25)*Calculateur!V49*Calculateur!X49*VLOOKUP('Données projet'!$B$9,Paramètres!$A$1:$I$89,3,0)*0.475*44/12</f>
        <v>27.344815650579182</v>
      </c>
      <c r="AB49" s="21">
        <f>EXP(-LN(2)/2)*AB48+(1-EXP(-LN(2)/2))/(LN(2)/2)*V49*Y49*VLOOKUP('Données projet'!$B$9,Paramètres!$A$1:$I$89,3,0)*0.475*44/12</f>
        <v>5.6320147518506412E-2</v>
      </c>
      <c r="AC49" s="22">
        <f t="shared" si="3"/>
        <v>32.748769438172587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17.8</v>
      </c>
      <c r="AI49" s="13">
        <f>IF('Données projet'!$A$62&gt;35,AI48+AH49-AQ48,IF(A49&lt;'Données projet'!$A$62,$AF$205^A49,IF(A49='Données projet'!$A$62,'Données projet'!$B$62,AI48+AH49-AQ48)))</f>
        <v>557.79999999999995</v>
      </c>
      <c r="AJ49" s="13">
        <f>AI49*VLOOKUP('Données projet'!$B$10,Paramètres!$A$1:$I$89,3,0)*VLOOKUP('Données projet'!$B$10,Paramètres!$A$1:$I$89,5,0)</f>
        <v>311.81020000000001</v>
      </c>
      <c r="AK49" s="13">
        <f t="shared" si="35"/>
        <v>73.646743780370684</v>
      </c>
      <c r="AL49" s="20">
        <f t="shared" si="4"/>
        <v>671.33751041747894</v>
      </c>
      <c r="AM49" s="59">
        <f t="shared" si="5"/>
        <v>939.67117719070166</v>
      </c>
      <c r="AN49" s="59">
        <f ca="1">AVERAGE(OFFSET($AM$3,0,0,'Données projet'!$E$10+1,1))-AVERAGE(OFFSET($H$3,0,0,'Données projet'!$E$10+1,1))</f>
        <v>427.83834708696861</v>
      </c>
      <c r="AO49" s="59">
        <f t="shared" si="36"/>
        <v>545.63950537101903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3.2085801840449415</v>
      </c>
      <c r="AV49" s="21">
        <f>EXP(-LN(2)/25)*AV48+(1-EXP(-LN(2)/25))/(LN(2)/25)*Calculateur!AQ49*Calculateur!AS49*VLOOKUP('Données projet'!$B$10,Paramètres!$A$1:$I$89,3,0)*0.475*44/12</f>
        <v>15.799551572862715</v>
      </c>
      <c r="AW49" s="21">
        <f>EXP(-LN(2)/2)*AW48+(1-EXP(-LN(2)/2))/(LN(2)/2)*AQ49*AT49*VLOOKUP('Données projet'!$B$10,Paramètres!$A$1:$I$89,3,0)*0.475*44/12</f>
        <v>3.6141529542673814E-2</v>
      </c>
      <c r="AX49" s="21">
        <f t="shared" si="6"/>
        <v>19.044273286450331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</v>
      </c>
      <c r="BD49" s="12">
        <f>IF('Données projet'!$A$88&gt;35,BD48+BC49-BL48,IF(A49&lt;'Données projet'!$A$88,$BA$205^A49,IF(A49='Données projet'!$A$88,'Données projet'!$B$88,BD48+BC49-BL48)))</f>
        <v>164.99999999999994</v>
      </c>
      <c r="BE49" s="13">
        <f>BD49*VLOOKUP('Données projet'!$B$11,Paramètres!$A$1:$I$89,3,0)*VLOOKUP('Données projet'!$B$11,Paramètres!$A$1:$I$89,5,0)</f>
        <v>77.21999999999997</v>
      </c>
      <c r="BF49" s="13">
        <f t="shared" si="37"/>
        <v>21.456066856215866</v>
      </c>
      <c r="BG49" s="20">
        <f t="shared" si="7"/>
        <v>171.8608164412426</v>
      </c>
      <c r="BH49" s="59">
        <f t="shared" si="8"/>
        <v>440.19448321446527</v>
      </c>
      <c r="BI49" s="59">
        <f ca="1">AVERAGE(OFFSET($BH$3,0,0,'Données projet'!$E$11+1,1))-AVERAGE(OFFSET($H$3,0,0,'Données projet'!$E$11+1,1))</f>
        <v>210.62109466714364</v>
      </c>
      <c r="BJ49" s="59">
        <f t="shared" si="38"/>
        <v>193.35729443770401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4.7548990165661342</v>
      </c>
      <c r="BQ49" s="21">
        <f>EXP(-LN(2)/25)*BQ48+(1-EXP(-LN(2)/25))/(LN(2)/25)*Calculateur!BL49*Calculateur!BN49*VLOOKUP('Données projet'!$B$11,Paramètres!$A$1:$I$89,3,0)*0.475*44/12</f>
        <v>5.1415842477227054</v>
      </c>
      <c r="BR49" s="21">
        <f>EXP(-LN(2)/2)*BR48+(1-EXP(-LN(2)/2))/(LN(2)/2)*BL49*BO49*VLOOKUP('Données projet'!$B$11,Paramètres!$A$1:$I$89,3,0)*0.475*44/12</f>
        <v>3.09218003078153E-2</v>
      </c>
      <c r="BS49" s="22">
        <f t="shared" si="9"/>
        <v>9.9274050645966554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17.399999999999999</v>
      </c>
      <c r="BY49" s="12">
        <f>IF('Données projet'!$A$114&gt;35,BY48+BX49-CG48,IF(A49&lt;'Données projet'!$A$114,$BV$205^A49,IF(A49='Données projet'!$A$114,'Données projet'!$B$114,BY48+BX49-CG48)))</f>
        <v>282.40000000000003</v>
      </c>
      <c r="BZ49" s="13">
        <f>BY49*VLOOKUP('Données projet'!$B$12,Paramètres!$A$1:$I$89,3,0)*VLOOKUP('Données projet'!$B$12,Paramètres!$A$1:$I$89,5,0)</f>
        <v>168.87520000000004</v>
      </c>
      <c r="CA49" s="13">
        <f t="shared" si="39"/>
        <v>42.838008554673955</v>
      </c>
      <c r="CB49" s="20">
        <f t="shared" si="10"/>
        <v>368.73383823272388</v>
      </c>
      <c r="CC49" s="59">
        <f t="shared" si="11"/>
        <v>637.06750500594649</v>
      </c>
      <c r="CD49" s="59">
        <f ca="1">AVERAGE(OFFSET($CC$3,0,0,'Données projet'!$E$12+1,1))-AVERAGE(OFFSET($H$3,0,0,'Données projet'!$E$12+1,1))</f>
        <v>368.16165268258442</v>
      </c>
      <c r="CE49" s="59">
        <f t="shared" si="40"/>
        <v>291.32219253157041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5.4477744023051873</v>
      </c>
      <c r="CL49" s="21">
        <f>EXP(-LN(2)/25)*CL48+(1-EXP(-LN(2)/25))/(LN(2)/25)*Calculateur!CG49*Calculateur!CI49*VLOOKUP('Données projet'!$B$12,Paramètres!$A$1:$I$89,3,0)*0.475*44/12</f>
        <v>4.2630458617507383</v>
      </c>
      <c r="CM49" s="21">
        <f>EXP(-LN(2)/2)*CM48+(1-EXP(-LN(2)/2))/(LN(2)/2)*CG49*CJ49*VLOOKUP('Données projet'!$B$12,Paramètres!$A$1:$I$89,3,0)*0.475*44/12</f>
        <v>3.0948568381546679E-2</v>
      </c>
      <c r="CN49" s="22">
        <f t="shared" si="12"/>
        <v>9.7417688324374723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>
        <f>VLOOKUP(A49,'Données projet'!$A$139:$I$159,2,0)</f>
        <v>365</v>
      </c>
      <c r="CR49" s="12">
        <f>VLOOKUP(A49,'Données projet'!$A$139:$I$159,9,0)</f>
        <v>11</v>
      </c>
      <c r="CS49" s="12">
        <f t="array" ref="CS49">INDEX(CR:CR,MIN(IF(ISNUMBER(CR49:CR245),ROW(CR49:CR245),"")))</f>
        <v>11</v>
      </c>
      <c r="CT49" s="12">
        <f>IF('Données projet'!$A$140&gt;35,CT48+CS49-DB48,IF(A49&lt;'Données projet'!$A$140,$CQ$205^A49,IF(A49='Données projet'!$A$140,'Données projet'!$B$140,CT48+CS49-DB48)))</f>
        <v>365.00000000000011</v>
      </c>
      <c r="CU49" s="17">
        <f>CT49*VLOOKUP('Données projet'!$B$13,Paramètres!$A$1:$I$89,3,0)*VLOOKUP('Données projet'!$B$13,Paramètres!$A$1:$I$89,5,0)</f>
        <v>218.2700000000001</v>
      </c>
      <c r="CV49" s="13">
        <f t="shared" si="41"/>
        <v>53.738706177800339</v>
      </c>
      <c r="CW49" s="20">
        <f t="shared" si="13"/>
        <v>473.74849659300236</v>
      </c>
      <c r="CX49" s="59">
        <f t="shared" si="14"/>
        <v>742.08216336622502</v>
      </c>
      <c r="CY49" s="59">
        <f ca="1">AVERAGE(OFFSET($CX$3,0,0,'Données projet'!$E$13+1,1))-AVERAGE(OFFSET($H$3,0,0,'Données projet'!$E$13+1,1))</f>
        <v>317.12995176362455</v>
      </c>
      <c r="CZ49" s="59">
        <f t="shared" si="42"/>
        <v>328.11301015275262</v>
      </c>
      <c r="DA49" s="15">
        <f>IF(ISNA(VLOOKUP(A49,'Données projet'!$A$139:$I$159,3,0)),0,VLOOKUP(A49,'Données projet'!$A$139:$I$159,3,0))</f>
        <v>8</v>
      </c>
      <c r="DB49" s="15">
        <f>IF(ISNA(VLOOKUP(A49,'Données projet'!$A$139:$I$159,4,0)),0,VLOOKUP(A49,'Données projet'!$A$139:$I$159,4,0))</f>
        <v>21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13.151376271859046</v>
      </c>
      <c r="DG49" s="21">
        <f>EXP(-LN(2)/25)*DG48+(1-EXP(-LN(2)/25))/(LN(2)/25)*Calculateur!DB49*Calculateur!DD49*VLOOKUP('Données projet'!$B$13,Paramètres!$A$1:$I$89,3,0)*0.475*44/12</f>
        <v>10.348274010816944</v>
      </c>
      <c r="DH49" s="21">
        <f>EXP(-LN(2)/2)*DH48+(1-EXP(-LN(2)/2))/(LN(2)/2)*DB49*DE49*VLOOKUP('Données projet'!$B$13,Paramètres!$A$1:$I$89,3,0)*0.475*44/12</f>
        <v>2.2427280016164113E-2</v>
      </c>
      <c r="DI49" s="22">
        <f t="shared" si="15"/>
        <v>23.522077562692154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7.8</v>
      </c>
      <c r="DO49" s="12">
        <f>IF('Données projet'!$A$166&gt;35,DO48+DN49-DW48,IF(A49&lt;'Données projet'!$A$166,$DL$205^A49,IF(A49='Données projet'!$A$166,'Données projet'!$B$166,DO48+DN49-DW48)))</f>
        <v>177.79999999999993</v>
      </c>
      <c r="DP49" s="17">
        <f>DO49*VLOOKUP('Données projet'!$B$14,Paramètres!$A$1:$I$89,3,0)*VLOOKUP('Données projet'!$B$14,Paramètres!$A$1:$I$89,5,0)</f>
        <v>155.32607999999996</v>
      </c>
      <c r="DQ49" s="13">
        <f t="shared" si="43"/>
        <v>39.786487601092411</v>
      </c>
      <c r="DR49" s="20">
        <f t="shared" si="16"/>
        <v>339.82105523856922</v>
      </c>
      <c r="DS49" s="59">
        <f t="shared" si="17"/>
        <v>608.15472201179182</v>
      </c>
      <c r="DT49" s="59">
        <f ca="1">AVERAGE(OFFSET($DS$3,0,0,'Données projet'!$E$14+1,1))-AVERAGE(OFFSET($H$3,0,0,'Données projet'!$E$14+1,1))</f>
        <v>325.5873213944476</v>
      </c>
      <c r="DU49" s="59">
        <f t="shared" si="44"/>
        <v>347.9042278368363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2.1329276781474418</v>
      </c>
      <c r="EB49" s="21">
        <f>EXP(-LN(2)/25)*EB48+(1-EXP(-LN(2)/25))/(LN(2)/25)*Calculateur!DW49*Calculateur!DY49*VLOOKUP('Données projet'!$B$14,Paramètres!$A$1:$I$89,3,0)*0.475*44/12</f>
        <v>5.6620577526401927</v>
      </c>
      <c r="EC49" s="21">
        <f>EXP(-LN(2)/2)*EC48+(1-EXP(-LN(2)/2))/(LN(2)/2)*DW49*DZ49*VLOOKUP('Données projet'!$B$14,Paramètres!$A$1:$I$89,3,0)*0.475*44/12</f>
        <v>4.6678986860716649E-2</v>
      </c>
      <c r="ED49" s="22">
        <f t="shared" si="18"/>
        <v>7.8416644176483512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>
        <f>VLOOKUP(A49,'Données projet'!$A$191:$I$211,2,0)</f>
        <v>228</v>
      </c>
      <c r="EH49" s="12">
        <f>VLOOKUP(A49,'Données projet'!$A$191:$I$211,9,0)</f>
        <v>7.333333333333333</v>
      </c>
      <c r="EI49" s="12">
        <f t="array" ref="EI49">INDEX(EH:EH,MIN(IF(ISNUMBER(EH49:EH245),ROW(EH49:EH245),"")))</f>
        <v>7.333333333333333</v>
      </c>
      <c r="EJ49" s="12">
        <f>IF('Données projet'!$A$192&gt;35,EJ48+EI49-ER48,IF(A49&lt;'Données projet'!$A$192,$EG$205^A49,IF(A49='Données projet'!$A$192,'Données projet'!$B$192,EJ48+EI49-ER48)))</f>
        <v>228</v>
      </c>
      <c r="EK49" s="17">
        <f>EJ49*VLOOKUP('Données projet'!$B$15,Paramètres!$A$1:$I$89,3,0)*VLOOKUP('Données projet'!$B$15,Paramètres!$A$1:$I$89,5,0)</f>
        <v>136.34400000000002</v>
      </c>
      <c r="EL49" s="13">
        <f t="shared" si="45"/>
        <v>35.458181756405082</v>
      </c>
      <c r="EM49" s="20">
        <f t="shared" si="19"/>
        <v>299.2221332257389</v>
      </c>
      <c r="EN49" s="59">
        <f t="shared" si="20"/>
        <v>567.55579999896156</v>
      </c>
      <c r="EO49" s="59">
        <f ca="1">AVERAGE(OFFSET($EN$3,0,0,'Données projet'!$E$15+1,1))-AVERAGE(OFFSET($H$3,0,0,'Données projet'!$E$15+1,1))</f>
        <v>205.5480000480477</v>
      </c>
      <c r="EP49" s="59">
        <f t="shared" si="46"/>
        <v>229.86812144828366</v>
      </c>
      <c r="EQ49" s="15">
        <f>IF(ISNA(VLOOKUP(A49,'Données projet'!$A$191:$I$211,3,0)),0,VLOOKUP(A49,'Données projet'!$A$191:$I$211,3,0))</f>
        <v>8</v>
      </c>
      <c r="ER49" s="15">
        <f>IF(ISNA(VLOOKUP(A49,'Données projet'!$A$191:$I$211,4,0)),0,VLOOKUP(A49,'Données projet'!$A$191:$I$211,4,0))</f>
        <v>23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5.3578251220732165</v>
      </c>
      <c r="EW49" s="21">
        <f>EXP(-LN(2)/25)*EW48+(1-EXP(-LN(2)/25))/(LN(2)/25)*Calculateur!ER49*Calculateur!ET49*VLOOKUP('Données projet'!$B$15,Paramètres!$A$1:$I$89,3,0)*0.475*44/12</f>
        <v>3.8647404465334074</v>
      </c>
      <c r="EX49" s="21">
        <f>EXP(-LN(2)/2)*EX48+(1-EXP(-LN(2)/2))/(LN(2)/2)*ER49*EU49*VLOOKUP('Données projet'!$B$15,Paramètres!$A$1:$I$89,3,0)*0.475*44/12</f>
        <v>1.1554574336685991E-2</v>
      </c>
      <c r="EY49" s="22">
        <f t="shared" si="21"/>
        <v>9.2341201429433095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3.05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8.2118399999999934</v>
      </c>
      <c r="D50" s="11">
        <f t="shared" si="32"/>
        <v>2.9617723342044524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35.205449415017299</v>
      </c>
      <c r="H50" s="67">
        <f t="shared" si="1"/>
        <v>231.39404148207271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20.399999999999999</v>
      </c>
      <c r="N50" s="13">
        <f>IF('Données projet'!$A$36&gt;35,N49+M50-V49,IF(A50&lt;'Données projet'!$A$36,$K$205^A50,IF(A50='Données projet'!$A$36,'Données projet'!$B$36,N49+M50-V49)))</f>
        <v>662.79999999999961</v>
      </c>
      <c r="O50" s="13">
        <f>N50*VLOOKUP('Données projet'!$B$9,Paramètres!$A$1:$I$89,3,0)*VLOOKUP('Données projet'!$B$9,Paramètres!$A$1:$I$89,5,0)</f>
        <v>370.50519999999983</v>
      </c>
      <c r="P50" s="13">
        <f t="shared" si="33"/>
        <v>85.770652719303072</v>
      </c>
      <c r="Q50" s="20">
        <f t="shared" si="53"/>
        <v>794.6804434861192</v>
      </c>
      <c r="R50" s="59">
        <f t="shared" si="0"/>
        <v>1063.4477985832784</v>
      </c>
      <c r="S50" s="59">
        <f ca="1">AVERAGE(OFFSET($R$3,0,0,'Données projet'!$E$9+1,1))-AVERAGE(OFFSET($H$3,0,0,'Données projet'!$E$9+1,1))</f>
        <v>542.23071537860039</v>
      </c>
      <c r="T50" s="59">
        <f t="shared" si="34"/>
        <v>667.26143680054633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5.2427698061274848</v>
      </c>
      <c r="AA50" s="21">
        <f>EXP(-LN(2)/25)*AA49+(1-EXP(-LN(2)/25))/(LN(2)/25)*Calculateur!V50*Calculateur!X50*VLOOKUP('Données projet'!$B$9,Paramètres!$A$1:$I$89,3,0)*0.475*44/12</f>
        <v>26.597070228612736</v>
      </c>
      <c r="AB50" s="21">
        <f>EXP(-LN(2)/2)*AB49+(1-EXP(-LN(2)/2))/(LN(2)/2)*V50*Y50*VLOOKUP('Données projet'!$B$9,Paramètres!$A$1:$I$89,3,0)*0.475*44/12</f>
        <v>3.9824358227762591E-2</v>
      </c>
      <c r="AC50" s="22">
        <f t="shared" si="3"/>
        <v>31.879664392967982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17.8</v>
      </c>
      <c r="AI50" s="13">
        <f>IF('Données projet'!$A$62&gt;35,AI49+AH50-AQ49,IF(A50&lt;'Données projet'!$A$62,$AF$205^A50,IF(A50='Données projet'!$A$62,'Données projet'!$B$62,AI49+AH50-AQ49)))</f>
        <v>575.59999999999991</v>
      </c>
      <c r="AJ50" s="13">
        <f>AI50*VLOOKUP('Données projet'!$B$10,Paramètres!$A$1:$I$89,3,0)*VLOOKUP('Données projet'!$B$10,Paramètres!$A$1:$I$89,5,0)</f>
        <v>321.76039999999995</v>
      </c>
      <c r="AK50" s="13">
        <f t="shared" si="35"/>
        <v>75.719522083505169</v>
      </c>
      <c r="AL50" s="20">
        <f t="shared" si="4"/>
        <v>692.27753096210472</v>
      </c>
      <c r="AM50" s="59">
        <f t="shared" si="5"/>
        <v>961.04488605926394</v>
      </c>
      <c r="AN50" s="59">
        <f ca="1">AVERAGE(OFFSET($AM$3,0,0,'Données projet'!$E$10+1,1))-AVERAGE(OFFSET($H$3,0,0,'Données projet'!$E$10+1,1))</f>
        <v>427.83834708696861</v>
      </c>
      <c r="AO50" s="59">
        <f t="shared" si="36"/>
        <v>545.63950537101903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3.1456618836764907</v>
      </c>
      <c r="AV50" s="21">
        <f>EXP(-LN(2)/25)*AV49+(1-EXP(-LN(2)/25))/(LN(2)/25)*Calculateur!AQ50*Calculateur!AS50*VLOOKUP('Données projet'!$B$10,Paramètres!$A$1:$I$89,3,0)*0.475*44/12</f>
        <v>15.367512004240478</v>
      </c>
      <c r="AW50" s="21">
        <f>EXP(-LN(2)/2)*AW49+(1-EXP(-LN(2)/2))/(LN(2)/2)*AQ50*AT50*VLOOKUP('Données projet'!$B$10,Paramètres!$A$1:$I$89,3,0)*0.475*44/12</f>
        <v>2.5555920622078596E-2</v>
      </c>
      <c r="AX50" s="21">
        <f t="shared" si="6"/>
        <v>18.538729808539049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</v>
      </c>
      <c r="BD50" s="12">
        <f>IF('Données projet'!$A$88&gt;35,BD49+BC50-BL49,IF(A50&lt;'Données projet'!$A$88,$BA$205^A50,IF(A50='Données projet'!$A$88,'Données projet'!$B$88,BD49+BC50-BL49)))</f>
        <v>171.99999999999994</v>
      </c>
      <c r="BE50" s="13">
        <f>BD50*VLOOKUP('Données projet'!$B$11,Paramètres!$A$1:$I$89,3,0)*VLOOKUP('Données projet'!$B$11,Paramètres!$A$1:$I$89,5,0)</f>
        <v>80.495999999999981</v>
      </c>
      <c r="BF50" s="13">
        <f t="shared" si="37"/>
        <v>22.258415047134097</v>
      </c>
      <c r="BG50" s="20">
        <f t="shared" si="7"/>
        <v>178.96393954042514</v>
      </c>
      <c r="BH50" s="59">
        <f t="shared" si="8"/>
        <v>447.73129463758431</v>
      </c>
      <c r="BI50" s="59">
        <f ca="1">AVERAGE(OFFSET($BH$3,0,0,'Données projet'!$E$11+1,1))-AVERAGE(OFFSET($H$3,0,0,'Données projet'!$E$11+1,1))</f>
        <v>210.62109466714364</v>
      </c>
      <c r="BJ50" s="59">
        <f t="shared" si="38"/>
        <v>193.35729443770401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4.6616583470533008</v>
      </c>
      <c r="BQ50" s="21">
        <f>EXP(-LN(2)/25)*BQ49+(1-EXP(-LN(2)/25))/(LN(2)/25)*Calculateur!BL50*Calculateur!BN50*VLOOKUP('Données projet'!$B$11,Paramètres!$A$1:$I$89,3,0)*0.475*44/12</f>
        <v>5.0009873560845639</v>
      </c>
      <c r="BR50" s="21">
        <f>EXP(-LN(2)/2)*BR49+(1-EXP(-LN(2)/2))/(LN(2)/2)*BL50*BO50*VLOOKUP('Données projet'!$B$11,Paramètres!$A$1:$I$89,3,0)*0.475*44/12</f>
        <v>2.1865014684152473E-2</v>
      </c>
      <c r="BS50" s="22">
        <f t="shared" si="9"/>
        <v>9.6845107178220182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17.399999999999999</v>
      </c>
      <c r="BY50" s="12">
        <f>IF('Données projet'!$A$114&gt;35,BY49+BX50-CG49,IF(A50&lt;'Données projet'!$A$114,$BV$205^A50,IF(A50='Données projet'!$A$114,'Données projet'!$B$114,BY49+BX50-CG49)))</f>
        <v>299.8</v>
      </c>
      <c r="BZ50" s="13">
        <f>BY50*VLOOKUP('Données projet'!$B$12,Paramètres!$A$1:$I$89,3,0)*VLOOKUP('Données projet'!$B$12,Paramètres!$A$1:$I$89,5,0)</f>
        <v>179.28040000000001</v>
      </c>
      <c r="CA50" s="13">
        <f t="shared" si="39"/>
        <v>45.162051118824294</v>
      </c>
      <c r="CB50" s="20">
        <f t="shared" si="10"/>
        <v>390.90393569861902</v>
      </c>
      <c r="CC50" s="59">
        <f t="shared" si="11"/>
        <v>659.67129079577819</v>
      </c>
      <c r="CD50" s="59">
        <f ca="1">AVERAGE(OFFSET($CC$3,0,0,'Données projet'!$E$12+1,1))-AVERAGE(OFFSET($H$3,0,0,'Données projet'!$E$12+1,1))</f>
        <v>368.16165268258442</v>
      </c>
      <c r="CE50" s="59">
        <f t="shared" si="40"/>
        <v>291.32219253157041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5.3409468690902671</v>
      </c>
      <c r="CL50" s="21">
        <f>EXP(-LN(2)/25)*CL49+(1-EXP(-LN(2)/25))/(LN(2)/25)*Calculateur!CG50*Calculateur!CI50*VLOOKUP('Données projet'!$B$12,Paramètres!$A$1:$I$89,3,0)*0.475*44/12</f>
        <v>4.1464726484773262</v>
      </c>
      <c r="CM50" s="21">
        <f>EXP(-LN(2)/2)*CM49+(1-EXP(-LN(2)/2))/(LN(2)/2)*CG50*CJ50*VLOOKUP('Données projet'!$B$12,Paramètres!$A$1:$I$89,3,0)*0.475*44/12</f>
        <v>2.1883942570607232E-2</v>
      </c>
      <c r="CN50" s="22">
        <f t="shared" si="12"/>
        <v>9.5093034601382005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7.25</v>
      </c>
      <c r="CT50" s="12">
        <f>IF('Données projet'!$A$140&gt;35,CT49+CS50-DB49,IF(A50&lt;'Données projet'!$A$140,$CQ$205^A50,IF(A50='Données projet'!$A$140,'Données projet'!$B$140,CT49+CS50-DB49)))</f>
        <v>351.25000000000011</v>
      </c>
      <c r="CU50" s="17">
        <f>CT50*VLOOKUP('Données projet'!$B$13,Paramètres!$A$1:$I$89,3,0)*VLOOKUP('Données projet'!$B$13,Paramètres!$A$1:$I$89,5,0)</f>
        <v>210.04750000000007</v>
      </c>
      <c r="CV50" s="13">
        <f t="shared" si="41"/>
        <v>51.945965506750504</v>
      </c>
      <c r="CW50" s="20">
        <f t="shared" si="13"/>
        <v>456.30528575759053</v>
      </c>
      <c r="CX50" s="59">
        <f t="shared" si="14"/>
        <v>725.07264085474969</v>
      </c>
      <c r="CY50" s="59">
        <f ca="1">AVERAGE(OFFSET($CX$3,0,0,'Données projet'!$E$13+1,1))-AVERAGE(OFFSET($H$3,0,0,'Données projet'!$E$13+1,1))</f>
        <v>317.12995176362455</v>
      </c>
      <c r="CZ50" s="59">
        <f t="shared" si="42"/>
        <v>328.11301015275262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12.893485804715354</v>
      </c>
      <c r="DG50" s="21">
        <f>EXP(-LN(2)/25)*DG49+(1-EXP(-LN(2)/25))/(LN(2)/25)*Calculateur!DB50*Calculateur!DD50*VLOOKUP('Données projet'!$B$13,Paramètres!$A$1:$I$89,3,0)*0.475*44/12</f>
        <v>10.065299913799075</v>
      </c>
      <c r="DH50" s="21">
        <f>EXP(-LN(2)/2)*DH49+(1-EXP(-LN(2)/2))/(LN(2)/2)*DB50*DE50*VLOOKUP('Données projet'!$B$13,Paramètres!$A$1:$I$89,3,0)*0.475*44/12</f>
        <v>1.5858481782999187E-2</v>
      </c>
      <c r="DI50" s="22">
        <f t="shared" si="15"/>
        <v>22.974644200297426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7.8</v>
      </c>
      <c r="DO50" s="12">
        <f>IF('Données projet'!$A$166&gt;35,DO49+DN50-DW49,IF(A50&lt;'Données projet'!$A$166,$DL$205^A50,IF(A50='Données projet'!$A$166,'Données projet'!$B$166,DO49+DN50-DW49)))</f>
        <v>185.59999999999994</v>
      </c>
      <c r="DP50" s="17">
        <f>DO50*VLOOKUP('Données projet'!$B$14,Paramètres!$A$1:$I$89,3,0)*VLOOKUP('Données projet'!$B$14,Paramètres!$A$1:$I$89,5,0)</f>
        <v>162.14015999999998</v>
      </c>
      <c r="DQ50" s="13">
        <f t="shared" si="43"/>
        <v>41.324860537333677</v>
      </c>
      <c r="DR50" s="20">
        <f t="shared" si="16"/>
        <v>354.36824410252279</v>
      </c>
      <c r="DS50" s="59">
        <f t="shared" si="17"/>
        <v>623.13559919968202</v>
      </c>
      <c r="DT50" s="59">
        <f ca="1">AVERAGE(OFFSET($DS$3,0,0,'Données projet'!$E$14+1,1))-AVERAGE(OFFSET($H$3,0,0,'Données projet'!$E$14+1,1))</f>
        <v>325.5873213944476</v>
      </c>
      <c r="DU50" s="59">
        <f t="shared" si="44"/>
        <v>347.9042278368363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2.091102267336395</v>
      </c>
      <c r="EB50" s="21">
        <f>EXP(-LN(2)/25)*EB49+(1-EXP(-LN(2)/25))/(LN(2)/25)*Calculateur!DW50*Calculateur!DY50*VLOOKUP('Données projet'!$B$14,Paramètres!$A$1:$I$89,3,0)*0.475*44/12</f>
        <v>5.5072284856395699</v>
      </c>
      <c r="EC50" s="21">
        <f>EXP(-LN(2)/2)*EC49+(1-EXP(-LN(2)/2))/(LN(2)/2)*DW50*DZ50*VLOOKUP('Données projet'!$B$14,Paramètres!$A$1:$I$89,3,0)*0.475*44/12</f>
        <v>3.3007028148130495E-2</v>
      </c>
      <c r="ED50" s="22">
        <f t="shared" si="18"/>
        <v>7.6313377811240954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5.125</v>
      </c>
      <c r="EJ50" s="12">
        <f>IF('Données projet'!$A$192&gt;35,EJ49+EI50-ER49,IF(A50&lt;'Données projet'!$A$192,$EG$205^A50,IF(A50='Données projet'!$A$192,'Données projet'!$B$192,EJ49+EI50-ER49)))</f>
        <v>210.125</v>
      </c>
      <c r="EK50" s="17">
        <f>EJ50*VLOOKUP('Données projet'!$B$15,Paramètres!$A$1:$I$89,3,0)*VLOOKUP('Données projet'!$B$15,Paramètres!$A$1:$I$89,5,0)</f>
        <v>125.65475000000001</v>
      </c>
      <c r="EL50" s="13">
        <f t="shared" si="45"/>
        <v>32.990321670339604</v>
      </c>
      <c r="EM50" s="20">
        <f t="shared" si="19"/>
        <v>276.3068331591748</v>
      </c>
      <c r="EN50" s="59">
        <f t="shared" si="20"/>
        <v>545.07418825633397</v>
      </c>
      <c r="EO50" s="59">
        <f ca="1">AVERAGE(OFFSET($EN$3,0,0,'Données projet'!$E$15+1,1))-AVERAGE(OFFSET($H$3,0,0,'Données projet'!$E$15+1,1))</f>
        <v>205.5480000480477</v>
      </c>
      <c r="EP50" s="59">
        <f t="shared" si="46"/>
        <v>229.86812144828366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5.2527614393800022</v>
      </c>
      <c r="EW50" s="21">
        <f>EXP(-LN(2)/25)*EW49+(1-EXP(-LN(2)/25))/(LN(2)/25)*Calculateur!ER50*Calculateur!ET50*VLOOKUP('Données projet'!$B$15,Paramètres!$A$1:$I$89,3,0)*0.475*44/12</f>
        <v>3.7590589157850842</v>
      </c>
      <c r="EX50" s="21">
        <f>EXP(-LN(2)/2)*EX49+(1-EXP(-LN(2)/2))/(LN(2)/2)*ER50*EU50*VLOOKUP('Données projet'!$B$15,Paramètres!$A$1:$I$89,3,0)*0.475*44/12</f>
        <v>8.1703178671947187E-3</v>
      </c>
      <c r="EY50" s="22">
        <f t="shared" si="21"/>
        <v>9.0199906730322823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3.05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8.386559999999994</v>
      </c>
      <c r="D51" s="11">
        <f t="shared" si="32"/>
        <v>3.0173852438901214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35.774412111223299</v>
      </c>
      <c r="H51" s="67">
        <f t="shared" si="1"/>
        <v>231.7952046331086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20.399999999999999</v>
      </c>
      <c r="N51" s="13">
        <f>IF('Données projet'!$A$36&gt;35,N50+M51-V50,IF(A51&lt;'Données projet'!$A$36,$K$205^A51,IF(A51='Données projet'!$A$36,'Données projet'!$B$36,N50+M51-V50)))</f>
        <v>683.19999999999959</v>
      </c>
      <c r="O51" s="13">
        <f>N51*VLOOKUP('Données projet'!$B$9,Paramètres!$A$1:$I$89,3,0)*VLOOKUP('Données projet'!$B$9,Paramètres!$A$1:$I$89,5,0)</f>
        <v>381.90879999999981</v>
      </c>
      <c r="P51" s="13">
        <f t="shared" si="33"/>
        <v>88.099131154986978</v>
      </c>
      <c r="Q51" s="20">
        <f t="shared" si="53"/>
        <v>818.59714676160195</v>
      </c>
      <c r="R51" s="59">
        <f t="shared" si="0"/>
        <v>1087.7906666598592</v>
      </c>
      <c r="S51" s="59">
        <f ca="1">AVERAGE(OFFSET($R$3,0,0,'Données projet'!$E$9+1,1))-AVERAGE(OFFSET($H$3,0,0,'Données projet'!$E$9+1,1))</f>
        <v>542.23071537860039</v>
      </c>
      <c r="T51" s="59">
        <f t="shared" si="34"/>
        <v>667.26143680054633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5.1399622880031526</v>
      </c>
      <c r="AA51" s="21">
        <f>EXP(-LN(2)/25)*AA50+(1-EXP(-LN(2)/25))/(LN(2)/25)*Calculateur!V51*Calculateur!X51*VLOOKUP('Données projet'!$B$9,Paramètres!$A$1:$I$89,3,0)*0.475*44/12</f>
        <v>25.869771944532186</v>
      </c>
      <c r="AB51" s="21">
        <f>EXP(-LN(2)/2)*AB50+(1-EXP(-LN(2)/2))/(LN(2)/2)*V51*Y51*VLOOKUP('Données projet'!$B$9,Paramètres!$A$1:$I$89,3,0)*0.475*44/12</f>
        <v>2.8160073759253206E-2</v>
      </c>
      <c r="AC51" s="22">
        <f t="shared" si="3"/>
        <v>31.037894306294589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17.8</v>
      </c>
      <c r="AI51" s="13">
        <f>IF('Données projet'!$A$62&gt;35,AI50+AH51-AQ50,IF(A51&lt;'Données projet'!$A$62,$AF$205^A51,IF(A51='Données projet'!$A$62,'Données projet'!$B$62,AI50+AH51-AQ50)))</f>
        <v>593.39999999999986</v>
      </c>
      <c r="AJ51" s="13">
        <f>AI51*VLOOKUP('Données projet'!$B$10,Paramètres!$A$1:$I$89,3,0)*VLOOKUP('Données projet'!$B$10,Paramètres!$A$1:$I$89,5,0)</f>
        <v>331.71059999999994</v>
      </c>
      <c r="AK51" s="13">
        <f t="shared" si="35"/>
        <v>77.784851407016433</v>
      </c>
      <c r="AL51" s="20">
        <f t="shared" si="4"/>
        <v>713.20457786722011</v>
      </c>
      <c r="AM51" s="59">
        <f t="shared" si="5"/>
        <v>982.39809776547736</v>
      </c>
      <c r="AN51" s="59">
        <f ca="1">AVERAGE(OFFSET($AM$3,0,0,'Données projet'!$E$10+1,1))-AVERAGE(OFFSET($H$3,0,0,'Données projet'!$E$10+1,1))</f>
        <v>427.83834708696861</v>
      </c>
      <c r="AO51" s="59">
        <f t="shared" si="36"/>
        <v>545.63950537101903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3.0839773728018915</v>
      </c>
      <c r="AV51" s="21">
        <f>EXP(-LN(2)/25)*AV50+(1-EXP(-LN(2)/25))/(LN(2)/25)*Calculateur!AQ51*Calculateur!AS51*VLOOKUP('Données projet'!$B$10,Paramètres!$A$1:$I$89,3,0)*0.475*44/12</f>
        <v>14.947286580342189</v>
      </c>
      <c r="AW51" s="21">
        <f>EXP(-LN(2)/2)*AW50+(1-EXP(-LN(2)/2))/(LN(2)/2)*AQ51*AT51*VLOOKUP('Données projet'!$B$10,Paramètres!$A$1:$I$89,3,0)*0.475*44/12</f>
        <v>1.8070764771336907E-2</v>
      </c>
      <c r="AX51" s="21">
        <f t="shared" si="6"/>
        <v>18.049334717915418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</v>
      </c>
      <c r="BD51" s="12">
        <f>IF('Données projet'!$A$88&gt;35,BD50+BC51-BL50,IF(A51&lt;'Données projet'!$A$88,$BA$205^A51,IF(A51='Données projet'!$A$88,'Données projet'!$B$88,BD50+BC51-BL50)))</f>
        <v>178.99999999999994</v>
      </c>
      <c r="BE51" s="13">
        <f>BD51*VLOOKUP('Données projet'!$B$11,Paramètres!$A$1:$I$89,3,0)*VLOOKUP('Données projet'!$B$11,Paramètres!$A$1:$I$89,5,0)</f>
        <v>83.771999999999977</v>
      </c>
      <c r="BF51" s="13">
        <f t="shared" si="37"/>
        <v>23.056970229527074</v>
      </c>
      <c r="BG51" s="20">
        <f t="shared" si="7"/>
        <v>186.06045648309293</v>
      </c>
      <c r="BH51" s="59">
        <f t="shared" si="8"/>
        <v>455.25397638135024</v>
      </c>
      <c r="BI51" s="59">
        <f ca="1">AVERAGE(OFFSET($BH$3,0,0,'Données projet'!$E$11+1,1))-AVERAGE(OFFSET($H$3,0,0,'Données projet'!$E$11+1,1))</f>
        <v>210.62109466714364</v>
      </c>
      <c r="BJ51" s="59">
        <f t="shared" si="38"/>
        <v>193.35729443770401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4.5702460701984213</v>
      </c>
      <c r="BQ51" s="21">
        <f>EXP(-LN(2)/25)*BQ50+(1-EXP(-LN(2)/25))/(LN(2)/25)*Calculateur!BL51*Calculateur!BN51*VLOOKUP('Données projet'!$B$11,Paramètres!$A$1:$I$89,3,0)*0.475*44/12</f>
        <v>4.8642350938419368</v>
      </c>
      <c r="BR51" s="21">
        <f>EXP(-LN(2)/2)*BR50+(1-EXP(-LN(2)/2))/(LN(2)/2)*BL51*BO51*VLOOKUP('Données projet'!$B$11,Paramètres!$A$1:$I$89,3,0)*0.475*44/12</f>
        <v>1.5460900153907652E-2</v>
      </c>
      <c r="BS51" s="22">
        <f t="shared" si="9"/>
        <v>9.449942064194266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17.399999999999999</v>
      </c>
      <c r="BY51" s="12">
        <f>IF('Données projet'!$A$114&gt;35,BY50+BX51-CG50,IF(A51&lt;'Données projet'!$A$114,$BV$205^A51,IF(A51='Données projet'!$A$114,'Données projet'!$B$114,BY50+BX51-CG50)))</f>
        <v>317.2</v>
      </c>
      <c r="BZ51" s="13">
        <f>BY51*VLOOKUP('Données projet'!$B$12,Paramètres!$A$1:$I$89,3,0)*VLOOKUP('Données projet'!$B$12,Paramètres!$A$1:$I$89,5,0)</f>
        <v>189.68560000000002</v>
      </c>
      <c r="CA51" s="13">
        <f t="shared" si="39"/>
        <v>47.470436776872745</v>
      </c>
      <c r="CB51" s="20">
        <f t="shared" si="10"/>
        <v>413.04676405305344</v>
      </c>
      <c r="CC51" s="59">
        <f t="shared" si="11"/>
        <v>682.24028395131074</v>
      </c>
      <c r="CD51" s="59">
        <f ca="1">AVERAGE(OFFSET($CC$3,0,0,'Données projet'!$E$12+1,1))-AVERAGE(OFFSET($H$3,0,0,'Données projet'!$E$12+1,1))</f>
        <v>368.16165268258442</v>
      </c>
      <c r="CE51" s="59">
        <f t="shared" si="40"/>
        <v>291.32219253157041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5.23621415864333</v>
      </c>
      <c r="CL51" s="21">
        <f>EXP(-LN(2)/25)*CL50+(1-EXP(-LN(2)/25))/(LN(2)/25)*Calculateur!CG51*Calculateur!CI51*VLOOKUP('Données projet'!$B$12,Paramètres!$A$1:$I$89,3,0)*0.475*44/12</f>
        <v>4.0330871358511944</v>
      </c>
      <c r="CM51" s="21">
        <f>EXP(-LN(2)/2)*CM50+(1-EXP(-LN(2)/2))/(LN(2)/2)*CG51*CJ51*VLOOKUP('Données projet'!$B$12,Paramètres!$A$1:$I$89,3,0)*0.475*44/12</f>
        <v>1.5474284190773341E-2</v>
      </c>
      <c r="CN51" s="22">
        <f t="shared" si="12"/>
        <v>9.2847755786852986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7.25</v>
      </c>
      <c r="CT51" s="12">
        <f>IF('Données projet'!$A$140&gt;35,CT50+CS51-DB50,IF(A51&lt;'Données projet'!$A$140,$CQ$205^A51,IF(A51='Données projet'!$A$140,'Données projet'!$B$140,CT50+CS51-DB50)))</f>
        <v>358.50000000000011</v>
      </c>
      <c r="CU51" s="17">
        <f>CT51*VLOOKUP('Données projet'!$B$13,Paramètres!$A$1:$I$89,3,0)*VLOOKUP('Données projet'!$B$13,Paramètres!$A$1:$I$89,5,0)</f>
        <v>214.38300000000007</v>
      </c>
      <c r="CV51" s="13">
        <f t="shared" si="41"/>
        <v>52.892226959987156</v>
      </c>
      <c r="CW51" s="20">
        <f t="shared" si="13"/>
        <v>465.50435362197771</v>
      </c>
      <c r="CX51" s="59">
        <f t="shared" si="14"/>
        <v>734.69787352023502</v>
      </c>
      <c r="CY51" s="59">
        <f ca="1">AVERAGE(OFFSET($CX$3,0,0,'Données projet'!$E$13+1,1))-AVERAGE(OFFSET($H$3,0,0,'Données projet'!$E$13+1,1))</f>
        <v>317.12995176362455</v>
      </c>
      <c r="CZ51" s="59">
        <f t="shared" si="42"/>
        <v>328.11301015275262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12.640652412334697</v>
      </c>
      <c r="DG51" s="21">
        <f>EXP(-LN(2)/25)*DG50+(1-EXP(-LN(2)/25))/(LN(2)/25)*Calculateur!DB51*Calculateur!DD51*VLOOKUP('Données projet'!$B$13,Paramètres!$A$1:$I$89,3,0)*0.475*44/12</f>
        <v>9.7900637583451218</v>
      </c>
      <c r="DH51" s="21">
        <f>EXP(-LN(2)/2)*DH50+(1-EXP(-LN(2)/2))/(LN(2)/2)*DB51*DE51*VLOOKUP('Données projet'!$B$13,Paramètres!$A$1:$I$89,3,0)*0.475*44/12</f>
        <v>1.1213640008082056E-2</v>
      </c>
      <c r="DI51" s="22">
        <f t="shared" si="15"/>
        <v>22.441929810687903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7.8</v>
      </c>
      <c r="DO51" s="12">
        <f>IF('Données projet'!$A$166&gt;35,DO50+DN51-DW50,IF(A51&lt;'Données projet'!$A$166,$DL$205^A51,IF(A51='Données projet'!$A$166,'Données projet'!$B$166,DO50+DN51-DW50)))</f>
        <v>193.39999999999995</v>
      </c>
      <c r="DP51" s="17">
        <f>DO51*VLOOKUP('Données projet'!$B$14,Paramètres!$A$1:$I$89,3,0)*VLOOKUP('Données projet'!$B$14,Paramètres!$A$1:$I$89,5,0)</f>
        <v>168.95424</v>
      </c>
      <c r="DQ51" s="13">
        <f t="shared" si="43"/>
        <v>42.855724087026708</v>
      </c>
      <c r="DR51" s="20">
        <f t="shared" si="16"/>
        <v>368.90235411823818</v>
      </c>
      <c r="DS51" s="59">
        <f t="shared" si="17"/>
        <v>638.09587401649549</v>
      </c>
      <c r="DT51" s="59">
        <f ca="1">AVERAGE(OFFSET($DS$3,0,0,'Données projet'!$E$14+1,1))-AVERAGE(OFFSET($H$3,0,0,'Données projet'!$E$14+1,1))</f>
        <v>325.5873213944476</v>
      </c>
      <c r="DU51" s="59">
        <f t="shared" si="44"/>
        <v>347.9042278368363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2.0500970273203714</v>
      </c>
      <c r="EB51" s="21">
        <f>EXP(-LN(2)/25)*EB50+(1-EXP(-LN(2)/25))/(LN(2)/25)*Calculateur!DW51*Calculateur!DY51*VLOOKUP('Données projet'!$B$14,Paramètres!$A$1:$I$89,3,0)*0.475*44/12</f>
        <v>5.3566330330871965</v>
      </c>
      <c r="EC51" s="21">
        <f>EXP(-LN(2)/2)*EC50+(1-EXP(-LN(2)/2))/(LN(2)/2)*DW51*DZ51*VLOOKUP('Données projet'!$B$14,Paramètres!$A$1:$I$89,3,0)*0.475*44/12</f>
        <v>2.3339493430358325E-2</v>
      </c>
      <c r="ED51" s="22">
        <f t="shared" si="18"/>
        <v>7.4300695538379262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5.125</v>
      </c>
      <c r="EJ51" s="12">
        <f>IF('Données projet'!$A$192&gt;35,EJ50+EI51-ER50,IF(A51&lt;'Données projet'!$A$192,$EG$205^A51,IF(A51='Données projet'!$A$192,'Données projet'!$B$192,EJ50+EI51-ER50)))</f>
        <v>215.25</v>
      </c>
      <c r="EK51" s="17">
        <f>EJ51*VLOOKUP('Données projet'!$B$15,Paramètres!$A$1:$I$89,3,0)*VLOOKUP('Données projet'!$B$15,Paramètres!$A$1:$I$89,5,0)</f>
        <v>128.71950000000001</v>
      </c>
      <c r="EL51" s="13">
        <f t="shared" si="45"/>
        <v>33.700303131200371</v>
      </c>
      <c r="EM51" s="20">
        <f t="shared" si="19"/>
        <v>282.88115712017401</v>
      </c>
      <c r="EN51" s="59">
        <f t="shared" si="20"/>
        <v>552.07467701843132</v>
      </c>
      <c r="EO51" s="59">
        <f ca="1">AVERAGE(OFFSET($EN$3,0,0,'Données projet'!$E$15+1,1))-AVERAGE(OFFSET($H$3,0,0,'Données projet'!$E$15+1,1))</f>
        <v>205.5480000480477</v>
      </c>
      <c r="EP51" s="59">
        <f t="shared" si="46"/>
        <v>229.86812144828366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5.1497579914218825</v>
      </c>
      <c r="EW51" s="21">
        <f>EXP(-LN(2)/25)*EW50+(1-EXP(-LN(2)/25))/(LN(2)/25)*Calculateur!ER51*Calculateur!ET51*VLOOKUP('Données projet'!$B$15,Paramètres!$A$1:$I$89,3,0)*0.475*44/12</f>
        <v>3.6562672520526243</v>
      </c>
      <c r="EX51" s="21">
        <f>EXP(-LN(2)/2)*EX50+(1-EXP(-LN(2)/2))/(LN(2)/2)*ER51*EU51*VLOOKUP('Données projet'!$B$15,Paramètres!$A$1:$I$89,3,0)*0.475*44/12</f>
        <v>5.7772871683429957E-3</v>
      </c>
      <c r="EY51" s="22">
        <f t="shared" si="21"/>
        <v>8.8118025306428489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3.05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8.5612799999999947</v>
      </c>
      <c r="D52" s="11">
        <f t="shared" si="32"/>
        <v>3.0728634453568038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36.343042054495385</v>
      </c>
      <c r="H52" s="67">
        <f t="shared" si="1"/>
        <v>232.19613316732972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20.399999999999999</v>
      </c>
      <c r="N52" s="13">
        <f>IF('Données projet'!$A$36&gt;35,N51+M52-V51,IF(A52&lt;'Données projet'!$A$36,$K$205^A52,IF(A52='Données projet'!$A$36,'Données projet'!$B$36,N51+M52-V51)))</f>
        <v>703.59999999999957</v>
      </c>
      <c r="O52" s="13">
        <f>N52*VLOOKUP('Données projet'!$B$9,Paramètres!$A$1:$I$89,3,0)*VLOOKUP('Données projet'!$B$9,Paramètres!$A$1:$I$89,5,0)</f>
        <v>393.3123999999998</v>
      </c>
      <c r="P52" s="13">
        <f t="shared" si="33"/>
        <v>90.419529407700907</v>
      </c>
      <c r="Q52" s="20">
        <f t="shared" si="53"/>
        <v>842.49977705174535</v>
      </c>
      <c r="R52" s="59">
        <f t="shared" si="0"/>
        <v>1112.1120687445634</v>
      </c>
      <c r="S52" s="59">
        <f ca="1">AVERAGE(OFFSET($R$3,0,0,'Données projet'!$E$9+1,1))-AVERAGE(OFFSET($H$3,0,0,'Données projet'!$E$9+1,1))</f>
        <v>542.23071537860039</v>
      </c>
      <c r="T52" s="59">
        <f t="shared" si="34"/>
        <v>667.26143680054633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5.0391707626028444</v>
      </c>
      <c r="AA52" s="21">
        <f>EXP(-LN(2)/25)*AA51+(1-EXP(-LN(2)/25))/(LN(2)/25)*Calculateur!V52*Calculateur!X52*VLOOKUP('Données projet'!$B$9,Paramètres!$A$1:$I$89,3,0)*0.475*44/12</f>
        <v>25.162361670276773</v>
      </c>
      <c r="AB52" s="21">
        <f>EXP(-LN(2)/2)*AB51+(1-EXP(-LN(2)/2))/(LN(2)/2)*V52*Y52*VLOOKUP('Données projet'!$B$9,Paramètres!$A$1:$I$89,3,0)*0.475*44/12</f>
        <v>1.9912179113881295E-2</v>
      </c>
      <c r="AC52" s="22">
        <f t="shared" si="3"/>
        <v>30.221444611993498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17.8</v>
      </c>
      <c r="AI52" s="13">
        <f>IF('Données projet'!$A$62&gt;35,AI51+AH52-AQ51,IF(A52&lt;'Données projet'!$A$62,$AF$205^A52,IF(A52='Données projet'!$A$62,'Données projet'!$B$62,AI51+AH52-AQ51)))</f>
        <v>611.19999999999982</v>
      </c>
      <c r="AJ52" s="13">
        <f>AI52*VLOOKUP('Données projet'!$B$10,Paramètres!$A$1:$I$89,3,0)*VLOOKUP('Données projet'!$B$10,Paramètres!$A$1:$I$89,5,0)</f>
        <v>341.66079999999988</v>
      </c>
      <c r="AK52" s="13">
        <f t="shared" si="35"/>
        <v>79.842980844864144</v>
      </c>
      <c r="AL52" s="20">
        <f t="shared" si="4"/>
        <v>734.11908497147158</v>
      </c>
      <c r="AM52" s="59">
        <f t="shared" si="5"/>
        <v>1003.7313766642897</v>
      </c>
      <c r="AN52" s="59">
        <f ca="1">AVERAGE(OFFSET($AM$3,0,0,'Données projet'!$E$10+1,1))-AVERAGE(OFFSET($H$3,0,0,'Données projet'!$E$10+1,1))</f>
        <v>427.83834708696861</v>
      </c>
      <c r="AO52" s="59">
        <f t="shared" si="36"/>
        <v>545.63950537101903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3.0235024575617064</v>
      </c>
      <c r="AV52" s="21">
        <f>EXP(-LN(2)/25)*AV51+(1-EXP(-LN(2)/25))/(LN(2)/25)*Calculateur!AQ52*Calculateur!AS52*VLOOKUP('Données projet'!$B$10,Paramètres!$A$1:$I$89,3,0)*0.475*44/12</f>
        <v>14.538552242759092</v>
      </c>
      <c r="AW52" s="21">
        <f>EXP(-LN(2)/2)*AW51+(1-EXP(-LN(2)/2))/(LN(2)/2)*AQ52*AT52*VLOOKUP('Données projet'!$B$10,Paramètres!$A$1:$I$89,3,0)*0.475*44/12</f>
        <v>1.2777960311039298E-2</v>
      </c>
      <c r="AX52" s="21">
        <f t="shared" si="6"/>
        <v>17.574832660631838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</v>
      </c>
      <c r="BD52" s="12">
        <f>IF('Données projet'!$A$88&gt;35,BD51+BC52-BL51,IF(A52&lt;'Données projet'!$A$88,$BA$205^A52,IF(A52='Données projet'!$A$88,'Données projet'!$B$88,BD51+BC52-BL51)))</f>
        <v>185.99999999999994</v>
      </c>
      <c r="BE52" s="13">
        <f>BD52*VLOOKUP('Données projet'!$B$11,Paramètres!$A$1:$I$89,3,0)*VLOOKUP('Données projet'!$B$11,Paramètres!$A$1:$I$89,5,0)</f>
        <v>87.047999999999973</v>
      </c>
      <c r="BF52" s="13">
        <f t="shared" si="37"/>
        <v>23.851897708444891</v>
      </c>
      <c r="BG52" s="20">
        <f t="shared" si="7"/>
        <v>193.15065517554149</v>
      </c>
      <c r="BH52" s="59">
        <f t="shared" si="8"/>
        <v>462.76294686835956</v>
      </c>
      <c r="BI52" s="59">
        <f ca="1">AVERAGE(OFFSET($BH$3,0,0,'Données projet'!$E$11+1,1))-AVERAGE(OFFSET($H$3,0,0,'Données projet'!$E$11+1,1))</f>
        <v>210.62109466714364</v>
      </c>
      <c r="BJ52" s="59">
        <f t="shared" si="38"/>
        <v>193.35729443770401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4.4806263323366826</v>
      </c>
      <c r="BQ52" s="21">
        <f>EXP(-LN(2)/25)*BQ51+(1-EXP(-LN(2)/25))/(LN(2)/25)*Calculateur!BL52*Calculateur!BN52*VLOOKUP('Données projet'!$B$11,Paramètres!$A$1:$I$89,3,0)*0.475*44/12</f>
        <v>4.731222329401823</v>
      </c>
      <c r="BR52" s="21">
        <f>EXP(-LN(2)/2)*BR51+(1-EXP(-LN(2)/2))/(LN(2)/2)*BL52*BO52*VLOOKUP('Données projet'!$B$11,Paramètres!$A$1:$I$89,3,0)*0.475*44/12</f>
        <v>1.0932507342076238E-2</v>
      </c>
      <c r="BS52" s="22">
        <f t="shared" si="9"/>
        <v>9.2227811690805819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17.399999999999999</v>
      </c>
      <c r="BY52" s="12">
        <f>IF('Données projet'!$A$114&gt;35,BY51+BX52-CG51,IF(A52&lt;'Données projet'!$A$114,$BV$205^A52,IF(A52='Données projet'!$A$114,'Données projet'!$B$114,BY51+BX52-CG51)))</f>
        <v>334.59999999999997</v>
      </c>
      <c r="BZ52" s="13">
        <f>BY52*VLOOKUP('Données projet'!$B$12,Paramètres!$A$1:$I$89,3,0)*VLOOKUP('Données projet'!$B$12,Paramètres!$A$1:$I$89,5,0)</f>
        <v>200.0908</v>
      </c>
      <c r="CA52" s="13">
        <f t="shared" si="39"/>
        <v>49.764122289960234</v>
      </c>
      <c r="CB52" s="20">
        <f t="shared" si="10"/>
        <v>435.16398965501406</v>
      </c>
      <c r="CC52" s="59">
        <f t="shared" si="11"/>
        <v>704.77628134783208</v>
      </c>
      <c r="CD52" s="59">
        <f ca="1">AVERAGE(OFFSET($CC$3,0,0,'Données projet'!$E$12+1,1))-AVERAGE(OFFSET($H$3,0,0,'Données projet'!$E$12+1,1))</f>
        <v>368.16165268258442</v>
      </c>
      <c r="CE52" s="59">
        <f t="shared" si="40"/>
        <v>291.32219253157041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5.1335351927676118</v>
      </c>
      <c r="CL52" s="21">
        <f>EXP(-LN(2)/25)*CL51+(1-EXP(-LN(2)/25))/(LN(2)/25)*Calculateur!CG52*Calculateur!CI52*VLOOKUP('Données projet'!$B$12,Paramètres!$A$1:$I$89,3,0)*0.475*44/12</f>
        <v>3.9228021560305089</v>
      </c>
      <c r="CM52" s="21">
        <f>EXP(-LN(2)/2)*CM51+(1-EXP(-LN(2)/2))/(LN(2)/2)*CG52*CJ52*VLOOKUP('Données projet'!$B$12,Paramètres!$A$1:$I$89,3,0)*0.475*44/12</f>
        <v>1.0941971285303618E-2</v>
      </c>
      <c r="CN52" s="22">
        <f t="shared" si="12"/>
        <v>9.0672793200834239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7.25</v>
      </c>
      <c r="CT52" s="12">
        <f>IF('Données projet'!$A$140&gt;35,CT51+CS52-DB51,IF(A52&lt;'Données projet'!$A$140,$CQ$205^A52,IF(A52='Données projet'!$A$140,'Données projet'!$B$140,CT51+CS52-DB51)))</f>
        <v>365.75000000000011</v>
      </c>
      <c r="CU52" s="17">
        <f>CT52*VLOOKUP('Données projet'!$B$13,Paramètres!$A$1:$I$89,3,0)*VLOOKUP('Données projet'!$B$13,Paramètres!$A$1:$I$89,5,0)</f>
        <v>218.71850000000009</v>
      </c>
      <c r="CV52" s="13">
        <f t="shared" si="41"/>
        <v>53.836263396856587</v>
      </c>
      <c r="CW52" s="20">
        <f t="shared" si="13"/>
        <v>474.69954624952533</v>
      </c>
      <c r="CX52" s="59">
        <f t="shared" si="14"/>
        <v>744.31183794234335</v>
      </c>
      <c r="CY52" s="59">
        <f ca="1">AVERAGE(OFFSET($CX$3,0,0,'Données projet'!$E$13+1,1))-AVERAGE(OFFSET($H$3,0,0,'Données projet'!$E$13+1,1))</f>
        <v>317.12995176362455</v>
      </c>
      <c r="CZ52" s="59">
        <f t="shared" si="42"/>
        <v>328.11301015275262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12.392776928565482</v>
      </c>
      <c r="DG52" s="21">
        <f>EXP(-LN(2)/25)*DG51+(1-EXP(-LN(2)/25))/(LN(2)/25)*Calculateur!DB52*Calculateur!DD52*VLOOKUP('Données projet'!$B$13,Paramètres!$A$1:$I$89,3,0)*0.475*44/12</f>
        <v>9.5223539500360967</v>
      </c>
      <c r="DH52" s="21">
        <f>EXP(-LN(2)/2)*DH51+(1-EXP(-LN(2)/2))/(LN(2)/2)*DB52*DE52*VLOOKUP('Données projet'!$B$13,Paramètres!$A$1:$I$89,3,0)*0.475*44/12</f>
        <v>7.9292408914995935E-3</v>
      </c>
      <c r="DI52" s="22">
        <f t="shared" si="15"/>
        <v>21.92306011949308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7.8</v>
      </c>
      <c r="DO52" s="12">
        <f>IF('Données projet'!$A$166&gt;35,DO51+DN52-DW51,IF(A52&lt;'Données projet'!$A$166,$DL$205^A52,IF(A52='Données projet'!$A$166,'Données projet'!$B$166,DO51+DN52-DW51)))</f>
        <v>201.19999999999996</v>
      </c>
      <c r="DP52" s="17">
        <f>DO52*VLOOKUP('Données projet'!$B$14,Paramètres!$A$1:$I$89,3,0)*VLOOKUP('Données projet'!$B$14,Paramètres!$A$1:$I$89,5,0)</f>
        <v>175.76831999999999</v>
      </c>
      <c r="DQ52" s="13">
        <f t="shared" si="43"/>
        <v>44.379415757690168</v>
      </c>
      <c r="DR52" s="20">
        <f t="shared" si="16"/>
        <v>383.42397311131032</v>
      </c>
      <c r="DS52" s="59">
        <f t="shared" si="17"/>
        <v>653.03626480412845</v>
      </c>
      <c r="DT52" s="59">
        <f ca="1">AVERAGE(OFFSET($DS$3,0,0,'Données projet'!$E$14+1,1))-AVERAGE(OFFSET($H$3,0,0,'Données projet'!$E$14+1,1))</f>
        <v>325.5873213944476</v>
      </c>
      <c r="DU52" s="59">
        <f t="shared" si="44"/>
        <v>347.9042278368363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2.0098958750503351</v>
      </c>
      <c r="EB52" s="21">
        <f>EXP(-LN(2)/25)*EB51+(1-EXP(-LN(2)/25))/(LN(2)/25)*Calculateur!DW52*Calculateur!DY52*VLOOKUP('Données projet'!$B$14,Paramètres!$A$1:$I$89,3,0)*0.475*44/12</f>
        <v>5.2101556211043389</v>
      </c>
      <c r="EC52" s="21">
        <f>EXP(-LN(2)/2)*EC51+(1-EXP(-LN(2)/2))/(LN(2)/2)*DW52*DZ52*VLOOKUP('Données projet'!$B$14,Paramètres!$A$1:$I$89,3,0)*0.475*44/12</f>
        <v>1.6503514074065247E-2</v>
      </c>
      <c r="ED52" s="22">
        <f t="shared" si="18"/>
        <v>7.2365550102287397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5.125</v>
      </c>
      <c r="EJ52" s="12">
        <f>IF('Données projet'!$A$192&gt;35,EJ51+EI52-ER51,IF(A52&lt;'Données projet'!$A$192,$EG$205^A52,IF(A52='Données projet'!$A$192,'Données projet'!$B$192,EJ51+EI52-ER51)))</f>
        <v>220.375</v>
      </c>
      <c r="EK52" s="17">
        <f>EJ52*VLOOKUP('Données projet'!$B$15,Paramètres!$A$1:$I$89,3,0)*VLOOKUP('Données projet'!$B$15,Paramètres!$A$1:$I$89,5,0)</f>
        <v>131.78425000000001</v>
      </c>
      <c r="EL52" s="13">
        <f t="shared" si="45"/>
        <v>34.408319457025534</v>
      </c>
      <c r="EM52" s="20">
        <f t="shared" si="19"/>
        <v>289.45205847098617</v>
      </c>
      <c r="EN52" s="59">
        <f t="shared" si="20"/>
        <v>559.06435016380419</v>
      </c>
      <c r="EO52" s="59">
        <f ca="1">AVERAGE(OFFSET($EN$3,0,0,'Données projet'!$E$15+1,1))-AVERAGE(OFFSET($H$3,0,0,'Données projet'!$E$15+1,1))</f>
        <v>205.5480000480477</v>
      </c>
      <c r="EP52" s="59">
        <f t="shared" si="46"/>
        <v>229.86812144828366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5.0487743782523218</v>
      </c>
      <c r="EW52" s="21">
        <f>EXP(-LN(2)/25)*EW51+(1-EXP(-LN(2)/25))/(LN(2)/25)*Calculateur!ER52*Calculateur!ET52*VLOOKUP('Données projet'!$B$15,Paramètres!$A$1:$I$89,3,0)*0.475*44/12</f>
        <v>3.556286431770507</v>
      </c>
      <c r="EX52" s="21">
        <f>EXP(-LN(2)/2)*EX51+(1-EXP(-LN(2)/2))/(LN(2)/2)*ER52*EU52*VLOOKUP('Données projet'!$B$15,Paramètres!$A$1:$I$89,3,0)*0.475*44/12</f>
        <v>4.0851589335973593E-3</v>
      </c>
      <c r="EY52" s="22">
        <f t="shared" si="21"/>
        <v>8.609145968956426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3.05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8.7359999999999953</v>
      </c>
      <c r="D53" s="11">
        <f t="shared" si="32"/>
        <v>3.1282100045396755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36.91134681823133</v>
      </c>
      <c r="H53" s="67">
        <f t="shared" si="1"/>
        <v>232.59683242457322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724</v>
      </c>
      <c r="L53" s="12">
        <f>VLOOKUP(A53,'Données projet'!$A$35:$I$55,9,0)</f>
        <v>20.399999999999999</v>
      </c>
      <c r="M53" s="12">
        <f t="array" ref="M53">INDEX(L:L,MIN(IF(ISNUMBER(L53:L249),ROW(L53:L249),"")))</f>
        <v>20.399999999999999</v>
      </c>
      <c r="N53" s="13">
        <f>IF('Données projet'!$A$36&gt;35,N52+M53-V52,IF(A53&lt;'Données projet'!$A$36,$K$205^A53,IF(A53='Données projet'!$A$36,'Données projet'!$B$36,N52+M53-V52)))</f>
        <v>723.99999999999955</v>
      </c>
      <c r="O53" s="13">
        <f>N53*VLOOKUP('Données projet'!$B$9,Paramètres!$A$1:$I$89,3,0)*VLOOKUP('Données projet'!$B$9,Paramètres!$A$1:$I$89,5,0)</f>
        <v>404.71599999999978</v>
      </c>
      <c r="P53" s="13">
        <f t="shared" si="33"/>
        <v>92.732108655131142</v>
      </c>
      <c r="Q53" s="20">
        <f t="shared" si="53"/>
        <v>866.38878924101971</v>
      </c>
      <c r="R53" s="59">
        <f t="shared" si="0"/>
        <v>1136.4125879739963</v>
      </c>
      <c r="S53" s="59">
        <f ca="1">AVERAGE(OFFSET($R$3,0,0,'Données projet'!$E$9+1,1))-AVERAGE(OFFSET($H$3,0,0,'Données projet'!$E$9+1,1))</f>
        <v>542.23071537860039</v>
      </c>
      <c r="T53" s="59">
        <f t="shared" si="34"/>
        <v>667.26143680054633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62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4.9403556975388758</v>
      </c>
      <c r="AA53" s="21">
        <f>EXP(-LN(2)/25)*AA52+(1-EXP(-LN(2)/25))/(LN(2)/25)*Calculateur!V53*Calculateur!X53*VLOOKUP('Données projet'!$B$9,Paramètres!$A$1:$I$89,3,0)*0.475*44/12</f>
        <v>24.474295567171964</v>
      </c>
      <c r="AB53" s="21">
        <f>EXP(-LN(2)/2)*AB52+(1-EXP(-LN(2)/2))/(LN(2)/2)*V53*Y53*VLOOKUP('Données projet'!$B$9,Paramètres!$A$1:$I$89,3,0)*0.475*44/12</f>
        <v>1.4080036879626603E-2</v>
      </c>
      <c r="AC53" s="22">
        <f t="shared" si="3"/>
        <v>29.428731301590467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629</v>
      </c>
      <c r="AG53" s="12">
        <f>VLOOKUP(A53,'Données projet'!$A$61:$I$81,9,0)</f>
        <v>17.8</v>
      </c>
      <c r="AH53" s="12">
        <f t="array" ref="AH53">INDEX(AG:AG,MIN(IF(ISNUMBER(AG53:AG249),ROW(AG53:AG249),"")))</f>
        <v>17.8</v>
      </c>
      <c r="AI53" s="13">
        <f>IF('Données projet'!$A$62&gt;35,AI52+AH53-AQ52,IF(A53&lt;'Données projet'!$A$62,$AF$205^A53,IF(A53='Données projet'!$A$62,'Données projet'!$B$62,AI52+AH53-AQ52)))</f>
        <v>628.99999999999977</v>
      </c>
      <c r="AJ53" s="13">
        <f>AI53*VLOOKUP('Données projet'!$B$10,Paramètres!$A$1:$I$89,3,0)*VLOOKUP('Données projet'!$B$10,Paramètres!$A$1:$I$89,5,0)</f>
        <v>351.61099999999988</v>
      </c>
      <c r="AK53" s="13">
        <f t="shared" si="35"/>
        <v>81.89414415728541</v>
      </c>
      <c r="AL53" s="20">
        <f t="shared" si="4"/>
        <v>755.02145940727178</v>
      </c>
      <c r="AM53" s="59">
        <f t="shared" si="5"/>
        <v>1025.0452581402485</v>
      </c>
      <c r="AN53" s="59">
        <f ca="1">AVERAGE(OFFSET($AM$3,0,0,'Données projet'!$E$10+1,1))-AVERAGE(OFFSET($H$3,0,0,'Données projet'!$E$10+1,1))</f>
        <v>427.83834708696861</v>
      </c>
      <c r="AO53" s="59">
        <f t="shared" si="36"/>
        <v>545.63950537101903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48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2.9642134185233253</v>
      </c>
      <c r="AV53" s="21">
        <f>EXP(-LN(2)/25)*AV52+(1-EXP(-LN(2)/25))/(LN(2)/25)*Calculateur!AQ53*Calculateur!AS53*VLOOKUP('Données projet'!$B$10,Paramètres!$A$1:$I$89,3,0)*0.475*44/12</f>
        <v>14.140994767131611</v>
      </c>
      <c r="AW53" s="21">
        <f>EXP(-LN(2)/2)*AW52+(1-EXP(-LN(2)/2))/(LN(2)/2)*AQ53*AT53*VLOOKUP('Données projet'!$B$10,Paramètres!$A$1:$I$89,3,0)*0.475*44/12</f>
        <v>9.0353823856684536E-3</v>
      </c>
      <c r="AX53" s="21">
        <f t="shared" si="6"/>
        <v>17.114243568040607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193</v>
      </c>
      <c r="BB53" s="12">
        <f>VLOOKUP(A53,'Données projet'!$A$87:$I$107,9,0)</f>
        <v>7</v>
      </c>
      <c r="BC53" s="12">
        <f t="array" ref="BC53">INDEX(BB:BB,MIN(IF(ISNUMBER(BB53:BB249),ROW(BB53:BB249),"")))</f>
        <v>7</v>
      </c>
      <c r="BD53" s="12">
        <f>IF('Données projet'!$A$88&gt;35,BD52+BC53-BL52,IF(A53&lt;'Données projet'!$A$88,$BA$205^A53,IF(A53='Données projet'!$A$88,'Données projet'!$B$88,BD52+BC53-BL52)))</f>
        <v>192.99999999999994</v>
      </c>
      <c r="BE53" s="13">
        <f>BD53*VLOOKUP('Données projet'!$B$11,Paramètres!$A$1:$I$89,3,0)*VLOOKUP('Données projet'!$B$11,Paramètres!$A$1:$I$89,5,0)</f>
        <v>90.32399999999997</v>
      </c>
      <c r="BF53" s="13">
        <f t="shared" si="37"/>
        <v>24.643349641795833</v>
      </c>
      <c r="BG53" s="20">
        <f t="shared" si="7"/>
        <v>200.23480062612771</v>
      </c>
      <c r="BH53" s="59">
        <f t="shared" si="8"/>
        <v>470.25859935910444</v>
      </c>
      <c r="BI53" s="59">
        <f ca="1">AVERAGE(OFFSET($BH$3,0,0,'Données projet'!$E$11+1,1))-AVERAGE(OFFSET($H$3,0,0,'Données projet'!$E$11+1,1))</f>
        <v>210.62109466714364</v>
      </c>
      <c r="BJ53" s="59">
        <f t="shared" si="38"/>
        <v>193.35729443770401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52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4.3927639828717702</v>
      </c>
      <c r="BQ53" s="21">
        <f>EXP(-LN(2)/25)*BQ52+(1-EXP(-LN(2)/25))/(LN(2)/25)*Calculateur!BL53*Calculateur!BN53*VLOOKUP('Données projet'!$B$11,Paramètres!$A$1:$I$89,3,0)*0.475*44/12</f>
        <v>4.6018468060001609</v>
      </c>
      <c r="BR53" s="21">
        <f>EXP(-LN(2)/2)*BR52+(1-EXP(-LN(2)/2))/(LN(2)/2)*BL53*BO53*VLOOKUP('Données projet'!$B$11,Paramètres!$A$1:$I$89,3,0)*0.475*44/12</f>
        <v>7.7304500769538277E-3</v>
      </c>
      <c r="BS53" s="22">
        <f t="shared" si="9"/>
        <v>9.002341238948885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352</v>
      </c>
      <c r="BW53" s="12">
        <f>VLOOKUP(A53,'Données projet'!$A$113:$I$133,9,0)</f>
        <v>17.399999999999999</v>
      </c>
      <c r="BX53" s="12">
        <f t="array" ref="BX53">INDEX(BW:BW,MIN(IF(ISNUMBER(BW53:BW249),ROW(BW53:BW249),"")))</f>
        <v>17.399999999999999</v>
      </c>
      <c r="BY53" s="12">
        <f>IF('Données projet'!$A$114&gt;35,BY52+BX53-CG52,IF(A53&lt;'Données projet'!$A$114,$BV$205^A53,IF(A53='Données projet'!$A$114,'Données projet'!$B$114,BY52+BX53-CG52)))</f>
        <v>351.99999999999994</v>
      </c>
      <c r="BZ53" s="13">
        <f>BY53*VLOOKUP('Données projet'!$B$12,Paramètres!$A$1:$I$89,3,0)*VLOOKUP('Données projet'!$B$12,Paramètres!$A$1:$I$89,5,0)</f>
        <v>210.49599999999998</v>
      </c>
      <c r="CA53" s="13">
        <f t="shared" si="39"/>
        <v>52.043959291168463</v>
      </c>
      <c r="CB53" s="20">
        <f t="shared" si="10"/>
        <v>457.25709576545165</v>
      </c>
      <c r="CC53" s="59">
        <f t="shared" si="11"/>
        <v>727.28089449842832</v>
      </c>
      <c r="CD53" s="59">
        <f ca="1">AVERAGE(OFFSET($CC$3,0,0,'Données projet'!$E$12+1,1))-AVERAGE(OFFSET($H$3,0,0,'Données projet'!$E$12+1,1))</f>
        <v>368.16165268258442</v>
      </c>
      <c r="CE53" s="59">
        <f t="shared" si="40"/>
        <v>291.32219253157041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53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5.0328696987847312</v>
      </c>
      <c r="CL53" s="21">
        <f>EXP(-LN(2)/25)*CL52+(1-EXP(-LN(2)/25))/(LN(2)/25)*Calculateur!CG53*Calculateur!CI53*VLOOKUP('Données projet'!$B$12,Paramètres!$A$1:$I$89,3,0)*0.475*44/12</f>
        <v>3.815532924782655</v>
      </c>
      <c r="CM53" s="21">
        <f>EXP(-LN(2)/2)*CM52+(1-EXP(-LN(2)/2))/(LN(2)/2)*CG53*CJ53*VLOOKUP('Données projet'!$B$12,Paramètres!$A$1:$I$89,3,0)*0.475*44/12</f>
        <v>7.7371420953866715E-3</v>
      </c>
      <c r="CN53" s="22">
        <f t="shared" si="12"/>
        <v>8.8561397656627729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7.25</v>
      </c>
      <c r="CT53" s="12">
        <f>IF('Données projet'!$A$140&gt;35,CT52+CS53-DB52,IF(A53&lt;'Données projet'!$A$140,$CQ$205^A53,IF(A53='Données projet'!$A$140,'Données projet'!$B$140,CT52+CS53-DB52)))</f>
        <v>373.00000000000011</v>
      </c>
      <c r="CU53" s="17">
        <f>CT53*VLOOKUP('Données projet'!$B$13,Paramètres!$A$1:$I$89,3,0)*VLOOKUP('Données projet'!$B$13,Paramètres!$A$1:$I$89,5,0)</f>
        <v>223.05400000000009</v>
      </c>
      <c r="CV53" s="13">
        <f t="shared" si="41"/>
        <v>54.778124005813382</v>
      </c>
      <c r="CW53" s="20">
        <f t="shared" si="13"/>
        <v>483.89094931012505</v>
      </c>
      <c r="CX53" s="59">
        <f t="shared" si="14"/>
        <v>753.91474804310178</v>
      </c>
      <c r="CY53" s="59">
        <f ca="1">AVERAGE(OFFSET($CX$3,0,0,'Données projet'!$E$13+1,1))-AVERAGE(OFFSET($H$3,0,0,'Données projet'!$E$13+1,1))</f>
        <v>317.12995176362455</v>
      </c>
      <c r="CZ53" s="59">
        <f t="shared" si="42"/>
        <v>328.11301015275262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12.149762131843865</v>
      </c>
      <c r="DG53" s="21">
        <f>EXP(-LN(2)/25)*DG52+(1-EXP(-LN(2)/25))/(LN(2)/25)*Calculateur!DB53*Calculateur!DD53*VLOOKUP('Données projet'!$B$13,Paramètres!$A$1:$I$89,3,0)*0.475*44/12</f>
        <v>9.2619646805135289</v>
      </c>
      <c r="DH53" s="21">
        <f>EXP(-LN(2)/2)*DH52+(1-EXP(-LN(2)/2))/(LN(2)/2)*DB53*DE53*VLOOKUP('Données projet'!$B$13,Paramètres!$A$1:$I$89,3,0)*0.475*44/12</f>
        <v>5.6068200040410281E-3</v>
      </c>
      <c r="DI53" s="22">
        <f t="shared" si="15"/>
        <v>21.417333632361434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209</v>
      </c>
      <c r="DM53" s="12">
        <f>VLOOKUP(A53,'Données projet'!$A$165:$I$185,9,0)</f>
        <v>7.8</v>
      </c>
      <c r="DN53" s="12">
        <f t="array" ref="DN53">INDEX(DM:DM,MIN(IF(ISNUMBER(DM53:DM249),ROW(DM53:DM249),"")))</f>
        <v>7.8</v>
      </c>
      <c r="DO53" s="12">
        <f>IF('Données projet'!$A$166&gt;35,DO52+DN53-DW52,IF(A53&lt;'Données projet'!$A$166,$DL$205^A53,IF(A53='Données projet'!$A$166,'Données projet'!$B$166,DO52+DN53-DW52)))</f>
        <v>208.99999999999997</v>
      </c>
      <c r="DP53" s="17">
        <f>DO53*VLOOKUP('Données projet'!$B$14,Paramètres!$A$1:$I$89,3,0)*VLOOKUP('Données projet'!$B$14,Paramètres!$A$1:$I$89,5,0)</f>
        <v>182.58240000000001</v>
      </c>
      <c r="DQ53" s="13">
        <f t="shared" si="43"/>
        <v>45.896245406460288</v>
      </c>
      <c r="DR53" s="20">
        <f t="shared" si="16"/>
        <v>397.93364074958498</v>
      </c>
      <c r="DS53" s="59">
        <f t="shared" si="17"/>
        <v>667.95743948256177</v>
      </c>
      <c r="DT53" s="59">
        <f ca="1">AVERAGE(OFFSET($DS$3,0,0,'Données projet'!$E$14+1,1))-AVERAGE(OFFSET($H$3,0,0,'Données projet'!$E$14+1,1))</f>
        <v>325.5873213944476</v>
      </c>
      <c r="DU53" s="59">
        <f t="shared" si="44"/>
        <v>347.9042278368363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28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1.9704830428560327</v>
      </c>
      <c r="EB53" s="21">
        <f>EXP(-LN(2)/25)*EB52+(1-EXP(-LN(2)/25))/(LN(2)/25)*Calculateur!DW53*Calculateur!DY53*VLOOKUP('Données projet'!$B$14,Paramètres!$A$1:$I$89,3,0)*0.475*44/12</f>
        <v>5.0676836416550648</v>
      </c>
      <c r="EC53" s="21">
        <f>EXP(-LN(2)/2)*EC52+(1-EXP(-LN(2)/2))/(LN(2)/2)*DW53*DZ53*VLOOKUP('Données projet'!$B$14,Paramètres!$A$1:$I$89,3,0)*0.475*44/12</f>
        <v>1.1669746715179162E-2</v>
      </c>
      <c r="ED53" s="22">
        <f t="shared" si="18"/>
        <v>7.049836431226276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5.125</v>
      </c>
      <c r="EJ53" s="12">
        <f>IF('Données projet'!$A$192&gt;35,EJ52+EI53-ER52,IF(A53&lt;'Données projet'!$A$192,$EG$205^A53,IF(A53='Données projet'!$A$192,'Données projet'!$B$192,EJ52+EI53-ER52)))</f>
        <v>225.5</v>
      </c>
      <c r="EK53" s="17">
        <f>EJ53*VLOOKUP('Données projet'!$B$15,Paramètres!$A$1:$I$89,3,0)*VLOOKUP('Données projet'!$B$15,Paramètres!$A$1:$I$89,5,0)</f>
        <v>134.84900000000002</v>
      </c>
      <c r="EL53" s="13">
        <f t="shared" si="45"/>
        <v>35.114421608496684</v>
      </c>
      <c r="EM53" s="20">
        <f t="shared" si="19"/>
        <v>296.01962596813172</v>
      </c>
      <c r="EN53" s="59">
        <f t="shared" si="20"/>
        <v>566.04342470110851</v>
      </c>
      <c r="EO53" s="59">
        <f ca="1">AVERAGE(OFFSET($EN$3,0,0,'Données projet'!$E$15+1,1))-AVERAGE(OFFSET($H$3,0,0,'Données projet'!$E$15+1,1))</f>
        <v>205.5480000480477</v>
      </c>
      <c r="EP53" s="59">
        <f t="shared" si="46"/>
        <v>229.86812144828366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4.9497709921430939</v>
      </c>
      <c r="EW53" s="21">
        <f>EXP(-LN(2)/25)*EW52+(1-EXP(-LN(2)/25))/(LN(2)/25)*Calculateur!ER53*Calculateur!ET53*VLOOKUP('Données projet'!$B$15,Paramètres!$A$1:$I$89,3,0)*0.475*44/12</f>
        <v>3.4590395922767669</v>
      </c>
      <c r="EX53" s="21">
        <f>EXP(-LN(2)/2)*EX52+(1-EXP(-LN(2)/2))/(LN(2)/2)*ER53*EU53*VLOOKUP('Données projet'!$B$15,Paramètres!$A$1:$I$89,3,0)*0.475*44/12</f>
        <v>2.8886435841714978E-3</v>
      </c>
      <c r="EY53" s="22">
        <f t="shared" si="21"/>
        <v>8.4116992280040321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3.05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8.910719999999996</v>
      </c>
      <c r="D54" s="11">
        <f t="shared" si="32"/>
        <v>3.1834278577240234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37.479333655570912</v>
      </c>
      <c r="H54" s="67">
        <f t="shared" si="1"/>
        <v>232.99730751886932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15.4</v>
      </c>
      <c r="N54" s="13">
        <f>IF('Données projet'!$A$36&gt;35,N53+M54-V53,IF(A54&lt;'Données projet'!$A$36,$K$205^A54,IF(A54='Données projet'!$A$36,'Données projet'!$B$36,N53+M54-V53)))</f>
        <v>677.39999999999952</v>
      </c>
      <c r="O54" s="13">
        <f>N54*VLOOKUP('Données projet'!$B$9,Paramètres!$A$1:$I$89,3,0)*VLOOKUP('Données projet'!$B$9,Paramètres!$A$1:$I$89,5,0)</f>
        <v>378.66659999999979</v>
      </c>
      <c r="P54" s="13">
        <f t="shared" si="33"/>
        <v>87.437946637883755</v>
      </c>
      <c r="Q54" s="20">
        <f t="shared" si="53"/>
        <v>811.79875206098052</v>
      </c>
      <c r="R54" s="59">
        <f t="shared" si="0"/>
        <v>1082.2269191069611</v>
      </c>
      <c r="S54" s="59">
        <f ca="1">AVERAGE(OFFSET($R$3,0,0,'Données projet'!$E$9+1,1))-AVERAGE(OFFSET($H$3,0,0,'Données projet'!$E$9+1,1))</f>
        <v>542.23071537860039</v>
      </c>
      <c r="T54" s="59">
        <f t="shared" si="34"/>
        <v>667.26143680054633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4.8434783356295732</v>
      </c>
      <c r="AA54" s="21">
        <f>EXP(-LN(2)/25)*AA53+(1-EXP(-LN(2)/25))/(LN(2)/25)*Calculateur!V54*Calculateur!X54*VLOOKUP('Données projet'!$B$9,Paramètres!$A$1:$I$89,3,0)*0.475*44/12</f>
        <v>23.805044667840381</v>
      </c>
      <c r="AB54" s="21">
        <f>EXP(-LN(2)/2)*AB53+(1-EXP(-LN(2)/2))/(LN(2)/2)*V54*Y54*VLOOKUP('Données projet'!$B$9,Paramètres!$A$1:$I$89,3,0)*0.475*44/12</f>
        <v>9.9560895569406477E-3</v>
      </c>
      <c r="AC54" s="22">
        <f t="shared" si="3"/>
        <v>28.658479093026894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13.8</v>
      </c>
      <c r="AI54" s="13">
        <f>IF('Données projet'!$A$62&gt;35,AI53+AH54-AQ53,IF(A54&lt;'Données projet'!$A$62,$AF$205^A54,IF(A54='Données projet'!$A$62,'Données projet'!$B$62,AI53+AH54-AQ53)))</f>
        <v>594.79999999999973</v>
      </c>
      <c r="AJ54" s="13">
        <f>AI54*VLOOKUP('Données projet'!$B$10,Paramètres!$A$1:$I$89,3,0)*VLOOKUP('Données projet'!$B$10,Paramètres!$A$1:$I$89,5,0)</f>
        <v>332.49319999999983</v>
      </c>
      <c r="AK54" s="13">
        <f t="shared" si="35"/>
        <v>77.946984490524827</v>
      </c>
      <c r="AL54" s="20">
        <f t="shared" si="4"/>
        <v>714.84998798766367</v>
      </c>
      <c r="AM54" s="59">
        <f t="shared" si="5"/>
        <v>985.27815503364423</v>
      </c>
      <c r="AN54" s="59">
        <f ca="1">AVERAGE(OFFSET($AM$3,0,0,'Données projet'!$E$10+1,1))-AVERAGE(OFFSET($H$3,0,0,'Données projet'!$E$10+1,1))</f>
        <v>427.83834708696861</v>
      </c>
      <c r="AO54" s="59">
        <f t="shared" si="36"/>
        <v>545.63950537101903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2.906087001377744</v>
      </c>
      <c r="AV54" s="21">
        <f>EXP(-LN(2)/25)*AV53+(1-EXP(-LN(2)/25))/(LN(2)/25)*Calculateur!AQ54*Calculateur!AS54*VLOOKUP('Données projet'!$B$10,Paramètres!$A$1:$I$89,3,0)*0.475*44/12</f>
        <v>13.754308521581802</v>
      </c>
      <c r="AW54" s="21">
        <f>EXP(-LN(2)/2)*AW53+(1-EXP(-LN(2)/2))/(LN(2)/2)*AQ54*AT54*VLOOKUP('Données projet'!$B$10,Paramètres!$A$1:$I$89,3,0)*0.475*44/12</f>
        <v>6.3889801555196491E-3</v>
      </c>
      <c r="AX54" s="21">
        <f t="shared" si="6"/>
        <v>16.666784503115068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148.99999999999994</v>
      </c>
      <c r="BE54" s="13">
        <f>BD54*VLOOKUP('Données projet'!$B$11,Paramètres!$A$1:$I$89,3,0)*VLOOKUP('Données projet'!$B$11,Paramètres!$A$1:$I$89,5,0)</f>
        <v>69.731999999999971</v>
      </c>
      <c r="BF54" s="13">
        <f t="shared" si="37"/>
        <v>19.606888874982506</v>
      </c>
      <c r="BG54" s="20">
        <f t="shared" si="7"/>
        <v>155.59856479059445</v>
      </c>
      <c r="BH54" s="59">
        <f t="shared" si="8"/>
        <v>426.02673183657498</v>
      </c>
      <c r="BI54" s="59">
        <f ca="1">AVERAGE(OFFSET($BH$3,0,0,'Données projet'!$E$11+1,1))-AVERAGE(OFFSET($H$3,0,0,'Données projet'!$E$11+1,1))</f>
        <v>210.62109466714364</v>
      </c>
      <c r="BJ54" s="59">
        <f t="shared" si="38"/>
        <v>193.35729443770401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4.3066245604891229</v>
      </c>
      <c r="BQ54" s="21">
        <f>EXP(-LN(2)/25)*BQ53+(1-EXP(-LN(2)/25))/(LN(2)/25)*Calculateur!BL54*Calculateur!BN54*VLOOKUP('Données projet'!$B$11,Paramètres!$A$1:$I$89,3,0)*0.475*44/12</f>
        <v>4.4760090630894807</v>
      </c>
      <c r="BR54" s="21">
        <f>EXP(-LN(2)/2)*BR53+(1-EXP(-LN(2)/2))/(LN(2)/2)*BL54*BO54*VLOOKUP('Données projet'!$B$11,Paramètres!$A$1:$I$89,3,0)*0.475*44/12</f>
        <v>5.4662536710381199E-3</v>
      </c>
      <c r="BS54" s="22">
        <f t="shared" si="9"/>
        <v>8.7880998772496426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17.625</v>
      </c>
      <c r="BY54" s="12">
        <f>IF('Données projet'!$A$114&gt;35,BY53+BX54-CG53,IF(A54&lt;'Données projet'!$A$114,$BV$205^A54,IF(A54='Données projet'!$A$114,'Données projet'!$B$114,BY53+BX54-CG53)))</f>
        <v>316.62499999999994</v>
      </c>
      <c r="BZ54" s="13">
        <f>BY54*VLOOKUP('Données projet'!$B$12,Paramètres!$A$1:$I$89,3,0)*VLOOKUP('Données projet'!$B$12,Paramètres!$A$1:$I$89,5,0)</f>
        <v>189.34174999999999</v>
      </c>
      <c r="CA54" s="13">
        <f t="shared" si="39"/>
        <v>47.394393740797923</v>
      </c>
      <c r="CB54" s="20">
        <f t="shared" si="10"/>
        <v>412.31545034855634</v>
      </c>
      <c r="CC54" s="59">
        <f t="shared" si="11"/>
        <v>682.74361739453684</v>
      </c>
      <c r="CD54" s="59">
        <f ca="1">AVERAGE(OFFSET($CC$3,0,0,'Données projet'!$E$12+1,1))-AVERAGE(OFFSET($H$3,0,0,'Données projet'!$E$12+1,1))</f>
        <v>368.16165268258442</v>
      </c>
      <c r="CE54" s="59">
        <f t="shared" si="40"/>
        <v>291.32219253157041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4.9341781937389664</v>
      </c>
      <c r="CL54" s="21">
        <f>EXP(-LN(2)/25)*CL53+(1-EXP(-LN(2)/25))/(LN(2)/25)*Calculateur!CG54*Calculateur!CI54*VLOOKUP('Données projet'!$B$12,Paramètres!$A$1:$I$89,3,0)*0.475*44/12</f>
        <v>3.7111969763043176</v>
      </c>
      <c r="CM54" s="21">
        <f>EXP(-LN(2)/2)*CM53+(1-EXP(-LN(2)/2))/(LN(2)/2)*CG54*CJ54*VLOOKUP('Données projet'!$B$12,Paramètres!$A$1:$I$89,3,0)*0.475*44/12</f>
        <v>5.4709856426518096E-3</v>
      </c>
      <c r="CN54" s="22">
        <f t="shared" si="12"/>
        <v>8.6508461556859366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7.25</v>
      </c>
      <c r="CT54" s="12">
        <f>IF('Données projet'!$A$140&gt;35,CT53+CS54-DB53,IF(A54&lt;'Données projet'!$A$140,$CQ$205^A54,IF(A54='Données projet'!$A$140,'Données projet'!$B$140,CT53+CS54-DB53)))</f>
        <v>380.25000000000011</v>
      </c>
      <c r="CU54" s="17">
        <f>CT54*VLOOKUP('Données projet'!$B$13,Paramètres!$A$1:$I$89,3,0)*VLOOKUP('Données projet'!$B$13,Paramètres!$A$1:$I$89,5,0)</f>
        <v>227.38950000000008</v>
      </c>
      <c r="CV54" s="13">
        <f t="shared" si="41"/>
        <v>55.717855953778951</v>
      </c>
      <c r="CW54" s="20">
        <f t="shared" si="13"/>
        <v>493.07864495283178</v>
      </c>
      <c r="CX54" s="59">
        <f t="shared" si="14"/>
        <v>763.50681199881228</v>
      </c>
      <c r="CY54" s="59">
        <f ca="1">AVERAGE(OFFSET($CX$3,0,0,'Données projet'!$E$13+1,1))-AVERAGE(OFFSET($H$3,0,0,'Données projet'!$E$13+1,1))</f>
        <v>317.12995176362455</v>
      </c>
      <c r="CZ54" s="59">
        <f t="shared" si="42"/>
        <v>328.11301015275262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11.911512707061569</v>
      </c>
      <c r="DG54" s="21">
        <f>EXP(-LN(2)/25)*DG53+(1-EXP(-LN(2)/25))/(LN(2)/25)*Calculateur!DB54*Calculateur!DD54*VLOOKUP('Données projet'!$B$13,Paramètres!$A$1:$I$89,3,0)*0.475*44/12</f>
        <v>9.008695769259333</v>
      </c>
      <c r="DH54" s="21">
        <f>EXP(-LN(2)/2)*DH53+(1-EXP(-LN(2)/2))/(LN(2)/2)*DB54*DE54*VLOOKUP('Données projet'!$B$13,Paramètres!$A$1:$I$89,3,0)*0.475*44/12</f>
        <v>3.9646204457497967E-3</v>
      </c>
      <c r="DI54" s="22">
        <f t="shared" si="15"/>
        <v>20.924173096766651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187.79999999999998</v>
      </c>
      <c r="DP54" s="17">
        <f>DO54*VLOOKUP('Données projet'!$B$14,Paramètres!$A$1:$I$89,3,0)*VLOOKUP('Données projet'!$B$14,Paramètres!$A$1:$I$89,5,0)</f>
        <v>164.06208000000001</v>
      </c>
      <c r="DQ54" s="13">
        <f t="shared" si="43"/>
        <v>41.75738773013461</v>
      </c>
      <c r="DR54" s="20">
        <f t="shared" si="16"/>
        <v>358.46890629665108</v>
      </c>
      <c r="DS54" s="59">
        <f t="shared" si="17"/>
        <v>628.89707334263164</v>
      </c>
      <c r="DT54" s="59">
        <f ca="1">AVERAGE(OFFSET($DS$3,0,0,'Données projet'!$E$14+1,1))-AVERAGE(OFFSET($H$3,0,0,'Données projet'!$E$14+1,1))</f>
        <v>325.5873213944476</v>
      </c>
      <c r="DU54" s="59">
        <f t="shared" si="44"/>
        <v>347.9042278368363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1.9318430722616067</v>
      </c>
      <c r="EB54" s="21">
        <f>EXP(-LN(2)/25)*EB53+(1-EXP(-LN(2)/25))/(LN(2)/25)*Calculateur!DW54*Calculateur!DY54*VLOOKUP('Données projet'!$B$14,Paramètres!$A$1:$I$89,3,0)*0.475*44/12</f>
        <v>4.929107565976107</v>
      </c>
      <c r="EC54" s="21">
        <f>EXP(-LN(2)/2)*EC53+(1-EXP(-LN(2)/2))/(LN(2)/2)*DW54*DZ54*VLOOKUP('Données projet'!$B$14,Paramètres!$A$1:$I$89,3,0)*0.475*44/12</f>
        <v>8.2517570370326237E-3</v>
      </c>
      <c r="ED54" s="22">
        <f t="shared" si="18"/>
        <v>6.8692023952747467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5.125</v>
      </c>
      <c r="EJ54" s="12">
        <f>IF('Données projet'!$A$192&gt;35,EJ53+EI54-ER53,IF(A54&lt;'Données projet'!$A$192,$EG$205^A54,IF(A54='Données projet'!$A$192,'Données projet'!$B$192,EJ53+EI54-ER53)))</f>
        <v>230.625</v>
      </c>
      <c r="EK54" s="17">
        <f>EJ54*VLOOKUP('Données projet'!$B$15,Paramètres!$A$1:$I$89,3,0)*VLOOKUP('Données projet'!$B$15,Paramètres!$A$1:$I$89,5,0)</f>
        <v>137.91375000000002</v>
      </c>
      <c r="EL54" s="13">
        <f t="shared" si="45"/>
        <v>35.818658097691937</v>
      </c>
      <c r="EM54" s="20">
        <f t="shared" si="19"/>
        <v>302.58394410348018</v>
      </c>
      <c r="EN54" s="59">
        <f t="shared" si="20"/>
        <v>573.01211114946068</v>
      </c>
      <c r="EO54" s="59">
        <f ca="1">AVERAGE(OFFSET($EN$3,0,0,'Données projet'!$E$15+1,1))-AVERAGE(OFFSET($H$3,0,0,'Données projet'!$E$15+1,1))</f>
        <v>205.5480000480477</v>
      </c>
      <c r="EP54" s="59">
        <f t="shared" si="46"/>
        <v>229.86812144828366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4.8527090020493651</v>
      </c>
      <c r="EW54" s="21">
        <f>EXP(-LN(2)/25)*EW53+(1-EXP(-LN(2)/25))/(LN(2)/25)*Calculateur!ER54*Calculateur!ET54*VLOOKUP('Données projet'!$B$15,Paramètres!$A$1:$I$89,3,0)*0.475*44/12</f>
        <v>3.3644519727229723</v>
      </c>
      <c r="EX54" s="21">
        <f>EXP(-LN(2)/2)*EX53+(1-EXP(-LN(2)/2))/(LN(2)/2)*ER54*EU54*VLOOKUP('Données projet'!$B$15,Paramètres!$A$1:$I$89,3,0)*0.475*44/12</f>
        <v>2.0425794667986797E-3</v>
      </c>
      <c r="EY54" s="22">
        <f t="shared" si="21"/>
        <v>8.2192035542391366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3.05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9.0854399999999966</v>
      </c>
      <c r="D55" s="11">
        <f t="shared" si="32"/>
        <v>3.2385198194606133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38.047009518948315</v>
      </c>
      <c r="H55" s="67">
        <f t="shared" si="1"/>
        <v>233.39756335222719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15.4</v>
      </c>
      <c r="N55" s="13">
        <f>IF('Données projet'!$A$36&gt;35,N54+M55-V54,IF(A55&lt;'Données projet'!$A$36,$K$205^A55,IF(A55='Données projet'!$A$36,'Données projet'!$B$36,N54+M55-V54)))</f>
        <v>692.7999999999995</v>
      </c>
      <c r="O55" s="13">
        <f>N55*VLOOKUP('Données projet'!$B$9,Paramètres!$A$1:$I$89,3,0)*VLOOKUP('Données projet'!$B$9,Paramètres!$A$1:$I$89,5,0)</f>
        <v>387.2751999999997</v>
      </c>
      <c r="P55" s="13">
        <f t="shared" si="33"/>
        <v>89.192073473767834</v>
      </c>
      <c r="Q55" s="20">
        <f t="shared" si="53"/>
        <v>829.84716796681175</v>
      </c>
      <c r="R55" s="59">
        <f t="shared" si="0"/>
        <v>1100.6726884395976</v>
      </c>
      <c r="S55" s="59">
        <f ca="1">AVERAGE(OFFSET($R$3,0,0,'Données projet'!$E$9+1,1))-AVERAGE(OFFSET($H$3,0,0,'Données projet'!$E$9+1,1))</f>
        <v>542.23071537860039</v>
      </c>
      <c r="T55" s="59">
        <f t="shared" si="34"/>
        <v>667.26143680054633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4.7485006796979556</v>
      </c>
      <c r="AA55" s="21">
        <f>EXP(-LN(2)/25)*AA54+(1-EXP(-LN(2)/25))/(LN(2)/25)*Calculateur!V55*Calculateur!X55*VLOOKUP('Données projet'!$B$9,Paramètres!$A$1:$I$89,3,0)*0.475*44/12</f>
        <v>23.154094469545395</v>
      </c>
      <c r="AB55" s="21">
        <f>EXP(-LN(2)/2)*AB54+(1-EXP(-LN(2)/2))/(LN(2)/2)*V55*Y55*VLOOKUP('Données projet'!$B$9,Paramètres!$A$1:$I$89,3,0)*0.475*44/12</f>
        <v>7.0400184398133015E-3</v>
      </c>
      <c r="AC55" s="22">
        <f t="shared" si="3"/>
        <v>27.909635167683163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13.8</v>
      </c>
      <c r="AI55" s="13">
        <f>IF('Données projet'!$A$62&gt;35,AI54+AH55-AQ54,IF(A55&lt;'Données projet'!$A$62,$AF$205^A55,IF(A55='Données projet'!$A$62,'Données projet'!$B$62,AI54+AH55-AQ54)))</f>
        <v>608.59999999999968</v>
      </c>
      <c r="AJ55" s="13">
        <f>AI55*VLOOKUP('Données projet'!$B$10,Paramètres!$A$1:$I$89,3,0)*VLOOKUP('Données projet'!$B$10,Paramètres!$A$1:$I$89,5,0)</f>
        <v>340.20739999999984</v>
      </c>
      <c r="AK55" s="13">
        <f t="shared" si="35"/>
        <v>79.542795053996059</v>
      </c>
      <c r="AL55" s="20">
        <f t="shared" si="4"/>
        <v>731.06492305237623</v>
      </c>
      <c r="AM55" s="59">
        <f t="shared" si="5"/>
        <v>1001.890443525162</v>
      </c>
      <c r="AN55" s="59">
        <f ca="1">AVERAGE(OFFSET($AM$3,0,0,'Données projet'!$E$10+1,1))-AVERAGE(OFFSET($H$3,0,0,'Données projet'!$E$10+1,1))</f>
        <v>427.83834708696861</v>
      </c>
      <c r="AO55" s="59">
        <f t="shared" si="36"/>
        <v>545.63950537101903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2.8491004078187738</v>
      </c>
      <c r="AV55" s="21">
        <f>EXP(-LN(2)/25)*AV54+(1-EXP(-LN(2)/25))/(LN(2)/25)*Calculateur!AQ55*Calculateur!AS55*VLOOKUP('Données projet'!$B$10,Paramètres!$A$1:$I$89,3,0)*0.475*44/12</f>
        <v>13.378196231751499</v>
      </c>
      <c r="AW55" s="21">
        <f>EXP(-LN(2)/2)*AW54+(1-EXP(-LN(2)/2))/(LN(2)/2)*AQ55*AT55*VLOOKUP('Données projet'!$B$10,Paramètres!$A$1:$I$89,3,0)*0.475*44/12</f>
        <v>4.5176911928342268E-3</v>
      </c>
      <c r="AX55" s="21">
        <f t="shared" si="6"/>
        <v>16.231814330763108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156.99999999999994</v>
      </c>
      <c r="BE55" s="13">
        <f>BD55*VLOOKUP('Données projet'!$B$11,Paramètres!$A$1:$I$89,3,0)*VLOOKUP('Données projet'!$B$11,Paramètres!$A$1:$I$89,5,0)</f>
        <v>73.475999999999971</v>
      </c>
      <c r="BF55" s="13">
        <f t="shared" si="37"/>
        <v>20.534221080361654</v>
      </c>
      <c r="BG55" s="20">
        <f t="shared" si="7"/>
        <v>163.73446838162982</v>
      </c>
      <c r="BH55" s="59">
        <f t="shared" si="8"/>
        <v>434.55998885441568</v>
      </c>
      <c r="BI55" s="59">
        <f ca="1">AVERAGE(OFFSET($BH$3,0,0,'Données projet'!$E$11+1,1))-AVERAGE(OFFSET($H$3,0,0,'Données projet'!$E$11+1,1))</f>
        <v>210.62109466714364</v>
      </c>
      <c r="BJ55" s="59">
        <f t="shared" si="38"/>
        <v>193.35729443770401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4.2221742796395398</v>
      </c>
      <c r="BQ55" s="21">
        <f>EXP(-LN(2)/25)*BQ54+(1-EXP(-LN(2)/25))/(LN(2)/25)*Calculateur!BL55*Calculateur!BN55*VLOOKUP('Données projet'!$B$11,Paramètres!$A$1:$I$89,3,0)*0.475*44/12</f>
        <v>4.3536123598762124</v>
      </c>
      <c r="BR55" s="21">
        <f>EXP(-LN(2)/2)*BR54+(1-EXP(-LN(2)/2))/(LN(2)/2)*BL55*BO55*VLOOKUP('Données projet'!$B$11,Paramètres!$A$1:$I$89,3,0)*0.475*44/12</f>
        <v>3.8652250384769143E-3</v>
      </c>
      <c r="BS55" s="22">
        <f t="shared" si="9"/>
        <v>8.5796518645542275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17.625</v>
      </c>
      <c r="BY55" s="12">
        <f>IF('Données projet'!$A$114&gt;35,BY54+BX55-CG54,IF(A55&lt;'Données projet'!$A$114,$BV$205^A55,IF(A55='Données projet'!$A$114,'Données projet'!$B$114,BY54+BX55-CG54)))</f>
        <v>334.24999999999994</v>
      </c>
      <c r="BZ55" s="13">
        <f>BY55*VLOOKUP('Données projet'!$B$12,Paramètres!$A$1:$I$89,3,0)*VLOOKUP('Données projet'!$B$12,Paramètres!$A$1:$I$89,5,0)</f>
        <v>199.88149999999996</v>
      </c>
      <c r="CA55" s="13">
        <f t="shared" si="39"/>
        <v>49.71812411377941</v>
      </c>
      <c r="CB55" s="20">
        <f t="shared" si="10"/>
        <v>434.71934533149914</v>
      </c>
      <c r="CC55" s="59">
        <f t="shared" si="11"/>
        <v>705.544865804285</v>
      </c>
      <c r="CD55" s="59">
        <f ca="1">AVERAGE(OFFSET($CC$3,0,0,'Données projet'!$E$12+1,1))-AVERAGE(OFFSET($H$3,0,0,'Données projet'!$E$12+1,1))</f>
        <v>368.16165268258442</v>
      </c>
      <c r="CE55" s="59">
        <f t="shared" si="40"/>
        <v>291.32219253157041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4.8374219689112747</v>
      </c>
      <c r="CL55" s="21">
        <f>EXP(-LN(2)/25)*CL54+(1-EXP(-LN(2)/25))/(LN(2)/25)*Calculateur!CG55*Calculateur!CI55*VLOOKUP('Données projet'!$B$12,Paramètres!$A$1:$I$89,3,0)*0.475*44/12</f>
        <v>3.609714099823909</v>
      </c>
      <c r="CM55" s="21">
        <f>EXP(-LN(2)/2)*CM54+(1-EXP(-LN(2)/2))/(LN(2)/2)*CG55*CJ55*VLOOKUP('Données projet'!$B$12,Paramètres!$A$1:$I$89,3,0)*0.475*44/12</f>
        <v>3.8685710476933366E-3</v>
      </c>
      <c r="CN55" s="22">
        <f t="shared" si="12"/>
        <v>8.4510046397828766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7.25</v>
      </c>
      <c r="CT55" s="12">
        <f>IF('Données projet'!$A$140&gt;35,CT54+CS55-DB54,IF(A55&lt;'Données projet'!$A$140,$CQ$205^A55,IF(A55='Données projet'!$A$140,'Données projet'!$B$140,CT54+CS55-DB54)))</f>
        <v>387.50000000000011</v>
      </c>
      <c r="CU55" s="17">
        <f>CT55*VLOOKUP('Données projet'!$B$13,Paramètres!$A$1:$I$89,3,0)*VLOOKUP('Données projet'!$B$13,Paramètres!$A$1:$I$89,5,0)</f>
        <v>231.72500000000008</v>
      </c>
      <c r="CV55" s="13">
        <f t="shared" si="41"/>
        <v>56.655504506153761</v>
      </c>
      <c r="CW55" s="20">
        <f t="shared" si="13"/>
        <v>502.26271201488458</v>
      </c>
      <c r="CX55" s="59">
        <f t="shared" si="14"/>
        <v>773.08823248767044</v>
      </c>
      <c r="CY55" s="59">
        <f ca="1">AVERAGE(OFFSET($CX$3,0,0,'Données projet'!$E$13+1,1))-AVERAGE(OFFSET($H$3,0,0,'Données projet'!$E$13+1,1))</f>
        <v>317.12995176362455</v>
      </c>
      <c r="CZ55" s="59">
        <f t="shared" si="42"/>
        <v>328.11301015275262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11.677935208181452</v>
      </c>
      <c r="DG55" s="21">
        <f>EXP(-LN(2)/25)*DG54+(1-EXP(-LN(2)/25))/(LN(2)/25)*Calculateur!DB55*Calculateur!DD55*VLOOKUP('Données projet'!$B$13,Paramètres!$A$1:$I$89,3,0)*0.475*44/12</f>
        <v>8.7623525097022164</v>
      </c>
      <c r="DH55" s="21">
        <f>EXP(-LN(2)/2)*DH54+(1-EXP(-LN(2)/2))/(LN(2)/2)*DB55*DE55*VLOOKUP('Données projet'!$B$13,Paramètres!$A$1:$I$89,3,0)*0.475*44/12</f>
        <v>2.8034100020205141E-3</v>
      </c>
      <c r="DI55" s="22">
        <f t="shared" si="15"/>
        <v>20.44309112788569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194.6</v>
      </c>
      <c r="DP55" s="17">
        <f>DO55*VLOOKUP('Données projet'!$B$14,Paramètres!$A$1:$I$89,3,0)*VLOOKUP('Données projet'!$B$14,Paramètres!$A$1:$I$89,5,0)</f>
        <v>170.00256000000002</v>
      </c>
      <c r="DQ55" s="13">
        <f t="shared" si="43"/>
        <v>43.090596939649579</v>
      </c>
      <c r="DR55" s="20">
        <f t="shared" si="16"/>
        <v>371.1372483365563</v>
      </c>
      <c r="DS55" s="59">
        <f t="shared" si="17"/>
        <v>641.96276880934215</v>
      </c>
      <c r="DT55" s="59">
        <f ca="1">AVERAGE(OFFSET($DS$3,0,0,'Données projet'!$E$14+1,1))-AVERAGE(OFFSET($H$3,0,0,'Données projet'!$E$14+1,1))</f>
        <v>325.5873213944476</v>
      </c>
      <c r="DU55" s="59">
        <f t="shared" si="44"/>
        <v>347.9042278368363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1.8939608079224823</v>
      </c>
      <c r="EB55" s="21">
        <f>EXP(-LN(2)/25)*EB54+(1-EXP(-LN(2)/25))/(LN(2)/25)*Calculateur!DW55*Calculateur!DY55*VLOOKUP('Données projet'!$B$14,Paramètres!$A$1:$I$89,3,0)*0.475*44/12</f>
        <v>4.7943208603739889</v>
      </c>
      <c r="EC55" s="21">
        <f>EXP(-LN(2)/2)*EC54+(1-EXP(-LN(2)/2))/(LN(2)/2)*DW55*DZ55*VLOOKUP('Données projet'!$B$14,Paramètres!$A$1:$I$89,3,0)*0.475*44/12</f>
        <v>5.8348733575895812E-3</v>
      </c>
      <c r="ED55" s="22">
        <f t="shared" si="18"/>
        <v>6.6941165416540613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5.125</v>
      </c>
      <c r="EJ55" s="12">
        <f>IF('Données projet'!$A$192&gt;35,EJ54+EI55-ER54,IF(A55&lt;'Données projet'!$A$192,$EG$205^A55,IF(A55='Données projet'!$A$192,'Données projet'!$B$192,EJ54+EI55-ER54)))</f>
        <v>235.75</v>
      </c>
      <c r="EK55" s="17">
        <f>EJ55*VLOOKUP('Données projet'!$B$15,Paramètres!$A$1:$I$89,3,0)*VLOOKUP('Données projet'!$B$15,Paramètres!$A$1:$I$89,5,0)</f>
        <v>140.97850000000003</v>
      </c>
      <c r="EL55" s="13">
        <f t="shared" si="45"/>
        <v>36.521075157496767</v>
      </c>
      <c r="EM55" s="20">
        <f t="shared" si="19"/>
        <v>309.14509339930686</v>
      </c>
      <c r="EN55" s="59">
        <f t="shared" si="20"/>
        <v>579.97061387209271</v>
      </c>
      <c r="EO55" s="59">
        <f ca="1">AVERAGE(OFFSET($EN$3,0,0,'Données projet'!$E$15+1,1))-AVERAGE(OFFSET($H$3,0,0,'Données projet'!$E$15+1,1))</f>
        <v>205.5480000480477</v>
      </c>
      <c r="EP55" s="59">
        <f t="shared" si="46"/>
        <v>229.86812144828366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4.7575503383794064</v>
      </c>
      <c r="EW55" s="21">
        <f>EXP(-LN(2)/25)*EW54+(1-EXP(-LN(2)/25))/(LN(2)/25)*Calculateur!ER55*Calculateur!ET55*VLOOKUP('Données projet'!$B$15,Paramètres!$A$1:$I$89,3,0)*0.475*44/12</f>
        <v>3.272450856600023</v>
      </c>
      <c r="EX55" s="21">
        <f>EXP(-LN(2)/2)*EX54+(1-EXP(-LN(2)/2))/(LN(2)/2)*ER55*EU55*VLOOKUP('Données projet'!$B$15,Paramètres!$A$1:$I$89,3,0)*0.475*44/12</f>
        <v>1.4443217920857489E-3</v>
      </c>
      <c r="EY55" s="22">
        <f t="shared" si="21"/>
        <v>8.031445516771516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3.05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9.2601599999999973</v>
      </c>
      <c r="D56" s="11">
        <f t="shared" si="32"/>
        <v>3.2934885898549635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38.614381078097864</v>
      </c>
      <c r="H56" s="67">
        <f t="shared" si="1"/>
        <v>233.79760462733068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15.4</v>
      </c>
      <c r="N56" s="13">
        <f>IF('Données projet'!$A$36&gt;35,N55+M56-V55,IF(A56&lt;'Données projet'!$A$36,$K$205^A56,IF(A56='Données projet'!$A$36,'Données projet'!$B$36,N55+M56-V55)))</f>
        <v>708.19999999999948</v>
      </c>
      <c r="O56" s="13">
        <f>N56*VLOOKUP('Données projet'!$B$9,Paramètres!$A$1:$I$89,3,0)*VLOOKUP('Données projet'!$B$9,Paramètres!$A$1:$I$89,5,0)</f>
        <v>395.88379999999972</v>
      </c>
      <c r="P56" s="13">
        <f t="shared" si="33"/>
        <v>90.941667130422957</v>
      </c>
      <c r="Q56" s="20">
        <f t="shared" si="53"/>
        <v>847.8876885854861</v>
      </c>
      <c r="R56" s="59">
        <f t="shared" si="0"/>
        <v>1119.1036692914713</v>
      </c>
      <c r="S56" s="59">
        <f ca="1">AVERAGE(OFFSET($R$3,0,0,'Données projet'!$E$9+1,1))-AVERAGE(OFFSET($H$3,0,0,'Données projet'!$E$9+1,1))</f>
        <v>542.23071537860039</v>
      </c>
      <c r="T56" s="59">
        <f t="shared" si="34"/>
        <v>667.26143680054633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4.6553854776685073</v>
      </c>
      <c r="AA56" s="21">
        <f>EXP(-LN(2)/25)*AA55+(1-EXP(-LN(2)/25))/(LN(2)/25)*Calculateur!V56*Calculateur!X56*VLOOKUP('Données projet'!$B$9,Paramètres!$A$1:$I$89,3,0)*0.475*44/12</f>
        <v>22.520944538654767</v>
      </c>
      <c r="AB56" s="21">
        <f>EXP(-LN(2)/2)*AB55+(1-EXP(-LN(2)/2))/(LN(2)/2)*V56*Y56*VLOOKUP('Données projet'!$B$9,Paramètres!$A$1:$I$89,3,0)*0.475*44/12</f>
        <v>4.9780447784703238E-3</v>
      </c>
      <c r="AC56" s="22">
        <f t="shared" si="3"/>
        <v>27.181308061101745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13.8</v>
      </c>
      <c r="AI56" s="13">
        <f>IF('Données projet'!$A$62&gt;35,AI55+AH56-AQ55,IF(A56&lt;'Données projet'!$A$62,$AF$205^A56,IF(A56='Données projet'!$A$62,'Données projet'!$B$62,AI55+AH56-AQ55)))</f>
        <v>622.39999999999964</v>
      </c>
      <c r="AJ56" s="13">
        <f>AI56*VLOOKUP('Données projet'!$B$10,Paramètres!$A$1:$I$89,3,0)*VLOOKUP('Données projet'!$B$10,Paramètres!$A$1:$I$89,5,0)</f>
        <v>347.92159999999978</v>
      </c>
      <c r="AK56" s="13">
        <f t="shared" si="35"/>
        <v>81.134398856989449</v>
      </c>
      <c r="AL56" s="20">
        <f t="shared" si="4"/>
        <v>747.27253134258956</v>
      </c>
      <c r="AM56" s="59">
        <f t="shared" si="5"/>
        <v>1018.4885120485749</v>
      </c>
      <c r="AN56" s="59">
        <f ca="1">AVERAGE(OFFSET($AM$3,0,0,'Données projet'!$E$10+1,1))-AVERAGE(OFFSET($H$3,0,0,'Données projet'!$E$10+1,1))</f>
        <v>427.83834708696861</v>
      </c>
      <c r="AO56" s="59">
        <f t="shared" si="36"/>
        <v>545.63950537101903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2.7932312866011051</v>
      </c>
      <c r="AV56" s="21">
        <f>EXP(-LN(2)/25)*AV55+(1-EXP(-LN(2)/25))/(LN(2)/25)*Calculateur!AQ56*Calculateur!AS56*VLOOKUP('Données projet'!$B$10,Paramètres!$A$1:$I$89,3,0)*0.475*44/12</f>
        <v>13.012368752265491</v>
      </c>
      <c r="AW56" s="21">
        <f>EXP(-LN(2)/2)*AW55+(1-EXP(-LN(2)/2))/(LN(2)/2)*AQ56*AT56*VLOOKUP('Données projet'!$B$10,Paramètres!$A$1:$I$89,3,0)*0.475*44/12</f>
        <v>3.1944900777598245E-3</v>
      </c>
      <c r="AX56" s="21">
        <f t="shared" si="6"/>
        <v>15.808794528944357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164.99999999999994</v>
      </c>
      <c r="BE56" s="13">
        <f>BD56*VLOOKUP('Données projet'!$B$11,Paramètres!$A$1:$I$89,3,0)*VLOOKUP('Données projet'!$B$11,Paramètres!$A$1:$I$89,5,0)</f>
        <v>77.21999999999997</v>
      </c>
      <c r="BF56" s="13">
        <f t="shared" si="37"/>
        <v>21.456066856215866</v>
      </c>
      <c r="BG56" s="20">
        <f t="shared" si="7"/>
        <v>171.8608164412426</v>
      </c>
      <c r="BH56" s="59">
        <f t="shared" si="8"/>
        <v>443.07679714722786</v>
      </c>
      <c r="BI56" s="59">
        <f ca="1">AVERAGE(OFFSET($BH$3,0,0,'Données projet'!$E$11+1,1))-AVERAGE(OFFSET($H$3,0,0,'Données projet'!$E$11+1,1))</f>
        <v>210.62109466714364</v>
      </c>
      <c r="BJ56" s="59">
        <f t="shared" si="38"/>
        <v>193.35729443770401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4.1393800172878317</v>
      </c>
      <c r="BQ56" s="21">
        <f>EXP(-LN(2)/25)*BQ55+(1-EXP(-LN(2)/25))/(LN(2)/25)*Calculateur!BL56*Calculateur!BN56*VLOOKUP('Données projet'!$B$11,Paramètres!$A$1:$I$89,3,0)*0.475*44/12</f>
        <v>4.2345626009488733</v>
      </c>
      <c r="BR56" s="21">
        <f>EXP(-LN(2)/2)*BR55+(1-EXP(-LN(2)/2))/(LN(2)/2)*BL56*BO56*VLOOKUP('Données projet'!$B$11,Paramètres!$A$1:$I$89,3,0)*0.475*44/12</f>
        <v>2.7331268355190604E-3</v>
      </c>
      <c r="BS56" s="22">
        <f t="shared" si="9"/>
        <v>8.3766757450722231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17.625</v>
      </c>
      <c r="BY56" s="12">
        <f>IF('Données projet'!$A$114&gt;35,BY55+BX56-CG55,IF(A56&lt;'Données projet'!$A$114,$BV$205^A56,IF(A56='Données projet'!$A$114,'Données projet'!$B$114,BY55+BX56-CG55)))</f>
        <v>351.87499999999994</v>
      </c>
      <c r="BZ56" s="13">
        <f>BY56*VLOOKUP('Données projet'!$B$12,Paramètres!$A$1:$I$89,3,0)*VLOOKUP('Données projet'!$B$12,Paramètres!$A$1:$I$89,5,0)</f>
        <v>210.42124999999999</v>
      </c>
      <c r="CA56" s="13">
        <f t="shared" si="39"/>
        <v>52.027628682866947</v>
      </c>
      <c r="CB56" s="20">
        <f t="shared" si="10"/>
        <v>457.09846370599325</v>
      </c>
      <c r="CC56" s="59">
        <f t="shared" si="11"/>
        <v>728.31444441197846</v>
      </c>
      <c r="CD56" s="59">
        <f ca="1">AVERAGE(OFFSET($CC$3,0,0,'Données projet'!$E$12+1,1))-AVERAGE(OFFSET($H$3,0,0,'Données projet'!$E$12+1,1))</f>
        <v>368.16165268258442</v>
      </c>
      <c r="CE56" s="59">
        <f t="shared" si="40"/>
        <v>291.32219253157041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4.7425630746369842</v>
      </c>
      <c r="CL56" s="21">
        <f>EXP(-LN(2)/25)*CL55+(1-EXP(-LN(2)/25))/(LN(2)/25)*Calculateur!CG56*Calculateur!CI56*VLOOKUP('Données projet'!$B$12,Paramètres!$A$1:$I$89,3,0)*0.475*44/12</f>
        <v>3.5110062779376099</v>
      </c>
      <c r="CM56" s="21">
        <f>EXP(-LN(2)/2)*CM55+(1-EXP(-LN(2)/2))/(LN(2)/2)*CG56*CJ56*VLOOKUP('Données projet'!$B$12,Paramètres!$A$1:$I$89,3,0)*0.475*44/12</f>
        <v>2.7354928213259052E-3</v>
      </c>
      <c r="CN56" s="22">
        <f t="shared" si="12"/>
        <v>8.2563048453959205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7.25</v>
      </c>
      <c r="CT56" s="12">
        <f>IF('Données projet'!$A$140&gt;35,CT55+CS56-DB55,IF(A56&lt;'Données projet'!$A$140,$CQ$205^A56,IF(A56='Données projet'!$A$140,'Données projet'!$B$140,CT55+CS56-DB55)))</f>
        <v>394.75000000000011</v>
      </c>
      <c r="CU56" s="17">
        <f>CT56*VLOOKUP('Données projet'!$B$13,Paramètres!$A$1:$I$89,3,0)*VLOOKUP('Données projet'!$B$13,Paramètres!$A$1:$I$89,5,0)</f>
        <v>236.0605000000001</v>
      </c>
      <c r="CV56" s="13">
        <f t="shared" si="41"/>
        <v>57.591113137594334</v>
      </c>
      <c r="CW56" s="20">
        <f t="shared" si="13"/>
        <v>511.44322621464363</v>
      </c>
      <c r="CX56" s="59">
        <f t="shared" si="14"/>
        <v>782.65920692062889</v>
      </c>
      <c r="CY56" s="59">
        <f ca="1">AVERAGE(OFFSET($CX$3,0,0,'Données projet'!$E$13+1,1))-AVERAGE(OFFSET($H$3,0,0,'Données projet'!$E$13+1,1))</f>
        <v>317.12995176362455</v>
      </c>
      <c r="CZ56" s="59">
        <f t="shared" si="42"/>
        <v>328.11301015275262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11.448938021586169</v>
      </c>
      <c r="DG56" s="21">
        <f>EXP(-LN(2)/25)*DG55+(1-EXP(-LN(2)/25))/(LN(2)/25)*Calculateur!DB56*Calculateur!DD56*VLOOKUP('Données projet'!$B$13,Paramètres!$A$1:$I$89,3,0)*0.475*44/12</f>
        <v>8.5227455195323181</v>
      </c>
      <c r="DH56" s="21">
        <f>EXP(-LN(2)/2)*DH55+(1-EXP(-LN(2)/2))/(LN(2)/2)*DB56*DE56*VLOOKUP('Données projet'!$B$13,Paramètres!$A$1:$I$89,3,0)*0.475*44/12</f>
        <v>1.9823102228748984E-3</v>
      </c>
      <c r="DI56" s="22">
        <f t="shared" si="15"/>
        <v>19.973665851341362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201.4</v>
      </c>
      <c r="DP56" s="17">
        <f>DO56*VLOOKUP('Données projet'!$B$14,Paramètres!$A$1:$I$89,3,0)*VLOOKUP('Données projet'!$B$14,Paramètres!$A$1:$I$89,5,0)</f>
        <v>175.94304000000002</v>
      </c>
      <c r="DQ56" s="13">
        <f t="shared" si="43"/>
        <v>44.418393276556458</v>
      </c>
      <c r="DR56" s="20">
        <f t="shared" si="16"/>
        <v>383.79616295666915</v>
      </c>
      <c r="DS56" s="59">
        <f t="shared" si="17"/>
        <v>655.01214366265435</v>
      </c>
      <c r="DT56" s="59">
        <f ca="1">AVERAGE(OFFSET($DS$3,0,0,'Données projet'!$E$14+1,1))-AVERAGE(OFFSET($H$3,0,0,'Données projet'!$E$14+1,1))</f>
        <v>325.5873213944476</v>
      </c>
      <c r="DU56" s="59">
        <f t="shared" si="44"/>
        <v>347.9042278368363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1.8568213916811485</v>
      </c>
      <c r="EB56" s="21">
        <f>EXP(-LN(2)/25)*EB55+(1-EXP(-LN(2)/25))/(LN(2)/25)*Calculateur!DW56*Calculateur!DY56*VLOOKUP('Données projet'!$B$14,Paramètres!$A$1:$I$89,3,0)*0.475*44/12</f>
        <v>4.663219904324686</v>
      </c>
      <c r="EC56" s="21">
        <f>EXP(-LN(2)/2)*EC55+(1-EXP(-LN(2)/2))/(LN(2)/2)*DW56*DZ56*VLOOKUP('Données projet'!$B$14,Paramètres!$A$1:$I$89,3,0)*0.475*44/12</f>
        <v>4.1258785185163118E-3</v>
      </c>
      <c r="ED56" s="22">
        <f t="shared" si="18"/>
        <v>6.5241671745243499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5.125</v>
      </c>
      <c r="EJ56" s="12">
        <f>IF('Données projet'!$A$192&gt;35,EJ55+EI56-ER55,IF(A56&lt;'Données projet'!$A$192,$EG$205^A56,IF(A56='Données projet'!$A$192,'Données projet'!$B$192,EJ55+EI56-ER55)))</f>
        <v>240.875</v>
      </c>
      <c r="EK56" s="17">
        <f>EJ56*VLOOKUP('Données projet'!$B$15,Paramètres!$A$1:$I$89,3,0)*VLOOKUP('Données projet'!$B$15,Paramètres!$A$1:$I$89,5,0)</f>
        <v>144.04325000000003</v>
      </c>
      <c r="EL56" s="13">
        <f t="shared" si="45"/>
        <v>37.221716895868184</v>
      </c>
      <c r="EM56" s="20">
        <f t="shared" si="19"/>
        <v>315.70315067697044</v>
      </c>
      <c r="EN56" s="59">
        <f t="shared" si="20"/>
        <v>586.9191313829557</v>
      </c>
      <c r="EO56" s="59">
        <f ca="1">AVERAGE(OFFSET($EN$3,0,0,'Données projet'!$E$15+1,1))-AVERAGE(OFFSET($H$3,0,0,'Données projet'!$E$15+1,1))</f>
        <v>205.5480000480477</v>
      </c>
      <c r="EP56" s="59">
        <f t="shared" si="46"/>
        <v>229.86812144828366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4.6642576780629614</v>
      </c>
      <c r="EW56" s="21">
        <f>EXP(-LN(2)/25)*EW55+(1-EXP(-LN(2)/25))/(LN(2)/25)*Calculateur!ER56*Calculateur!ET56*VLOOKUP('Données projet'!$B$15,Paramètres!$A$1:$I$89,3,0)*0.475*44/12</f>
        <v>3.1829655158355843</v>
      </c>
      <c r="EX56" s="21">
        <f>EXP(-LN(2)/2)*EX55+(1-EXP(-LN(2)/2))/(LN(2)/2)*ER56*EU56*VLOOKUP('Données projet'!$B$15,Paramètres!$A$1:$I$89,3,0)*0.475*44/12</f>
        <v>1.0212897333993398E-3</v>
      </c>
      <c r="EY56" s="22">
        <f t="shared" si="21"/>
        <v>7.8482444836319454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3.05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9.4348799999999979</v>
      </c>
      <c r="D57" s="11">
        <f t="shared" si="32"/>
        <v>3.3483367612909416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39.181454736662531</v>
      </c>
      <c r="H57" s="67">
        <f t="shared" si="1"/>
        <v>234.19743585924834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15.4</v>
      </c>
      <c r="N57" s="13">
        <f>IF('Données projet'!$A$36&gt;35,N56+M57-V56,IF(A57&lt;'Données projet'!$A$36,$K$205^A57,IF(A57='Données projet'!$A$36,'Données projet'!$B$36,N56+M57-V56)))</f>
        <v>723.59999999999945</v>
      </c>
      <c r="O57" s="13">
        <f>N57*VLOOKUP('Données projet'!$B$9,Paramètres!$A$1:$I$89,3,0)*VLOOKUP('Données projet'!$B$9,Paramètres!$A$1:$I$89,5,0)</f>
        <v>404.49239999999969</v>
      </c>
      <c r="P57" s="13">
        <f t="shared" si="33"/>
        <v>92.686837535548761</v>
      </c>
      <c r="Q57" s="20">
        <f t="shared" si="53"/>
        <v>865.92050537441344</v>
      </c>
      <c r="R57" s="59">
        <f t="shared" si="0"/>
        <v>1137.5201727014903</v>
      </c>
      <c r="S57" s="59">
        <f ca="1">AVERAGE(OFFSET($R$3,0,0,'Données projet'!$E$9+1,1))-AVERAGE(OFFSET($H$3,0,0,'Données projet'!$E$9+1,1))</f>
        <v>542.23071537860039</v>
      </c>
      <c r="T57" s="59">
        <f t="shared" si="34"/>
        <v>667.26143680054633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4.5640962079561911</v>
      </c>
      <c r="AA57" s="21">
        <f>EXP(-LN(2)/25)*AA56+(1-EXP(-LN(2)/25))/(LN(2)/25)*Calculateur!V57*Calculateur!X57*VLOOKUP('Données projet'!$B$9,Paramètres!$A$1:$I$89,3,0)*0.475*44/12</f>
        <v>21.90510812592025</v>
      </c>
      <c r="AB57" s="21">
        <f>EXP(-LN(2)/2)*AB56+(1-EXP(-LN(2)/2))/(LN(2)/2)*V57*Y57*VLOOKUP('Données projet'!$B$9,Paramètres!$A$1:$I$89,3,0)*0.475*44/12</f>
        <v>3.5200092199066508E-3</v>
      </c>
      <c r="AC57" s="22">
        <f t="shared" si="3"/>
        <v>26.472724343096349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13.8</v>
      </c>
      <c r="AI57" s="13">
        <f>IF('Données projet'!$A$62&gt;35,AI56+AH57-AQ56,IF(A57&lt;'Données projet'!$A$62,$AF$205^A57,IF(A57='Données projet'!$A$62,'Données projet'!$B$62,AI56+AH57-AQ56)))</f>
        <v>636.19999999999959</v>
      </c>
      <c r="AJ57" s="13">
        <f>AI57*VLOOKUP('Données projet'!$B$10,Paramètres!$A$1:$I$89,3,0)*VLOOKUP('Données projet'!$B$10,Paramètres!$A$1:$I$89,5,0)</f>
        <v>355.63579999999973</v>
      </c>
      <c r="AK57" s="13">
        <f t="shared" si="35"/>
        <v>82.721899912765039</v>
      </c>
      <c r="AL57" s="20">
        <f t="shared" si="4"/>
        <v>763.47299401473185</v>
      </c>
      <c r="AM57" s="59">
        <f t="shared" si="5"/>
        <v>1035.0726613418087</v>
      </c>
      <c r="AN57" s="59">
        <f ca="1">AVERAGE(OFFSET($AM$3,0,0,'Données projet'!$E$10+1,1))-AVERAGE(OFFSET($H$3,0,0,'Données projet'!$E$10+1,1))</f>
        <v>427.83834708696861</v>
      </c>
      <c r="AO57" s="59">
        <f t="shared" si="36"/>
        <v>545.63950537101903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2.7384577247737156</v>
      </c>
      <c r="AV57" s="21">
        <f>EXP(-LN(2)/25)*AV56+(1-EXP(-LN(2)/25))/(LN(2)/25)*Calculateur!AQ57*Calculateur!AS57*VLOOKUP('Données projet'!$B$10,Paramètres!$A$1:$I$89,3,0)*0.475*44/12</f>
        <v>12.656544844444058</v>
      </c>
      <c r="AW57" s="21">
        <f>EXP(-LN(2)/2)*AW56+(1-EXP(-LN(2)/2))/(LN(2)/2)*AQ57*AT57*VLOOKUP('Données projet'!$B$10,Paramètres!$A$1:$I$89,3,0)*0.475*44/12</f>
        <v>2.2588455964171134E-3</v>
      </c>
      <c r="AX57" s="21">
        <f t="shared" si="6"/>
        <v>15.39726141481419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172.99999999999994</v>
      </c>
      <c r="BE57" s="13">
        <f>BD57*VLOOKUP('Données projet'!$B$11,Paramètres!$A$1:$I$89,3,0)*VLOOKUP('Données projet'!$B$11,Paramètres!$A$1:$I$89,5,0)</f>
        <v>80.96399999999997</v>
      </c>
      <c r="BF57" s="13">
        <f t="shared" si="37"/>
        <v>22.37272257588274</v>
      </c>
      <c r="BG57" s="20">
        <f t="shared" si="7"/>
        <v>179.97812515299572</v>
      </c>
      <c r="BH57" s="59">
        <f t="shared" si="8"/>
        <v>451.57779248007262</v>
      </c>
      <c r="BI57" s="59">
        <f ca="1">AVERAGE(OFFSET($BH$3,0,0,'Données projet'!$E$11+1,1))-AVERAGE(OFFSET($H$3,0,0,'Données projet'!$E$11+1,1))</f>
        <v>210.62109466714364</v>
      </c>
      <c r="BJ57" s="59">
        <f t="shared" si="38"/>
        <v>193.35729443770401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4.0582092999213275</v>
      </c>
      <c r="BQ57" s="21">
        <f>EXP(-LN(2)/25)*BQ56+(1-EXP(-LN(2)/25))/(LN(2)/25)*Calculateur!BL57*Calculateur!BN57*VLOOKUP('Données projet'!$B$11,Paramètres!$A$1:$I$89,3,0)*0.475*44/12</f>
        <v>4.1187682639399572</v>
      </c>
      <c r="BR57" s="21">
        <f>EXP(-LN(2)/2)*BR56+(1-EXP(-LN(2)/2))/(LN(2)/2)*BL57*BO57*VLOOKUP('Données projet'!$B$11,Paramètres!$A$1:$I$89,3,0)*0.475*44/12</f>
        <v>1.9326125192384574E-3</v>
      </c>
      <c r="BS57" s="22">
        <f t="shared" si="9"/>
        <v>8.1789101763805245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17.625</v>
      </c>
      <c r="BY57" s="12">
        <f>IF('Données projet'!$A$114&gt;35,BY56+BX57-CG56,IF(A57&lt;'Données projet'!$A$114,$BV$205^A57,IF(A57='Données projet'!$A$114,'Données projet'!$B$114,BY56+BX57-CG56)))</f>
        <v>369.49999999999994</v>
      </c>
      <c r="BZ57" s="13">
        <f>BY57*VLOOKUP('Données projet'!$B$12,Paramètres!$A$1:$I$89,3,0)*VLOOKUP('Données projet'!$B$12,Paramètres!$A$1:$I$89,5,0)</f>
        <v>220.96099999999996</v>
      </c>
      <c r="CA57" s="13">
        <f t="shared" si="39"/>
        <v>54.323701308314696</v>
      </c>
      <c r="CB57" s="20">
        <f t="shared" si="10"/>
        <v>479.45418811198141</v>
      </c>
      <c r="CC57" s="59">
        <f t="shared" si="11"/>
        <v>751.05385543905834</v>
      </c>
      <c r="CD57" s="59">
        <f ca="1">AVERAGE(OFFSET($CC$3,0,0,'Données projet'!$E$12+1,1))-AVERAGE(OFFSET($H$3,0,0,'Données projet'!$E$12+1,1))</f>
        <v>368.16165268258442</v>
      </c>
      <c r="CE57" s="59">
        <f t="shared" si="40"/>
        <v>291.32219253157041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4.6495643054212001</v>
      </c>
      <c r="CL57" s="21">
        <f>EXP(-LN(2)/25)*CL56+(1-EXP(-LN(2)/25))/(LN(2)/25)*Calculateur!CG57*Calculateur!CI57*VLOOKUP('Données projet'!$B$12,Paramètres!$A$1:$I$89,3,0)*0.475*44/12</f>
        <v>3.4149976266316102</v>
      </c>
      <c r="CM57" s="21">
        <f>EXP(-LN(2)/2)*CM56+(1-EXP(-LN(2)/2))/(LN(2)/2)*CG57*CJ57*VLOOKUP('Données projet'!$B$12,Paramètres!$A$1:$I$89,3,0)*0.475*44/12</f>
        <v>1.9342855238466685E-3</v>
      </c>
      <c r="CN57" s="22">
        <f t="shared" si="12"/>
        <v>8.0664962175766579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>
        <f>VLOOKUP(A57,'Données projet'!$A$139:$I$159,2,0)</f>
        <v>402</v>
      </c>
      <c r="CR57" s="12">
        <f>VLOOKUP(A57,'Données projet'!$A$139:$I$159,9,0)</f>
        <v>7.25</v>
      </c>
      <c r="CS57" s="12">
        <f t="array" ref="CS57">INDEX(CR:CR,MIN(IF(ISNUMBER(CR57:CR253),ROW(CR57:CR253),"")))</f>
        <v>7.25</v>
      </c>
      <c r="CT57" s="12">
        <f>IF('Données projet'!$A$140&gt;35,CT56+CS57-DB56,IF(A57&lt;'Données projet'!$A$140,$CQ$205^A57,IF(A57='Données projet'!$A$140,'Données projet'!$B$140,CT56+CS57-DB56)))</f>
        <v>402.00000000000011</v>
      </c>
      <c r="CU57" s="17">
        <f>CT57*VLOOKUP('Données projet'!$B$13,Paramètres!$A$1:$I$89,3,0)*VLOOKUP('Données projet'!$B$13,Paramètres!$A$1:$I$89,5,0)</f>
        <v>240.3960000000001</v>
      </c>
      <c r="CV57" s="13">
        <f t="shared" si="41"/>
        <v>58.524723634421655</v>
      </c>
      <c r="CW57" s="20">
        <f t="shared" si="13"/>
        <v>520.62026032995107</v>
      </c>
      <c r="CX57" s="59">
        <f t="shared" si="14"/>
        <v>792.21992765702794</v>
      </c>
      <c r="CY57" s="59">
        <f ca="1">AVERAGE(OFFSET($CX$3,0,0,'Données projet'!$E$13+1,1))-AVERAGE(OFFSET($H$3,0,0,'Données projet'!$E$13+1,1))</f>
        <v>317.12995176362455</v>
      </c>
      <c r="CZ57" s="59">
        <f t="shared" si="42"/>
        <v>328.11301015275262</v>
      </c>
      <c r="DA57" s="15">
        <f>IF(ISNA(VLOOKUP(A57,'Données projet'!$A$139:$I$159,3,0)),0,VLOOKUP(A57,'Données projet'!$A$139:$I$159,3,0))</f>
        <v>9</v>
      </c>
      <c r="DB57" s="15">
        <f>IF(ISNA(VLOOKUP(A57,'Données projet'!$A$139:$I$159,4,0)),0,VLOOKUP(A57,'Données projet'!$A$139:$I$159,4,0))</f>
        <v>17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11.224431330145528</v>
      </c>
      <c r="DG57" s="21">
        <f>EXP(-LN(2)/25)*DG56+(1-EXP(-LN(2)/25))/(LN(2)/25)*Calculateur!DB57*Calculateur!DD57*VLOOKUP('Données projet'!$B$13,Paramètres!$A$1:$I$89,3,0)*0.475*44/12</f>
        <v>8.2896905951089987</v>
      </c>
      <c r="DH57" s="21">
        <f>EXP(-LN(2)/2)*DH56+(1-EXP(-LN(2)/2))/(LN(2)/2)*DB57*DE57*VLOOKUP('Données projet'!$B$13,Paramètres!$A$1:$I$89,3,0)*0.475*44/12</f>
        <v>1.401705001010257E-3</v>
      </c>
      <c r="DI57" s="22">
        <f t="shared" si="15"/>
        <v>19.51552363025554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208.20000000000002</v>
      </c>
      <c r="DP57" s="17">
        <f>DO57*VLOOKUP('Données projet'!$B$14,Paramètres!$A$1:$I$89,3,0)*VLOOKUP('Données projet'!$B$14,Paramètres!$A$1:$I$89,5,0)</f>
        <v>181.88352000000006</v>
      </c>
      <c r="DQ57" s="13">
        <f t="shared" si="43"/>
        <v>45.74098045051349</v>
      </c>
      <c r="DR57" s="20">
        <f t="shared" si="16"/>
        <v>396.44600495131112</v>
      </c>
      <c r="DS57" s="59">
        <f t="shared" si="17"/>
        <v>668.04567227838811</v>
      </c>
      <c r="DT57" s="59">
        <f ca="1">AVERAGE(OFFSET($DS$3,0,0,'Données projet'!$E$14+1,1))-AVERAGE(OFFSET($H$3,0,0,'Données projet'!$E$14+1,1))</f>
        <v>325.5873213944476</v>
      </c>
      <c r="DU57" s="59">
        <f t="shared" si="44"/>
        <v>347.9042278368363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1.8204102567395002</v>
      </c>
      <c r="EB57" s="21">
        <f>EXP(-LN(2)/25)*EB56+(1-EXP(-LN(2)/25))/(LN(2)/25)*Calculateur!DW57*Calculateur!DY57*VLOOKUP('Données projet'!$B$14,Paramètres!$A$1:$I$89,3,0)*0.475*44/12</f>
        <v>4.5357039108128507</v>
      </c>
      <c r="EC57" s="21">
        <f>EXP(-LN(2)/2)*EC56+(1-EXP(-LN(2)/2))/(LN(2)/2)*DW57*DZ57*VLOOKUP('Données projet'!$B$14,Paramètres!$A$1:$I$89,3,0)*0.475*44/12</f>
        <v>2.9174366787947906E-3</v>
      </c>
      <c r="ED57" s="22">
        <f t="shared" si="18"/>
        <v>6.359031604231145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246</v>
      </c>
      <c r="EH57" s="12">
        <f>VLOOKUP(A57,'Données projet'!$A$191:$I$211,9,0)</f>
        <v>5.125</v>
      </c>
      <c r="EI57" s="12">
        <f t="array" ref="EI57">INDEX(EH:EH,MIN(IF(ISNUMBER(EH57:EH253),ROW(EH57:EH253),"")))</f>
        <v>5.125</v>
      </c>
      <c r="EJ57" s="12">
        <f>IF('Données projet'!$A$192&gt;35,EJ56+EI57-ER56,IF(A57&lt;'Données projet'!$A$192,$EG$205^A57,IF(A57='Données projet'!$A$192,'Données projet'!$B$192,EJ56+EI57-ER56)))</f>
        <v>246</v>
      </c>
      <c r="EK57" s="17">
        <f>EJ57*VLOOKUP('Données projet'!$B$15,Paramètres!$A$1:$I$89,3,0)*VLOOKUP('Données projet'!$B$15,Paramètres!$A$1:$I$89,5,0)</f>
        <v>147.10800000000003</v>
      </c>
      <c r="EL57" s="13">
        <f t="shared" si="45"/>
        <v>37.920625436598897</v>
      </c>
      <c r="EM57" s="20">
        <f t="shared" si="19"/>
        <v>322.25818930207646</v>
      </c>
      <c r="EN57" s="59">
        <f t="shared" si="20"/>
        <v>593.85785662915339</v>
      </c>
      <c r="EO57" s="59">
        <f ca="1">AVERAGE(OFFSET($EN$3,0,0,'Données projet'!$E$15+1,1))-AVERAGE(OFFSET($H$3,0,0,'Données projet'!$E$15+1,1))</f>
        <v>205.5480000480477</v>
      </c>
      <c r="EP57" s="59">
        <f t="shared" si="46"/>
        <v>229.86812144828366</v>
      </c>
      <c r="EQ57" s="15">
        <f>IF(ISNA(VLOOKUP(A57,'Données projet'!$A$191:$I$211,3,0)),0,VLOOKUP(A57,'Données projet'!$A$191:$I$211,3,0))</f>
        <v>9</v>
      </c>
      <c r="ER57" s="15">
        <f>IF(ISNA(VLOOKUP(A57,'Données projet'!$A$191:$I$211,4,0)),0,VLOOKUP(A57,'Données projet'!$A$191:$I$211,4,0))</f>
        <v>22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4.5727944299124186</v>
      </c>
      <c r="EW57" s="21">
        <f>EXP(-LN(2)/25)*EW56+(1-EXP(-LN(2)/25))/(LN(2)/25)*Calculateur!ER57*Calculateur!ET57*VLOOKUP('Données projet'!$B$15,Paramètres!$A$1:$I$89,3,0)*0.475*44/12</f>
        <v>3.0959271564201787</v>
      </c>
      <c r="EX57" s="21">
        <f>EXP(-LN(2)/2)*EX56+(1-EXP(-LN(2)/2))/(LN(2)/2)*ER57*EU57*VLOOKUP('Données projet'!$B$15,Paramètres!$A$1:$I$89,3,0)*0.475*44/12</f>
        <v>7.2216089604287446E-4</v>
      </c>
      <c r="EY57" s="22">
        <f t="shared" si="21"/>
        <v>7.6694437472286401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3.05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58" s="11">
        <f t="shared" si="32"/>
        <v>3.4030668246422189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39.748236647537269</v>
      </c>
      <c r="H58" s="67">
        <f t="shared" si="1"/>
        <v>234.59706138625182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739</v>
      </c>
      <c r="L58" s="12">
        <f>VLOOKUP(A58,'Données projet'!$A$35:$I$55,9,0)</f>
        <v>15.4</v>
      </c>
      <c r="M58" s="12">
        <f t="array" ref="M58">INDEX(L:L,MIN(IF(ISNUMBER(L58:L254),ROW(L58:L254),"")))</f>
        <v>15.4</v>
      </c>
      <c r="N58" s="13">
        <f>IF('Données projet'!$A$36&gt;35,N57+M58-V57,IF(A58&lt;'Données projet'!$A$36,$K$205^A58,IF(A58='Données projet'!$A$36,'Données projet'!$B$36,N57+M58-V57)))</f>
        <v>738.99999999999943</v>
      </c>
      <c r="O58" s="13">
        <f>N58*VLOOKUP('Données projet'!$B$9,Paramètres!$A$1:$I$89,3,0)*VLOOKUP('Données projet'!$B$9,Paramètres!$A$1:$I$89,5,0)</f>
        <v>413.10099999999971</v>
      </c>
      <c r="P58" s="13">
        <f t="shared" si="33"/>
        <v>94.427689670462271</v>
      </c>
      <c r="Q58" s="20">
        <f t="shared" si="53"/>
        <v>883.94580117605472</v>
      </c>
      <c r="R58" s="59">
        <f t="shared" si="0"/>
        <v>1155.9224990191422</v>
      </c>
      <c r="S58" s="59">
        <f ca="1">AVERAGE(OFFSET($R$3,0,0,'Données projet'!$E$9+1,1))-AVERAGE(OFFSET($H$3,0,0,'Données projet'!$E$9+1,1))</f>
        <v>542.23071537860039</v>
      </c>
      <c r="T58" s="59">
        <f t="shared" si="34"/>
        <v>667.26143680054633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46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4.4745970651419773</v>
      </c>
      <c r="AA58" s="21">
        <f>EXP(-LN(2)/25)*AA57+(1-EXP(-LN(2)/25))/(LN(2)/25)*Calculateur!V58*Calculateur!X58*VLOOKUP('Données projet'!$B$9,Paramètres!$A$1:$I$89,3,0)*0.475*44/12</f>
        <v>21.306111792277388</v>
      </c>
      <c r="AB58" s="21">
        <f>EXP(-LN(2)/2)*AB57+(1-EXP(-LN(2)/2))/(LN(2)/2)*V58*Y58*VLOOKUP('Données projet'!$B$9,Paramètres!$A$1:$I$89,3,0)*0.475*44/12</f>
        <v>2.4890223892351619E-3</v>
      </c>
      <c r="AC58" s="22">
        <f t="shared" si="3"/>
        <v>25.783197879808601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650</v>
      </c>
      <c r="AG58" s="12">
        <f>VLOOKUP(A58,'Données projet'!$A$61:$I$81,9,0)</f>
        <v>13.8</v>
      </c>
      <c r="AH58" s="12">
        <f t="array" ref="AH58">INDEX(AG:AG,MIN(IF(ISNUMBER(AG58:AG254),ROW(AG58:AG254),"")))</f>
        <v>13.8</v>
      </c>
      <c r="AI58" s="13">
        <f>IF('Données projet'!$A$62&gt;35,AI57+AH58-AQ57,IF(A58&lt;'Données projet'!$A$62,$AF$205^A58,IF(A58='Données projet'!$A$62,'Données projet'!$B$62,AI57+AH58-AQ57)))</f>
        <v>649.99999999999955</v>
      </c>
      <c r="AJ58" s="13">
        <f>AI58*VLOOKUP('Données projet'!$B$10,Paramètres!$A$1:$I$89,3,0)*VLOOKUP('Données projet'!$B$10,Paramètres!$A$1:$I$89,5,0)</f>
        <v>363.34999999999974</v>
      </c>
      <c r="AK58" s="13">
        <f t="shared" si="35"/>
        <v>84.305397464498199</v>
      </c>
      <c r="AL58" s="20">
        <f t="shared" si="4"/>
        <v>779.66648391733395</v>
      </c>
      <c r="AM58" s="59">
        <f t="shared" si="5"/>
        <v>1051.6431817604214</v>
      </c>
      <c r="AN58" s="59">
        <f ca="1">AVERAGE(OFFSET($AM$3,0,0,'Données projet'!$E$10+1,1))-AVERAGE(OFFSET($H$3,0,0,'Données projet'!$E$10+1,1))</f>
        <v>427.83834708696861</v>
      </c>
      <c r="AO58" s="59">
        <f t="shared" si="36"/>
        <v>545.63950537101903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2.6847582390851872</v>
      </c>
      <c r="AV58" s="21">
        <f>EXP(-LN(2)/25)*AV57+(1-EXP(-LN(2)/25))/(LN(2)/25)*Calculateur!AQ58*Calculateur!AS58*VLOOKUP('Données projet'!$B$10,Paramètres!$A$1:$I$89,3,0)*0.475*44/12</f>
        <v>12.310450960093968</v>
      </c>
      <c r="AW58" s="21">
        <f>EXP(-LN(2)/2)*AW57+(1-EXP(-LN(2)/2))/(LN(2)/2)*AQ58*AT58*VLOOKUP('Données projet'!$B$10,Paramètres!$A$1:$I$89,3,0)*0.475*44/12</f>
        <v>1.5972450388799123E-3</v>
      </c>
      <c r="AX58" s="21">
        <f t="shared" si="6"/>
        <v>14.996806444218036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180.99999999999994</v>
      </c>
      <c r="BE58" s="13">
        <f>BD58*VLOOKUP('Données projet'!$B$11,Paramètres!$A$1:$I$89,3,0)*VLOOKUP('Données projet'!$B$11,Paramètres!$A$1:$I$89,5,0)</f>
        <v>84.707999999999984</v>
      </c>
      <c r="BF58" s="13">
        <f t="shared" si="37"/>
        <v>23.284455653273685</v>
      </c>
      <c r="BG58" s="20">
        <f t="shared" si="7"/>
        <v>188.08686026278497</v>
      </c>
      <c r="BH58" s="59">
        <f t="shared" si="8"/>
        <v>460.06355810587246</v>
      </c>
      <c r="BI58" s="59">
        <f ca="1">AVERAGE(OFFSET($BH$3,0,0,'Données projet'!$E$11+1,1))-AVERAGE(OFFSET($H$3,0,0,'Données projet'!$E$11+1,1))</f>
        <v>210.62109466714364</v>
      </c>
      <c r="BJ58" s="59">
        <f t="shared" si="38"/>
        <v>193.35729443770401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3.9786302908131312</v>
      </c>
      <c r="BQ58" s="21">
        <f>EXP(-LN(2)/25)*BQ57+(1-EXP(-LN(2)/25))/(LN(2)/25)*Calculateur!BL58*Calculateur!BN58*VLOOKUP('Données projet'!$B$11,Paramètres!$A$1:$I$89,3,0)*0.475*44/12</f>
        <v>4.0061403291659099</v>
      </c>
      <c r="BR58" s="21">
        <f>EXP(-LN(2)/2)*BR57+(1-EXP(-LN(2)/2))/(LN(2)/2)*BL58*BO58*VLOOKUP('Données projet'!$B$11,Paramètres!$A$1:$I$89,3,0)*0.475*44/12</f>
        <v>1.3665634177595304E-3</v>
      </c>
      <c r="BS58" s="22">
        <f t="shared" si="9"/>
        <v>7.9861371833968011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17.625</v>
      </c>
      <c r="BY58" s="12">
        <f>IF('Données projet'!$A$114&gt;35,BY57+BX58-CG57,IF(A58&lt;'Données projet'!$A$114,$BV$205^A58,IF(A58='Données projet'!$A$114,'Données projet'!$B$114,BY57+BX58-CG57)))</f>
        <v>387.12499999999994</v>
      </c>
      <c r="BZ58" s="13">
        <f>BY58*VLOOKUP('Données projet'!$B$12,Paramètres!$A$1:$I$89,3,0)*VLOOKUP('Données projet'!$B$12,Paramètres!$A$1:$I$89,5,0)</f>
        <v>231.50074999999998</v>
      </c>
      <c r="CA58" s="13">
        <f t="shared" si="39"/>
        <v>56.607055837426749</v>
      </c>
      <c r="CB58" s="20">
        <f t="shared" si="10"/>
        <v>501.78776183351812</v>
      </c>
      <c r="CC58" s="59">
        <f t="shared" si="11"/>
        <v>773.76445967660561</v>
      </c>
      <c r="CD58" s="59">
        <f ca="1">AVERAGE(OFFSET($CC$3,0,0,'Données projet'!$E$12+1,1))-AVERAGE(OFFSET($H$3,0,0,'Données projet'!$E$12+1,1))</f>
        <v>368.16165268258442</v>
      </c>
      <c r="CE58" s="59">
        <f t="shared" si="40"/>
        <v>291.32219253157041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4.5583891853460896</v>
      </c>
      <c r="CL58" s="21">
        <f>EXP(-LN(2)/25)*CL57+(1-EXP(-LN(2)/25))/(LN(2)/25)*Calculateur!CG58*Calculateur!CI58*VLOOKUP('Données projet'!$B$12,Paramètres!$A$1:$I$89,3,0)*0.475*44/12</f>
        <v>3.3216143369444486</v>
      </c>
      <c r="CM58" s="21">
        <f>EXP(-LN(2)/2)*CM57+(1-EXP(-LN(2)/2))/(LN(2)/2)*CG58*CJ58*VLOOKUP('Données projet'!$B$12,Paramètres!$A$1:$I$89,3,0)*0.475*44/12</f>
        <v>1.3677464106629528E-3</v>
      </c>
      <c r="CN58" s="22">
        <f t="shared" si="12"/>
        <v>7.8813712687012014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3</v>
      </c>
      <c r="CT58" s="12">
        <f>IF('Données projet'!$A$140&gt;35,CT57+CS58-DB57,IF(A58&lt;'Données projet'!$A$140,$CQ$205^A58,IF(A58='Données projet'!$A$140,'Données projet'!$B$140,CT57+CS58-DB57)))</f>
        <v>388.00000000000011</v>
      </c>
      <c r="CU58" s="17">
        <f>CT58*VLOOKUP('Données projet'!$B$13,Paramètres!$A$1:$I$89,3,0)*VLOOKUP('Données projet'!$B$13,Paramètres!$A$1:$I$89,5,0)</f>
        <v>232.02400000000006</v>
      </c>
      <c r="CV58" s="13">
        <f t="shared" si="41"/>
        <v>56.720094243161071</v>
      </c>
      <c r="CW58" s="20">
        <f t="shared" si="13"/>
        <v>502.89596414017234</v>
      </c>
      <c r="CX58" s="59">
        <f t="shared" si="14"/>
        <v>774.87266198325983</v>
      </c>
      <c r="CY58" s="59">
        <f ca="1">AVERAGE(OFFSET($CX$3,0,0,'Données projet'!$E$13+1,1))-AVERAGE(OFFSET($H$3,0,0,'Données projet'!$E$13+1,1))</f>
        <v>317.12995176362455</v>
      </c>
      <c r="CZ58" s="59">
        <f t="shared" si="42"/>
        <v>328.11301015275262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11.004327077988476</v>
      </c>
      <c r="DG58" s="21">
        <f>EXP(-LN(2)/25)*DG57+(1-EXP(-LN(2)/25))/(LN(2)/25)*Calculateur!DB58*Calculateur!DD58*VLOOKUP('Données projet'!$B$13,Paramètres!$A$1:$I$89,3,0)*0.475*44/12</f>
        <v>8.0630085698498615</v>
      </c>
      <c r="DH58" s="21">
        <f>EXP(-LN(2)/2)*DH57+(1-EXP(-LN(2)/2))/(LN(2)/2)*DB58*DE58*VLOOKUP('Données projet'!$B$13,Paramètres!$A$1:$I$89,3,0)*0.475*44/12</f>
        <v>9.9115511143744919E-4</v>
      </c>
      <c r="DI58" s="22">
        <f t="shared" si="15"/>
        <v>19.068326802949777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215</v>
      </c>
      <c r="DM58" s="12">
        <f>VLOOKUP(A58,'Données projet'!$A$165:$I$185,9,0)</f>
        <v>6.8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215.00000000000003</v>
      </c>
      <c r="DP58" s="17">
        <f>DO58*VLOOKUP('Données projet'!$B$14,Paramètres!$A$1:$I$89,3,0)*VLOOKUP('Données projet'!$B$14,Paramètres!$A$1:$I$89,5,0)</f>
        <v>187.82400000000007</v>
      </c>
      <c r="DQ58" s="13">
        <f t="shared" si="43"/>
        <v>47.05854810918273</v>
      </c>
      <c r="DR58" s="20">
        <f t="shared" si="16"/>
        <v>409.08710462349336</v>
      </c>
      <c r="DS58" s="59">
        <f t="shared" si="17"/>
        <v>681.06380246658091</v>
      </c>
      <c r="DT58" s="59">
        <f ca="1">AVERAGE(OFFSET($DS$3,0,0,'Données projet'!$E$14+1,1))-AVERAGE(OFFSET($H$3,0,0,'Données projet'!$E$14+1,1))</f>
        <v>325.5873213944476</v>
      </c>
      <c r="DU58" s="59">
        <f t="shared" si="44"/>
        <v>347.9042278368363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25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1.7847131219454582</v>
      </c>
      <c r="EB58" s="21">
        <f>EXP(-LN(2)/25)*EB57+(1-EXP(-LN(2)/25))/(LN(2)/25)*Calculateur!DW58*Calculateur!DY58*VLOOKUP('Données projet'!$B$14,Paramètres!$A$1:$I$89,3,0)*0.475*44/12</f>
        <v>4.4116748488493709</v>
      </c>
      <c r="EC58" s="21">
        <f>EXP(-LN(2)/2)*EC57+(1-EXP(-LN(2)/2))/(LN(2)/2)*DW58*DZ58*VLOOKUP('Données projet'!$B$14,Paramètres!$A$1:$I$89,3,0)*0.475*44/12</f>
        <v>2.0629392592581559E-3</v>
      </c>
      <c r="ED58" s="22">
        <f t="shared" si="18"/>
        <v>6.1984509100540874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2.125</v>
      </c>
      <c r="EJ58" s="12">
        <f>IF('Données projet'!$A$192&gt;35,EJ57+EI58-ER57,IF(A58&lt;'Données projet'!$A$192,$EG$205^A58,IF(A58='Données projet'!$A$192,'Données projet'!$B$192,EJ57+EI58-ER57)))</f>
        <v>226.125</v>
      </c>
      <c r="EK58" s="17">
        <f>EJ58*VLOOKUP('Données projet'!$B$15,Paramètres!$A$1:$I$89,3,0)*VLOOKUP('Données projet'!$B$15,Paramètres!$A$1:$I$89,5,0)</f>
        <v>135.22274999999999</v>
      </c>
      <c r="EL58" s="13">
        <f t="shared" si="45"/>
        <v>35.200403047414646</v>
      </c>
      <c r="EM58" s="20">
        <f t="shared" si="19"/>
        <v>296.82032489091381</v>
      </c>
      <c r="EN58" s="59">
        <f t="shared" si="20"/>
        <v>568.7970227340013</v>
      </c>
      <c r="EO58" s="59">
        <f ca="1">AVERAGE(OFFSET($EN$3,0,0,'Données projet'!$E$15+1,1))-AVERAGE(OFFSET($H$3,0,0,'Données projet'!$E$15+1,1))</f>
        <v>205.5480000480477</v>
      </c>
      <c r="EP58" s="59">
        <f t="shared" si="46"/>
        <v>229.86812144828366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4.4831247202710349</v>
      </c>
      <c r="EW58" s="21">
        <f>EXP(-LN(2)/25)*EW57+(1-EXP(-LN(2)/25))/(LN(2)/25)*Calculateur!ER58*Calculateur!ET58*VLOOKUP('Données projet'!$B$15,Paramètres!$A$1:$I$89,3,0)*0.475*44/12</f>
        <v>3.0112688655201354</v>
      </c>
      <c r="EX58" s="21">
        <f>EXP(-LN(2)/2)*EX57+(1-EXP(-LN(2)/2))/(LN(2)/2)*ER58*EU58*VLOOKUP('Données projet'!$B$15,Paramètres!$A$1:$I$89,3,0)*0.475*44/12</f>
        <v>5.1064486669966992E-4</v>
      </c>
      <c r="EY58" s="22">
        <f t="shared" si="21"/>
        <v>7.4949042306578706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3.05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9.7843199999999992</v>
      </c>
      <c r="D59" s="11">
        <f t="shared" si="32"/>
        <v>3.457681175019204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40.314732727064978</v>
      </c>
      <c r="H59" s="67">
        <f t="shared" si="1"/>
        <v>234.99648537982509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12.2</v>
      </c>
      <c r="N59" s="13">
        <f>IF('Données projet'!$A$36&gt;35,N58+M59-V58,IF(A59&lt;'Données projet'!$A$36,$K$205^A59,IF(A59='Données projet'!$A$36,'Données projet'!$B$36,N58+M59-V58)))</f>
        <v>705.19999999999948</v>
      </c>
      <c r="O59" s="13">
        <f>N59*VLOOKUP('Données projet'!$B$9,Paramètres!$A$1:$I$89,3,0)*VLOOKUP('Données projet'!$B$9,Paramètres!$A$1:$I$89,5,0)</f>
        <v>394.2067999999997</v>
      </c>
      <c r="P59" s="13">
        <f t="shared" si="33"/>
        <v>90.601187466199292</v>
      </c>
      <c r="Q59" s="20">
        <f t="shared" si="53"/>
        <v>844.37391150362998</v>
      </c>
      <c r="R59" s="59">
        <f t="shared" si="0"/>
        <v>1116.7210992261892</v>
      </c>
      <c r="S59" s="59">
        <f ca="1">AVERAGE(OFFSET($R$3,0,0,'Données projet'!$E$9+1,1))-AVERAGE(OFFSET($H$3,0,0,'Données projet'!$E$9+1,1))</f>
        <v>542.23071537860039</v>
      </c>
      <c r="T59" s="59">
        <f t="shared" si="34"/>
        <v>667.26143680054633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4.3868529459292631</v>
      </c>
      <c r="AA59" s="21">
        <f>EXP(-LN(2)/25)*AA58+(1-EXP(-LN(2)/25))/(LN(2)/25)*Calculateur!V59*Calculateur!X59*VLOOKUP('Données projet'!$B$9,Paramètres!$A$1:$I$89,3,0)*0.475*44/12</f>
        <v>20.72349504487784</v>
      </c>
      <c r="AB59" s="21">
        <f>EXP(-LN(2)/2)*AB58+(1-EXP(-LN(2)/2))/(LN(2)/2)*V59*Y59*VLOOKUP('Données projet'!$B$9,Paramètres!$A$1:$I$89,3,0)*0.475*44/12</f>
        <v>1.7600046099533254E-3</v>
      </c>
      <c r="AC59" s="22">
        <f t="shared" si="3"/>
        <v>25.112107995417055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10.199999999999999</v>
      </c>
      <c r="AI59" s="13">
        <f>IF('Données projet'!$A$62&gt;35,AI58+AH59-AQ58,IF(A59&lt;'Données projet'!$A$62,$AF$205^A59,IF(A59='Données projet'!$A$62,'Données projet'!$B$62,AI58+AH59-AQ58)))</f>
        <v>625.19999999999959</v>
      </c>
      <c r="AJ59" s="13">
        <f>AI59*VLOOKUP('Données projet'!$B$10,Paramètres!$A$1:$I$89,3,0)*VLOOKUP('Données projet'!$B$10,Paramètres!$A$1:$I$89,5,0)</f>
        <v>349.48679999999979</v>
      </c>
      <c r="AK59" s="13">
        <f t="shared" si="35"/>
        <v>81.45682900536228</v>
      </c>
      <c r="AL59" s="20">
        <f t="shared" si="4"/>
        <v>750.56015385100557</v>
      </c>
      <c r="AM59" s="59">
        <f t="shared" si="5"/>
        <v>1022.9073415735647</v>
      </c>
      <c r="AN59" s="59">
        <f ca="1">AVERAGE(OFFSET($AM$3,0,0,'Données projet'!$E$10+1,1))-AVERAGE(OFFSET($H$3,0,0,'Données projet'!$E$10+1,1))</f>
        <v>427.83834708696861</v>
      </c>
      <c r="AO59" s="59">
        <f t="shared" si="36"/>
        <v>545.63950537101903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2.6321117675575589</v>
      </c>
      <c r="AV59" s="21">
        <f>EXP(-LN(2)/25)*AV58+(1-EXP(-LN(2)/25))/(LN(2)/25)*Calculateur!AQ59*Calculateur!AS59*VLOOKUP('Données projet'!$B$10,Paramètres!$A$1:$I$89,3,0)*0.475*44/12</f>
        <v>11.973821031211719</v>
      </c>
      <c r="AW59" s="21">
        <f>EXP(-LN(2)/2)*AW58+(1-EXP(-LN(2)/2))/(LN(2)/2)*AQ59*AT59*VLOOKUP('Données projet'!$B$10,Paramètres!$A$1:$I$89,3,0)*0.475*44/12</f>
        <v>1.1294227982085567E-3</v>
      </c>
      <c r="AX59" s="21">
        <f t="shared" si="6"/>
        <v>14.607062221567485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</v>
      </c>
      <c r="BD59" s="12">
        <f>IF('Données projet'!$A$88&gt;35,BD58+BC59-BL58,IF(A59&lt;'Données projet'!$A$88,$BA$205^A59,IF(A59='Données projet'!$A$88,'Données projet'!$B$88,BD58+BC59-BL58)))</f>
        <v>188.99999999999994</v>
      </c>
      <c r="BE59" s="13">
        <f>BD59*VLOOKUP('Données projet'!$B$11,Paramètres!$A$1:$I$89,3,0)*VLOOKUP('Données projet'!$B$11,Paramètres!$A$1:$I$89,5,0)</f>
        <v>88.45199999999997</v>
      </c>
      <c r="BF59" s="13">
        <f t="shared" si="37"/>
        <v>24.191508526943956</v>
      </c>
      <c r="BG59" s="20">
        <f t="shared" si="7"/>
        <v>196.18744401776064</v>
      </c>
      <c r="BH59" s="59">
        <f t="shared" si="8"/>
        <v>468.53463174031987</v>
      </c>
      <c r="BI59" s="59">
        <f ca="1">AVERAGE(OFFSET($BH$3,0,0,'Données projet'!$E$11+1,1))-AVERAGE(OFFSET($H$3,0,0,'Données projet'!$E$11+1,1))</f>
        <v>210.62109466714364</v>
      </c>
      <c r="BJ59" s="59">
        <f t="shared" si="38"/>
        <v>193.35729443770401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3.9006117775351439</v>
      </c>
      <c r="BQ59" s="21">
        <f>EXP(-LN(2)/25)*BQ58+(1-EXP(-LN(2)/25))/(LN(2)/25)*Calculateur!BL59*Calculateur!BN59*VLOOKUP('Données projet'!$B$11,Paramètres!$A$1:$I$89,3,0)*0.475*44/12</f>
        <v>3.8965922111911042</v>
      </c>
      <c r="BR59" s="21">
        <f>EXP(-LN(2)/2)*BR58+(1-EXP(-LN(2)/2))/(LN(2)/2)*BL59*BO59*VLOOKUP('Données projet'!$B$11,Paramètres!$A$1:$I$89,3,0)*0.475*44/12</f>
        <v>9.6630625961922889E-4</v>
      </c>
      <c r="BS59" s="22">
        <f t="shared" si="9"/>
        <v>7.7981702949858676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17.625</v>
      </c>
      <c r="BY59" s="12">
        <f>IF('Données projet'!$A$114&gt;35,BY58+BX59-CG58,IF(A59&lt;'Données projet'!$A$114,$BV$205^A59,IF(A59='Données projet'!$A$114,'Données projet'!$B$114,BY58+BX59-CG58)))</f>
        <v>404.74999999999994</v>
      </c>
      <c r="BZ59" s="13">
        <f>BY59*VLOOKUP('Données projet'!$B$12,Paramètres!$A$1:$I$89,3,0)*VLOOKUP('Données projet'!$B$12,Paramètres!$A$1:$I$89,5,0)</f>
        <v>242.04049999999998</v>
      </c>
      <c r="CA59" s="13">
        <f t="shared" si="39"/>
        <v>58.878337443371535</v>
      </c>
      <c r="CB59" s="20">
        <f t="shared" si="10"/>
        <v>524.10030854720526</v>
      </c>
      <c r="CC59" s="59">
        <f t="shared" si="11"/>
        <v>796.44749626976454</v>
      </c>
      <c r="CD59" s="59">
        <f ca="1">AVERAGE(OFFSET($CC$3,0,0,'Données projet'!$E$12+1,1))-AVERAGE(OFFSET($H$3,0,0,'Données projet'!$E$12+1,1))</f>
        <v>368.16165268258442</v>
      </c>
      <c r="CE59" s="59">
        <f t="shared" si="40"/>
        <v>291.32219253157041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4.4690019537643195</v>
      </c>
      <c r="CL59" s="21">
        <f>EXP(-LN(2)/25)*CL58+(1-EXP(-LN(2)/25))/(LN(2)/25)*Calculateur!CG59*Calculateur!CI59*VLOOKUP('Données projet'!$B$12,Paramètres!$A$1:$I$89,3,0)*0.475*44/12</f>
        <v>3.2307846182245963</v>
      </c>
      <c r="CM59" s="21">
        <f>EXP(-LN(2)/2)*CM58+(1-EXP(-LN(2)/2))/(LN(2)/2)*CG59*CJ59*VLOOKUP('Données projet'!$B$12,Paramètres!$A$1:$I$89,3,0)*0.475*44/12</f>
        <v>9.6714276192333447E-4</v>
      </c>
      <c r="CN59" s="22">
        <f t="shared" si="12"/>
        <v>7.7007537147508396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3</v>
      </c>
      <c r="CT59" s="12">
        <f>IF('Données projet'!$A$140&gt;35,CT58+CS59-DB58,IF(A59&lt;'Données projet'!$A$140,$CQ$205^A59,IF(A59='Données projet'!$A$140,'Données projet'!$B$140,CT58+CS59-DB58)))</f>
        <v>391.00000000000011</v>
      </c>
      <c r="CU59" s="17">
        <f>CT59*VLOOKUP('Données projet'!$B$13,Paramètres!$A$1:$I$89,3,0)*VLOOKUP('Données projet'!$B$13,Paramètres!$A$1:$I$89,5,0)</f>
        <v>233.8180000000001</v>
      </c>
      <c r="CV59" s="13">
        <f t="shared" si="41"/>
        <v>57.107429708554143</v>
      </c>
      <c r="CW59" s="20">
        <f t="shared" si="13"/>
        <v>506.69512340906527</v>
      </c>
      <c r="CX59" s="59">
        <f t="shared" si="14"/>
        <v>779.0423111316245</v>
      </c>
      <c r="CY59" s="59">
        <f ca="1">AVERAGE(OFFSET($CX$3,0,0,'Données projet'!$E$13+1,1))-AVERAGE(OFFSET($H$3,0,0,'Données projet'!$E$13+1,1))</f>
        <v>317.12995176362455</v>
      </c>
      <c r="CZ59" s="59">
        <f t="shared" si="42"/>
        <v>328.11301015275262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10.788538935965887</v>
      </c>
      <c r="DG59" s="21">
        <f>EXP(-LN(2)/25)*DG58+(1-EXP(-LN(2)/25))/(LN(2)/25)*Calculateur!DB59*Calculateur!DD59*VLOOKUP('Données projet'!$B$13,Paramètres!$A$1:$I$89,3,0)*0.475*44/12</f>
        <v>7.8425251764921242</v>
      </c>
      <c r="DH59" s="21">
        <f>EXP(-LN(2)/2)*DH58+(1-EXP(-LN(2)/2))/(LN(2)/2)*DB59*DE59*VLOOKUP('Données projet'!$B$13,Paramètres!$A$1:$I$89,3,0)*0.475*44/12</f>
        <v>7.0085250050512852E-4</v>
      </c>
      <c r="DI59" s="22">
        <f t="shared" si="15"/>
        <v>18.631764964958517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</v>
      </c>
      <c r="DO59" s="12">
        <f>IF('Données projet'!$A$166&gt;35,DO58+DN59-DW58,IF(A59&lt;'Données projet'!$A$166,$DL$205^A59,IF(A59='Données projet'!$A$166,'Données projet'!$B$166,DO58+DN59-DW58)))</f>
        <v>196.00000000000003</v>
      </c>
      <c r="DP59" s="17">
        <f>DO59*VLOOKUP('Données projet'!$B$14,Paramètres!$A$1:$I$89,3,0)*VLOOKUP('Données projet'!$B$14,Paramètres!$A$1:$I$89,5,0)</f>
        <v>171.22560000000004</v>
      </c>
      <c r="DQ59" s="13">
        <f t="shared" si="43"/>
        <v>43.364402348589557</v>
      </c>
      <c r="DR59" s="20">
        <f t="shared" si="16"/>
        <v>373.74425409046017</v>
      </c>
      <c r="DS59" s="59">
        <f t="shared" si="17"/>
        <v>646.0914418130194</v>
      </c>
      <c r="DT59" s="59">
        <f ca="1">AVERAGE(OFFSET($DS$3,0,0,'Données projet'!$E$14+1,1))-AVERAGE(OFFSET($H$3,0,0,'Données projet'!$E$14+1,1))</f>
        <v>325.5873213944476</v>
      </c>
      <c r="DU59" s="59">
        <f t="shared" si="44"/>
        <v>347.9042278368363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1.7497159861916249</v>
      </c>
      <c r="EB59" s="21">
        <f>EXP(-LN(2)/25)*EB58+(1-EXP(-LN(2)/25))/(LN(2)/25)*Calculateur!DW59*Calculateur!DY59*VLOOKUP('Données projet'!$B$14,Paramètres!$A$1:$I$89,3,0)*0.475*44/12</f>
        <v>4.2910373681076877</v>
      </c>
      <c r="EC59" s="21">
        <f>EXP(-LN(2)/2)*EC58+(1-EXP(-LN(2)/2))/(LN(2)/2)*DW59*DZ59*VLOOKUP('Données projet'!$B$14,Paramètres!$A$1:$I$89,3,0)*0.475*44/12</f>
        <v>1.4587183393973953E-3</v>
      </c>
      <c r="ED59" s="22">
        <f t="shared" si="18"/>
        <v>6.0422120726387094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2.125</v>
      </c>
      <c r="EJ59" s="12">
        <f>IF('Données projet'!$A$192&gt;35,EJ58+EI59-ER58,IF(A59&lt;'Données projet'!$A$192,$EG$205^A59,IF(A59='Données projet'!$A$192,'Données projet'!$B$192,EJ58+EI59-ER58)))</f>
        <v>228.25</v>
      </c>
      <c r="EK59" s="17">
        <f>EJ59*VLOOKUP('Données projet'!$B$15,Paramètres!$A$1:$I$89,3,0)*VLOOKUP('Données projet'!$B$15,Paramètres!$A$1:$I$89,5,0)</f>
        <v>136.49350000000001</v>
      </c>
      <c r="EL59" s="13">
        <f t="shared" si="45"/>
        <v>35.492533566506438</v>
      </c>
      <c r="EM59" s="20">
        <f t="shared" si="19"/>
        <v>299.54234179499872</v>
      </c>
      <c r="EN59" s="59">
        <f t="shared" si="20"/>
        <v>571.889529517558</v>
      </c>
      <c r="EO59" s="59">
        <f ca="1">AVERAGE(OFFSET($EN$3,0,0,'Données projet'!$E$15+1,1))-AVERAGE(OFFSET($H$3,0,0,'Données projet'!$E$15+1,1))</f>
        <v>205.5480000480477</v>
      </c>
      <c r="EP59" s="59">
        <f t="shared" si="46"/>
        <v>229.86812144828366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4.3952133789425964</v>
      </c>
      <c r="EW59" s="21">
        <f>EXP(-LN(2)/25)*EW58+(1-EXP(-LN(2)/25))/(LN(2)/25)*Calculateur!ER59*Calculateur!ET59*VLOOKUP('Données projet'!$B$15,Paramètres!$A$1:$I$89,3,0)*0.475*44/12</f>
        <v>2.9289255600367401</v>
      </c>
      <c r="EX59" s="21">
        <f>EXP(-LN(2)/2)*EX58+(1-EXP(-LN(2)/2))/(LN(2)/2)*ER59*EU59*VLOOKUP('Données projet'!$B$15,Paramètres!$A$1:$I$89,3,0)*0.475*44/12</f>
        <v>3.6108044802143723E-4</v>
      </c>
      <c r="EY59" s="22">
        <f t="shared" si="21"/>
        <v>7.324500019427358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3.05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9.9590399999999999</v>
      </c>
      <c r="D60" s="11">
        <f t="shared" si="32"/>
        <v>3.5121821170938623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40.880948668189752</v>
      </c>
      <c r="H60" s="67">
        <f t="shared" si="1"/>
        <v>235.39571185393845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12.2</v>
      </c>
      <c r="N60" s="13">
        <f>IF('Données projet'!$A$36&gt;35,N59+M60-V59,IF(A60&lt;'Données projet'!$A$36,$K$205^A60,IF(A60='Données projet'!$A$36,'Données projet'!$B$36,N59+M60-V59)))</f>
        <v>717.39999999999952</v>
      </c>
      <c r="O60" s="13">
        <f>N60*VLOOKUP('Données projet'!$B$9,Paramètres!$A$1:$I$89,3,0)*VLOOKUP('Données projet'!$B$9,Paramètres!$A$1:$I$89,5,0)</f>
        <v>401.02659999999975</v>
      </c>
      <c r="P60" s="13">
        <f t="shared" si="33"/>
        <v>91.984761558101539</v>
      </c>
      <c r="Q60" s="20">
        <f t="shared" si="53"/>
        <v>858.66145471369293</v>
      </c>
      <c r="R60" s="59">
        <f t="shared" si="0"/>
        <v>1131.3727051446062</v>
      </c>
      <c r="S60" s="59">
        <f ca="1">AVERAGE(OFFSET($R$3,0,0,'Données projet'!$E$9+1,1))-AVERAGE(OFFSET($H$3,0,0,'Données projet'!$E$9+1,1))</f>
        <v>542.23071537860039</v>
      </c>
      <c r="T60" s="59">
        <f t="shared" si="34"/>
        <v>667.26143680054633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4.3008294353756824</v>
      </c>
      <c r="AA60" s="21">
        <f>EXP(-LN(2)/25)*AA59+(1-EXP(-LN(2)/25))/(LN(2)/25)*Calculateur!V60*Calculateur!X60*VLOOKUP('Données projet'!$B$9,Paramètres!$A$1:$I$89,3,0)*0.475*44/12</f>
        <v>20.156809983074414</v>
      </c>
      <c r="AB60" s="21">
        <f>EXP(-LN(2)/2)*AB59+(1-EXP(-LN(2)/2))/(LN(2)/2)*V60*Y60*VLOOKUP('Données projet'!$B$9,Paramètres!$A$1:$I$89,3,0)*0.475*44/12</f>
        <v>1.244511194617581E-3</v>
      </c>
      <c r="AC60" s="22">
        <f t="shared" si="3"/>
        <v>24.458883929644713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10.199999999999999</v>
      </c>
      <c r="AI60" s="13">
        <f>IF('Données projet'!$A$62&gt;35,AI59+AH60-AQ59,IF(A60&lt;'Données projet'!$A$62,$AF$205^A60,IF(A60='Données projet'!$A$62,'Données projet'!$B$62,AI59+AH60-AQ59)))</f>
        <v>635.39999999999964</v>
      </c>
      <c r="AJ60" s="13">
        <f>AI60*VLOOKUP('Données projet'!$B$10,Paramètres!$A$1:$I$89,3,0)*VLOOKUP('Données projet'!$B$10,Paramètres!$A$1:$I$89,5,0)</f>
        <v>355.18859999999984</v>
      </c>
      <c r="AK60" s="13">
        <f t="shared" si="35"/>
        <v>82.629981116726043</v>
      </c>
      <c r="AL60" s="20">
        <f t="shared" si="4"/>
        <v>762.53402877829774</v>
      </c>
      <c r="AM60" s="59">
        <f t="shared" si="5"/>
        <v>1035.245279209211</v>
      </c>
      <c r="AN60" s="59">
        <f ca="1">AVERAGE(OFFSET($AM$3,0,0,'Données projet'!$E$10+1,1))-AVERAGE(OFFSET($H$3,0,0,'Données projet'!$E$10+1,1))</f>
        <v>427.83834708696861</v>
      </c>
      <c r="AO60" s="59">
        <f t="shared" si="36"/>
        <v>545.63950537101903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2.5804976612254102</v>
      </c>
      <c r="AV60" s="21">
        <f>EXP(-LN(2)/25)*AV59+(1-EXP(-LN(2)/25))/(LN(2)/25)*Calculateur!AQ60*Calculateur!AS60*VLOOKUP('Données projet'!$B$10,Paramètres!$A$1:$I$89,3,0)*0.475*44/12</f>
        <v>11.646396265437353</v>
      </c>
      <c r="AW60" s="21">
        <f>EXP(-LN(2)/2)*AW59+(1-EXP(-LN(2)/2))/(LN(2)/2)*AQ60*AT60*VLOOKUP('Données projet'!$B$10,Paramètres!$A$1:$I$89,3,0)*0.475*44/12</f>
        <v>7.9862251943995613E-4</v>
      </c>
      <c r="AX60" s="21">
        <f t="shared" si="6"/>
        <v>14.227692549182203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</v>
      </c>
      <c r="BD60" s="12">
        <f>IF('Données projet'!$A$88&gt;35,BD59+BC60-BL59,IF(A60&lt;'Données projet'!$A$88,$BA$205^A60,IF(A60='Données projet'!$A$88,'Données projet'!$B$88,BD59+BC60-BL59)))</f>
        <v>196.99999999999994</v>
      </c>
      <c r="BE60" s="13">
        <f>BD60*VLOOKUP('Données projet'!$B$11,Paramètres!$A$1:$I$89,3,0)*VLOOKUP('Données projet'!$B$11,Paramètres!$A$1:$I$89,5,0)</f>
        <v>92.19599999999997</v>
      </c>
      <c r="BF60" s="13">
        <f t="shared" si="37"/>
        <v>25.094101950594489</v>
      </c>
      <c r="BG60" s="20">
        <f t="shared" si="7"/>
        <v>204.28026089728533</v>
      </c>
      <c r="BH60" s="59">
        <f t="shared" si="8"/>
        <v>476.99151132819873</v>
      </c>
      <c r="BI60" s="59">
        <f ca="1">AVERAGE(OFFSET($BH$3,0,0,'Données projet'!$E$11+1,1))-AVERAGE(OFFSET($H$3,0,0,'Données projet'!$E$11+1,1))</f>
        <v>210.62109466714364</v>
      </c>
      <c r="BJ60" s="59">
        <f t="shared" si="38"/>
        <v>193.35729443770401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3.8241231597159437</v>
      </c>
      <c r="BQ60" s="21">
        <f>EXP(-LN(2)/25)*BQ59+(1-EXP(-LN(2)/25))/(LN(2)/25)*Calculateur!BL60*Calculateur!BN60*VLOOKUP('Données projet'!$B$11,Paramètres!$A$1:$I$89,3,0)*0.475*44/12</f>
        <v>3.7900396922632047</v>
      </c>
      <c r="BR60" s="21">
        <f>EXP(-LN(2)/2)*BR59+(1-EXP(-LN(2)/2))/(LN(2)/2)*BL60*BO60*VLOOKUP('Données projet'!$B$11,Paramètres!$A$1:$I$89,3,0)*0.475*44/12</f>
        <v>6.8328170887976532E-4</v>
      </c>
      <c r="BS60" s="22">
        <f t="shared" si="9"/>
        <v>7.6148461336880287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17.625</v>
      </c>
      <c r="BY60" s="12">
        <f>IF('Données projet'!$A$114&gt;35,BY59+BX60-CG59,IF(A60&lt;'Données projet'!$A$114,$BV$205^A60,IF(A60='Données projet'!$A$114,'Données projet'!$B$114,BY59+BX60-CG59)))</f>
        <v>422.37499999999994</v>
      </c>
      <c r="BZ60" s="13">
        <f>BY60*VLOOKUP('Données projet'!$B$12,Paramètres!$A$1:$I$89,3,0)*VLOOKUP('Données projet'!$B$12,Paramètres!$A$1:$I$89,5,0)</f>
        <v>252.58025000000001</v>
      </c>
      <c r="CA60" s="13">
        <f t="shared" si="39"/>
        <v>61.138131933251593</v>
      </c>
      <c r="CB60" s="20">
        <f t="shared" si="10"/>
        <v>546.39284853374647</v>
      </c>
      <c r="CC60" s="59">
        <f t="shared" si="11"/>
        <v>819.1040989646599</v>
      </c>
      <c r="CD60" s="59">
        <f ca="1">AVERAGE(OFFSET($CC$3,0,0,'Données projet'!$E$12+1,1))-AVERAGE(OFFSET($H$3,0,0,'Données projet'!$E$12+1,1))</f>
        <v>368.16165268258442</v>
      </c>
      <c r="CE60" s="59">
        <f t="shared" si="40"/>
        <v>291.32219253157041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4.3813675512730406</v>
      </c>
      <c r="CL60" s="21">
        <f>EXP(-LN(2)/25)*CL59+(1-EXP(-LN(2)/25))/(LN(2)/25)*Calculateur!CG60*Calculateur!CI60*VLOOKUP('Données projet'!$B$12,Paramètres!$A$1:$I$89,3,0)*0.475*44/12</f>
        <v>3.1424386429396658</v>
      </c>
      <c r="CM60" s="21">
        <f>EXP(-LN(2)/2)*CM59+(1-EXP(-LN(2)/2))/(LN(2)/2)*CG60*CJ60*VLOOKUP('Données projet'!$B$12,Paramètres!$A$1:$I$89,3,0)*0.475*44/12</f>
        <v>6.8387320533147653E-4</v>
      </c>
      <c r="CN60" s="22">
        <f t="shared" si="12"/>
        <v>7.5244900674180384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3</v>
      </c>
      <c r="CT60" s="12">
        <f>IF('Données projet'!$A$140&gt;35,CT59+CS60-DB59,IF(A60&lt;'Données projet'!$A$140,$CQ$205^A60,IF(A60='Données projet'!$A$140,'Données projet'!$B$140,CT59+CS60-DB59)))</f>
        <v>394.00000000000011</v>
      </c>
      <c r="CU60" s="17">
        <f>CT60*VLOOKUP('Données projet'!$B$13,Paramètres!$A$1:$I$89,3,0)*VLOOKUP('Données projet'!$B$13,Paramètres!$A$1:$I$89,5,0)</f>
        <v>235.61200000000008</v>
      </c>
      <c r="CV60" s="13">
        <f t="shared" si="41"/>
        <v>57.494419397561693</v>
      </c>
      <c r="CW60" s="20">
        <f t="shared" si="13"/>
        <v>510.49368045075335</v>
      </c>
      <c r="CX60" s="59">
        <f t="shared" si="14"/>
        <v>783.20493088166677</v>
      </c>
      <c r="CY60" s="59">
        <f ca="1">AVERAGE(OFFSET($CX$3,0,0,'Données projet'!$E$13+1,1))-AVERAGE(OFFSET($H$3,0,0,'Données projet'!$E$13+1,1))</f>
        <v>317.12995176362455</v>
      </c>
      <c r="CZ60" s="59">
        <f t="shared" si="42"/>
        <v>328.11301015275262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10.576982267790591</v>
      </c>
      <c r="DG60" s="21">
        <f>EXP(-LN(2)/25)*DG59+(1-EXP(-LN(2)/25))/(LN(2)/25)*Calculateur!DB60*Calculateur!DD60*VLOOKUP('Données projet'!$B$13,Paramètres!$A$1:$I$89,3,0)*0.475*44/12</f>
        <v>7.6280709131204727</v>
      </c>
      <c r="DH60" s="21">
        <f>EXP(-LN(2)/2)*DH59+(1-EXP(-LN(2)/2))/(LN(2)/2)*DB60*DE60*VLOOKUP('Données projet'!$B$13,Paramètres!$A$1:$I$89,3,0)*0.475*44/12</f>
        <v>4.9557755571872459E-4</v>
      </c>
      <c r="DI60" s="22">
        <f t="shared" si="15"/>
        <v>18.205548758466783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</v>
      </c>
      <c r="DO60" s="12">
        <f>IF('Données projet'!$A$166&gt;35,DO59+DN60-DW59,IF(A60&lt;'Données projet'!$A$166,$DL$205^A60,IF(A60='Données projet'!$A$166,'Données projet'!$B$166,DO59+DN60-DW59)))</f>
        <v>202.00000000000003</v>
      </c>
      <c r="DP60" s="17">
        <f>DO60*VLOOKUP('Données projet'!$B$14,Paramètres!$A$1:$I$89,3,0)*VLOOKUP('Données projet'!$B$14,Paramètres!$A$1:$I$89,5,0)</f>
        <v>176.46720000000005</v>
      </c>
      <c r="DQ60" s="13">
        <f t="shared" si="43"/>
        <v>44.535298821989393</v>
      </c>
      <c r="DR60" s="20">
        <f t="shared" si="16"/>
        <v>384.91268544829819</v>
      </c>
      <c r="DS60" s="59">
        <f t="shared" si="17"/>
        <v>657.62393587921156</v>
      </c>
      <c r="DT60" s="59">
        <f ca="1">AVERAGE(OFFSET($DS$3,0,0,'Données projet'!$E$14+1,1))-AVERAGE(OFFSET($H$3,0,0,'Données projet'!$E$14+1,1))</f>
        <v>325.5873213944476</v>
      </c>
      <c r="DU60" s="59">
        <f t="shared" si="44"/>
        <v>347.9042278368363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1.7154051229237794</v>
      </c>
      <c r="EB60" s="21">
        <f>EXP(-LN(2)/25)*EB59+(1-EXP(-LN(2)/25))/(LN(2)/25)*Calculateur!DW60*Calculateur!DY60*VLOOKUP('Données projet'!$B$14,Paramètres!$A$1:$I$89,3,0)*0.475*44/12</f>
        <v>4.1736987256209348</v>
      </c>
      <c r="EC60" s="21">
        <f>EXP(-LN(2)/2)*EC59+(1-EXP(-LN(2)/2))/(LN(2)/2)*DW60*DZ60*VLOOKUP('Données projet'!$B$14,Paramètres!$A$1:$I$89,3,0)*0.475*44/12</f>
        <v>1.031469629629078E-3</v>
      </c>
      <c r="ED60" s="22">
        <f t="shared" si="18"/>
        <v>5.8901353181743428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2.125</v>
      </c>
      <c r="EJ60" s="12">
        <f>IF('Données projet'!$A$192&gt;35,EJ59+EI60-ER59,IF(A60&lt;'Données projet'!$A$192,$EG$205^A60,IF(A60='Données projet'!$A$192,'Données projet'!$B$192,EJ59+EI60-ER59)))</f>
        <v>230.375</v>
      </c>
      <c r="EK60" s="17">
        <f>EJ60*VLOOKUP('Données projet'!$B$15,Paramètres!$A$1:$I$89,3,0)*VLOOKUP('Données projet'!$B$15,Paramètres!$A$1:$I$89,5,0)</f>
        <v>137.76425000000003</v>
      </c>
      <c r="EL60" s="13">
        <f t="shared" si="45"/>
        <v>35.784347676183451</v>
      </c>
      <c r="EM60" s="20">
        <f t="shared" si="19"/>
        <v>302.26380761935292</v>
      </c>
      <c r="EN60" s="59">
        <f t="shared" si="20"/>
        <v>574.97505805026628</v>
      </c>
      <c r="EO60" s="59">
        <f ca="1">AVERAGE(OFFSET($EN$3,0,0,'Données projet'!$E$15+1,1))-AVERAGE(OFFSET($H$3,0,0,'Données projet'!$E$15+1,1))</f>
        <v>205.5480000480477</v>
      </c>
      <c r="EP60" s="59">
        <f t="shared" si="46"/>
        <v>229.86812144828366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4.3090259253969849</v>
      </c>
      <c r="EW60" s="21">
        <f>EXP(-LN(2)/25)*EW59+(1-EXP(-LN(2)/25))/(LN(2)/25)*Calculateur!ER60*Calculateur!ET60*VLOOKUP('Données projet'!$B$15,Paramètres!$A$1:$I$89,3,0)*0.475*44/12</f>
        <v>2.8488339365720345</v>
      </c>
      <c r="EX60" s="21">
        <f>EXP(-LN(2)/2)*EX59+(1-EXP(-LN(2)/2))/(LN(2)/2)*ER60*EU60*VLOOKUP('Données projet'!$B$15,Paramètres!$A$1:$I$89,3,0)*0.475*44/12</f>
        <v>2.5532243334983496E-4</v>
      </c>
      <c r="EY60" s="22">
        <f t="shared" si="21"/>
        <v>7.1581151844023685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3.05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10.133760000000001</v>
      </c>
      <c r="D61" s="11">
        <f t="shared" si="32"/>
        <v>3.5665718700402871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41.446889952660925</v>
      </c>
      <c r="H61" s="67">
        <f t="shared" si="1"/>
        <v>235.79474467365347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12.2</v>
      </c>
      <c r="N61" s="13">
        <f>IF('Données projet'!$A$36&gt;35,N60+M61-V60,IF(A61&lt;'Données projet'!$A$36,$K$205^A61,IF(A61='Données projet'!$A$36,'Données projet'!$B$36,N60+M61-V60)))</f>
        <v>729.59999999999957</v>
      </c>
      <c r="O61" s="13">
        <f>N61*VLOOKUP('Données projet'!$B$9,Paramètres!$A$1:$I$89,3,0)*VLOOKUP('Données projet'!$B$9,Paramètres!$A$1:$I$89,5,0)</f>
        <v>407.84639999999973</v>
      </c>
      <c r="P61" s="13">
        <f t="shared" si="33"/>
        <v>93.365599460181741</v>
      </c>
      <c r="Q61" s="20">
        <f t="shared" si="53"/>
        <v>872.94423239314926</v>
      </c>
      <c r="R61" s="59">
        <f t="shared" si="0"/>
        <v>1146.0132298583492</v>
      </c>
      <c r="S61" s="59">
        <f ca="1">AVERAGE(OFFSET($R$3,0,0,'Données projet'!$E$9+1,1))-AVERAGE(OFFSET($H$3,0,0,'Données projet'!$E$9+1,1))</f>
        <v>542.23071537860039</v>
      </c>
      <c r="T61" s="59">
        <f t="shared" si="34"/>
        <v>667.26143680054633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4.216492793394897</v>
      </c>
      <c r="AA61" s="21">
        <f>EXP(-LN(2)/25)*AA60+(1-EXP(-LN(2)/25))/(LN(2)/25)*Calculateur!V61*Calculateur!X61*VLOOKUP('Données projet'!$B$9,Paramètres!$A$1:$I$89,3,0)*0.475*44/12</f>
        <v>19.605620954086675</v>
      </c>
      <c r="AB61" s="21">
        <f>EXP(-LN(2)/2)*AB60+(1-EXP(-LN(2)/2))/(LN(2)/2)*V61*Y61*VLOOKUP('Données projet'!$B$9,Paramètres!$A$1:$I$89,3,0)*0.475*44/12</f>
        <v>8.8000230497666269E-4</v>
      </c>
      <c r="AC61" s="22">
        <f t="shared" si="3"/>
        <v>23.822993749786551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10.199999999999999</v>
      </c>
      <c r="AI61" s="13">
        <f>IF('Données projet'!$A$62&gt;35,AI60+AH61-AQ60,IF(A61&lt;'Données projet'!$A$62,$AF$205^A61,IF(A61='Données projet'!$A$62,'Données projet'!$B$62,AI60+AH61-AQ60)))</f>
        <v>645.59999999999968</v>
      </c>
      <c r="AJ61" s="13">
        <f>AI61*VLOOKUP('Données projet'!$B$10,Paramètres!$A$1:$I$89,3,0)*VLOOKUP('Données projet'!$B$10,Paramètres!$A$1:$I$89,5,0)</f>
        <v>360.89039999999977</v>
      </c>
      <c r="AK61" s="13">
        <f t="shared" si="35"/>
        <v>83.800943075865291</v>
      </c>
      <c r="AL61" s="20">
        <f t="shared" si="4"/>
        <v>774.50408919046504</v>
      </c>
      <c r="AM61" s="59">
        <f t="shared" si="5"/>
        <v>1047.5730866556651</v>
      </c>
      <c r="AN61" s="59">
        <f ca="1">AVERAGE(OFFSET($AM$3,0,0,'Données projet'!$E$10+1,1))-AVERAGE(OFFSET($H$3,0,0,'Données projet'!$E$10+1,1))</f>
        <v>427.83834708696861</v>
      </c>
      <c r="AO61" s="59">
        <f t="shared" si="36"/>
        <v>545.63950537101903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2.5298956760369387</v>
      </c>
      <c r="AV61" s="21">
        <f>EXP(-LN(2)/25)*AV60+(1-EXP(-LN(2)/25))/(LN(2)/25)*Calculateur!AQ61*Calculateur!AS61*VLOOKUP('Données projet'!$B$10,Paramètres!$A$1:$I$89,3,0)*0.475*44/12</f>
        <v>11.327924947101607</v>
      </c>
      <c r="AW61" s="21">
        <f>EXP(-LN(2)/2)*AW60+(1-EXP(-LN(2)/2))/(LN(2)/2)*AQ61*AT61*VLOOKUP('Données projet'!$B$10,Paramètres!$A$1:$I$89,3,0)*0.475*44/12</f>
        <v>5.6471139910427835E-4</v>
      </c>
      <c r="AX61" s="21">
        <f t="shared" si="6"/>
        <v>13.858385334537649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</v>
      </c>
      <c r="BD61" s="12">
        <f>IF('Données projet'!$A$88&gt;35,BD60+BC61-BL60,IF(A61&lt;'Données projet'!$A$88,$BA$205^A61,IF(A61='Données projet'!$A$88,'Données projet'!$B$88,BD60+BC61-BL60)))</f>
        <v>204.99999999999994</v>
      </c>
      <c r="BE61" s="13">
        <f>BD61*VLOOKUP('Données projet'!$B$11,Paramètres!$A$1:$I$89,3,0)*VLOOKUP('Données projet'!$B$11,Paramètres!$A$1:$I$89,5,0)</f>
        <v>95.939999999999984</v>
      </c>
      <c r="BF61" s="13">
        <f t="shared" si="37"/>
        <v>25.992437734025188</v>
      </c>
      <c r="BG61" s="20">
        <f t="shared" si="7"/>
        <v>212.3656623867605</v>
      </c>
      <c r="BH61" s="59">
        <f t="shared" si="8"/>
        <v>485.43465985196042</v>
      </c>
      <c r="BI61" s="59">
        <f ca="1">AVERAGE(OFFSET($BH$3,0,0,'Données projet'!$E$11+1,1))-AVERAGE(OFFSET($H$3,0,0,'Données projet'!$E$11+1,1))</f>
        <v>210.62109466714364</v>
      </c>
      <c r="BJ61" s="59">
        <f t="shared" si="38"/>
        <v>193.35729443770401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3.7491344370387276</v>
      </c>
      <c r="BQ61" s="21">
        <f>EXP(-LN(2)/25)*BQ60+(1-EXP(-LN(2)/25))/(LN(2)/25)*Calculateur!BL61*Calculateur!BN61*VLOOKUP('Données projet'!$B$11,Paramètres!$A$1:$I$89,3,0)*0.475*44/12</f>
        <v>3.6864008575687421</v>
      </c>
      <c r="BR61" s="21">
        <f>EXP(-LN(2)/2)*BR60+(1-EXP(-LN(2)/2))/(LN(2)/2)*BL61*BO61*VLOOKUP('Données projet'!$B$11,Paramètres!$A$1:$I$89,3,0)*0.475*44/12</f>
        <v>4.831531298096145E-4</v>
      </c>
      <c r="BS61" s="22">
        <f t="shared" si="9"/>
        <v>7.436018447737279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440</v>
      </c>
      <c r="BW61" s="12">
        <f>VLOOKUP(A61,'Données projet'!$A$113:$I$133,9,0)</f>
        <v>17.625</v>
      </c>
      <c r="BX61" s="12">
        <f t="array" ref="BX61">INDEX(BW:BW,MIN(IF(ISNUMBER(BW61:BW257),ROW(BW61:BW257),"")))</f>
        <v>17.625</v>
      </c>
      <c r="BY61" s="12">
        <f>IF('Données projet'!$A$114&gt;35,BY60+BX61-CG60,IF(A61&lt;'Données projet'!$A$114,$BV$205^A61,IF(A61='Données projet'!$A$114,'Données projet'!$B$114,BY60+BX61-CG60)))</f>
        <v>439.99999999999994</v>
      </c>
      <c r="BZ61" s="13">
        <f>BY61*VLOOKUP('Données projet'!$B$12,Paramètres!$A$1:$I$89,3,0)*VLOOKUP('Données projet'!$B$12,Paramètres!$A$1:$I$89,5,0)</f>
        <v>263.12</v>
      </c>
      <c r="CA61" s="13">
        <f t="shared" si="39"/>
        <v>63.386973458752003</v>
      </c>
      <c r="CB61" s="20">
        <f t="shared" si="10"/>
        <v>568.66631210732646</v>
      </c>
      <c r="CC61" s="59">
        <f t="shared" si="11"/>
        <v>841.73530957252638</v>
      </c>
      <c r="CD61" s="59">
        <f ca="1">AVERAGE(OFFSET($CC$3,0,0,'Données projet'!$E$12+1,1))-AVERAGE(OFFSET($H$3,0,0,'Données projet'!$E$12+1,1))</f>
        <v>368.16165268258442</v>
      </c>
      <c r="CE61" s="59">
        <f t="shared" si="40"/>
        <v>291.32219253157041</v>
      </c>
      <c r="CF61" s="15">
        <f>IF(ISNA(VLOOKUP(A61,'Données projet'!$A$113:$I$133,3,0)),0,VLOOKUP(A61,'Données projet'!$A$113:$I$133,3,0))</f>
        <v>8</v>
      </c>
      <c r="CG61" s="15">
        <f>IF(ISNA(VLOOKUP(A61,'Données projet'!$A$113:$I$133,4,0)),0,VLOOKUP(A61,'Données projet'!$A$113:$I$133,4,0))</f>
        <v>78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4.2954516059629082</v>
      </c>
      <c r="CL61" s="21">
        <f>EXP(-LN(2)/25)*CL60+(1-EXP(-LN(2)/25))/(LN(2)/25)*Calculateur!CG61*Calculateur!CI61*VLOOKUP('Données projet'!$B$12,Paramètres!$A$1:$I$89,3,0)*0.475*44/12</f>
        <v>3.0565084929948148</v>
      </c>
      <c r="CM61" s="21">
        <f>EXP(-LN(2)/2)*CM60+(1-EXP(-LN(2)/2))/(LN(2)/2)*CG61*CJ61*VLOOKUP('Données projet'!$B$12,Paramètres!$A$1:$I$89,3,0)*0.475*44/12</f>
        <v>4.8357138096166729E-4</v>
      </c>
      <c r="CN61" s="22">
        <f t="shared" si="12"/>
        <v>7.3524436703386851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3</v>
      </c>
      <c r="CT61" s="12">
        <f>IF('Données projet'!$A$140&gt;35,CT60+CS61-DB60,IF(A61&lt;'Données projet'!$A$140,$CQ$205^A61,IF(A61='Données projet'!$A$140,'Données projet'!$B$140,CT60+CS61-DB60)))</f>
        <v>397.00000000000011</v>
      </c>
      <c r="CU61" s="17">
        <f>CT61*VLOOKUP('Données projet'!$B$13,Paramètres!$A$1:$I$89,3,0)*VLOOKUP('Données projet'!$B$13,Paramètres!$A$1:$I$89,5,0)</f>
        <v>237.40600000000009</v>
      </c>
      <c r="CV61" s="13">
        <f t="shared" si="41"/>
        <v>57.881066248213493</v>
      </c>
      <c r="CW61" s="20">
        <f t="shared" si="13"/>
        <v>514.29164038230522</v>
      </c>
      <c r="CX61" s="59">
        <f t="shared" si="14"/>
        <v>787.36063784750513</v>
      </c>
      <c r="CY61" s="59">
        <f ca="1">AVERAGE(OFFSET($CX$3,0,0,'Données projet'!$E$13+1,1))-AVERAGE(OFFSET($H$3,0,0,'Données projet'!$E$13+1,1))</f>
        <v>317.12995176362455</v>
      </c>
      <c r="CZ61" s="59">
        <f t="shared" si="42"/>
        <v>328.11301015275262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10.369574096841385</v>
      </c>
      <c r="DG61" s="21">
        <f>EXP(-LN(2)/25)*DG60+(1-EXP(-LN(2)/25))/(LN(2)/25)*Calculateur!DB61*Calculateur!DD61*VLOOKUP('Données projet'!$B$13,Paramètres!$A$1:$I$89,3,0)*0.475*44/12</f>
        <v>7.4194809128583783</v>
      </c>
      <c r="DH61" s="21">
        <f>EXP(-LN(2)/2)*DH60+(1-EXP(-LN(2)/2))/(LN(2)/2)*DB61*DE61*VLOOKUP('Données projet'!$B$13,Paramètres!$A$1:$I$89,3,0)*0.475*44/12</f>
        <v>3.5042625025256426E-4</v>
      </c>
      <c r="DI61" s="22">
        <f t="shared" si="15"/>
        <v>17.789405435950016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</v>
      </c>
      <c r="DO61" s="12">
        <f>IF('Données projet'!$A$166&gt;35,DO60+DN61-DW60,IF(A61&lt;'Données projet'!$A$166,$DL$205^A61,IF(A61='Données projet'!$A$166,'Données projet'!$B$166,DO60+DN61-DW60)))</f>
        <v>208.00000000000003</v>
      </c>
      <c r="DP61" s="17">
        <f>DO61*VLOOKUP('Données projet'!$B$14,Paramètres!$A$1:$I$89,3,0)*VLOOKUP('Données projet'!$B$14,Paramètres!$A$1:$I$89,5,0)</f>
        <v>181.70880000000005</v>
      </c>
      <c r="DQ61" s="13">
        <f t="shared" si="43"/>
        <v>45.702153370067812</v>
      </c>
      <c r="DR61" s="20">
        <f t="shared" si="16"/>
        <v>396.07407711953482</v>
      </c>
      <c r="DS61" s="59">
        <f t="shared" si="17"/>
        <v>669.14307458473468</v>
      </c>
      <c r="DT61" s="59">
        <f ca="1">AVERAGE(OFFSET($DS$3,0,0,'Données projet'!$E$14+1,1))-AVERAGE(OFFSET($H$3,0,0,'Données projet'!$E$14+1,1))</f>
        <v>325.5873213944476</v>
      </c>
      <c r="DU61" s="59">
        <f t="shared" si="44"/>
        <v>347.9042278368363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1.6817670747570561</v>
      </c>
      <c r="EB61" s="21">
        <f>EXP(-LN(2)/25)*EB60+(1-EXP(-LN(2)/25))/(LN(2)/25)*Calculateur!DW61*Calculateur!DY61*VLOOKUP('Données projet'!$B$14,Paramètres!$A$1:$I$89,3,0)*0.475*44/12</f>
        <v>4.0595687144835537</v>
      </c>
      <c r="EC61" s="21">
        <f>EXP(-LN(2)/2)*EC60+(1-EXP(-LN(2)/2))/(LN(2)/2)*DW61*DZ61*VLOOKUP('Données projet'!$B$14,Paramètres!$A$1:$I$89,3,0)*0.475*44/12</f>
        <v>7.2935916969869765E-4</v>
      </c>
      <c r="ED61" s="22">
        <f t="shared" si="18"/>
        <v>5.7420651484103091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2.125</v>
      </c>
      <c r="EJ61" s="12">
        <f>IF('Données projet'!$A$192&gt;35,EJ60+EI61-ER60,IF(A61&lt;'Données projet'!$A$192,$EG$205^A61,IF(A61='Données projet'!$A$192,'Données projet'!$B$192,EJ60+EI61-ER60)))</f>
        <v>232.5</v>
      </c>
      <c r="EK61" s="17">
        <f>EJ61*VLOOKUP('Données projet'!$B$15,Paramètres!$A$1:$I$89,3,0)*VLOOKUP('Données projet'!$B$15,Paramètres!$A$1:$I$89,5,0)</f>
        <v>139.035</v>
      </c>
      <c r="EL61" s="13">
        <f t="shared" si="45"/>
        <v>36.0758486331029</v>
      </c>
      <c r="EM61" s="20">
        <f t="shared" si="19"/>
        <v>304.98472803598753</v>
      </c>
      <c r="EN61" s="59">
        <f t="shared" si="20"/>
        <v>578.0537255011875</v>
      </c>
      <c r="EO61" s="59">
        <f ca="1">AVERAGE(OFFSET($EN$3,0,0,'Données projet'!$E$15+1,1))-AVERAGE(OFFSET($H$3,0,0,'Données projet'!$E$15+1,1))</f>
        <v>205.5480000480477</v>
      </c>
      <c r="EP61" s="59">
        <f t="shared" si="46"/>
        <v>229.86812144828366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4.2245285552462466</v>
      </c>
      <c r="EW61" s="21">
        <f>EXP(-LN(2)/25)*EW60+(1-EXP(-LN(2)/25))/(LN(2)/25)*Calculateur!ER61*Calculateur!ET61*VLOOKUP('Données projet'!$B$15,Paramètres!$A$1:$I$89,3,0)*0.475*44/12</f>
        <v>2.7709324227628067</v>
      </c>
      <c r="EX61" s="21">
        <f>EXP(-LN(2)/2)*EX60+(1-EXP(-LN(2)/2))/(LN(2)/2)*ER61*EU61*VLOOKUP('Données projet'!$B$15,Paramètres!$A$1:$I$89,3,0)*0.475*44/12</f>
        <v>1.8054022401071861E-4</v>
      </c>
      <c r="EY61" s="22">
        <f t="shared" si="21"/>
        <v>6.9956415182330636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3.05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10.308480000000001</v>
      </c>
      <c r="D62" s="11">
        <f t="shared" si="32"/>
        <v>3.6208525721248832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42.012561862371648</v>
      </c>
      <c r="H62" s="67">
        <f t="shared" si="1"/>
        <v>236.19358756311749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12.2</v>
      </c>
      <c r="N62" s="13">
        <f>IF('Données projet'!$A$36&gt;35,N61+M62-V61,IF(A62&lt;'Données projet'!$A$36,$K$205^A62,IF(A62='Données projet'!$A$36,'Données projet'!$B$36,N61+M62-V61)))</f>
        <v>741.79999999999961</v>
      </c>
      <c r="O62" s="13">
        <f>N62*VLOOKUP('Données projet'!$B$9,Paramètres!$A$1:$I$89,3,0)*VLOOKUP('Données projet'!$B$9,Paramètres!$A$1:$I$89,5,0)</f>
        <v>414.66619999999978</v>
      </c>
      <c r="P62" s="13">
        <f t="shared" si="33"/>
        <v>94.743752206399009</v>
      </c>
      <c r="Q62" s="20">
        <f t="shared" si="53"/>
        <v>887.22233342614447</v>
      </c>
      <c r="R62" s="59">
        <f t="shared" si="0"/>
        <v>1160.6428718143886</v>
      </c>
      <c r="S62" s="59">
        <f ca="1">AVERAGE(OFFSET($R$3,0,0,'Données projet'!$E$9+1,1))-AVERAGE(OFFSET($H$3,0,0,'Données projet'!$E$9+1,1))</f>
        <v>542.23071537860039</v>
      </c>
      <c r="T62" s="59">
        <f t="shared" si="34"/>
        <v>667.26143680054633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4.133809941523082</v>
      </c>
      <c r="AA62" s="21">
        <f>EXP(-LN(2)/25)*AA61+(1-EXP(-LN(2)/25))/(LN(2)/25)*Calculateur!V62*Calculateur!X62*VLOOKUP('Données projet'!$B$9,Paramètres!$A$1:$I$89,3,0)*0.475*44/12</f>
        <v>19.069504218082379</v>
      </c>
      <c r="AB62" s="21">
        <f>EXP(-LN(2)/2)*AB61+(1-EXP(-LN(2)/2))/(LN(2)/2)*V62*Y62*VLOOKUP('Données projet'!$B$9,Paramètres!$A$1:$I$89,3,0)*0.475*44/12</f>
        <v>6.2225559730879048E-4</v>
      </c>
      <c r="AC62" s="22">
        <f t="shared" si="3"/>
        <v>23.203936415202772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10.199999999999999</v>
      </c>
      <c r="AI62" s="13">
        <f>IF('Données projet'!$A$62&gt;35,AI61+AH62-AQ61,IF(A62&lt;'Données projet'!$A$62,$AF$205^A62,IF(A62='Données projet'!$A$62,'Données projet'!$B$62,AI61+AH62-AQ61)))</f>
        <v>655.79999999999973</v>
      </c>
      <c r="AJ62" s="13">
        <f>AI62*VLOOKUP('Données projet'!$B$10,Paramètres!$A$1:$I$89,3,0)*VLOOKUP('Données projet'!$B$10,Paramètres!$A$1:$I$89,5,0)</f>
        <v>366.59219999999982</v>
      </c>
      <c r="AK62" s="13">
        <f t="shared" si="35"/>
        <v>84.969753481055022</v>
      </c>
      <c r="AL62" s="20">
        <f t="shared" si="4"/>
        <v>786.47040231283711</v>
      </c>
      <c r="AM62" s="59">
        <f t="shared" si="5"/>
        <v>1059.8909407010813</v>
      </c>
      <c r="AN62" s="59">
        <f ca="1">AVERAGE(OFFSET($AM$3,0,0,'Données projet'!$E$10+1,1))-AVERAGE(OFFSET($H$3,0,0,'Données projet'!$E$10+1,1))</f>
        <v>427.83834708696861</v>
      </c>
      <c r="AO62" s="59">
        <f t="shared" si="36"/>
        <v>545.63950537101903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2.4802859649138496</v>
      </c>
      <c r="AV62" s="21">
        <f>EXP(-LN(2)/25)*AV61+(1-EXP(-LN(2)/25))/(LN(2)/25)*Calculateur!AQ62*Calculateur!AS62*VLOOKUP('Données projet'!$B$10,Paramètres!$A$1:$I$89,3,0)*0.475*44/12</f>
        <v>11.018162243713432</v>
      </c>
      <c r="AW62" s="21">
        <f>EXP(-LN(2)/2)*AW61+(1-EXP(-LN(2)/2))/(LN(2)/2)*AQ62*AT62*VLOOKUP('Données projet'!$B$10,Paramètres!$A$1:$I$89,3,0)*0.475*44/12</f>
        <v>3.9931125971997807E-4</v>
      </c>
      <c r="AX62" s="21">
        <f t="shared" si="6"/>
        <v>13.498847519887001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</v>
      </c>
      <c r="BD62" s="12">
        <f>IF('Données projet'!$A$88&gt;35,BD61+BC62-BL61,IF(A62&lt;'Données projet'!$A$88,$BA$205^A62,IF(A62='Données projet'!$A$88,'Données projet'!$B$88,BD61+BC62-BL61)))</f>
        <v>212.99999999999994</v>
      </c>
      <c r="BE62" s="13">
        <f>BD62*VLOOKUP('Données projet'!$B$11,Paramètres!$A$1:$I$89,3,0)*VLOOKUP('Données projet'!$B$11,Paramètres!$A$1:$I$89,5,0)</f>
        <v>99.683999999999969</v>
      </c>
      <c r="BF62" s="13">
        <f t="shared" si="37"/>
        <v>26.886701044194457</v>
      </c>
      <c r="BG62" s="20">
        <f t="shared" si="7"/>
        <v>220.44397098530524</v>
      </c>
      <c r="BH62" s="59">
        <f t="shared" si="8"/>
        <v>493.86450937354937</v>
      </c>
      <c r="BI62" s="59">
        <f ca="1">AVERAGE(OFFSET($BH$3,0,0,'Données projet'!$E$11+1,1))-AVERAGE(OFFSET($H$3,0,0,'Données projet'!$E$11+1,1))</f>
        <v>210.62109466714364</v>
      </c>
      <c r="BJ62" s="59">
        <f t="shared" si="38"/>
        <v>193.35729443770401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3.6756161974746075</v>
      </c>
      <c r="BQ62" s="21">
        <f>EXP(-LN(2)/25)*BQ61+(1-EXP(-LN(2)/25))/(LN(2)/25)*Calculateur!BL62*Calculateur!BN62*VLOOKUP('Données projet'!$B$11,Paramètres!$A$1:$I$89,3,0)*0.475*44/12</f>
        <v>3.5855960322591294</v>
      </c>
      <c r="BR62" s="21">
        <f>EXP(-LN(2)/2)*BR61+(1-EXP(-LN(2)/2))/(LN(2)/2)*BL62*BO62*VLOOKUP('Données projet'!$B$11,Paramètres!$A$1:$I$89,3,0)*0.475*44/12</f>
        <v>3.4164085443988271E-4</v>
      </c>
      <c r="BS62" s="22">
        <f t="shared" si="9"/>
        <v>7.2615538705881759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16.625</v>
      </c>
      <c r="BY62" s="12">
        <f>IF('Données projet'!$A$114&gt;35,BY61+BX62-CG61,IF(A62&lt;'Données projet'!$A$114,$BV$205^A62,IF(A62='Données projet'!$A$114,'Données projet'!$B$114,BY61+BX62-CG61)))</f>
        <v>378.62499999999994</v>
      </c>
      <c r="BZ62" s="13">
        <f>BY62*VLOOKUP('Données projet'!$B$12,Paramètres!$A$1:$I$89,3,0)*VLOOKUP('Données projet'!$B$12,Paramètres!$A$1:$I$89,5,0)</f>
        <v>226.41774999999998</v>
      </c>
      <c r="CA62" s="13">
        <f t="shared" si="39"/>
        <v>55.507409107649494</v>
      </c>
      <c r="CB62" s="20">
        <f t="shared" si="10"/>
        <v>491.0196521124895</v>
      </c>
      <c r="CC62" s="59">
        <f t="shared" si="11"/>
        <v>764.44019050073359</v>
      </c>
      <c r="CD62" s="59">
        <f ca="1">AVERAGE(OFFSET($CC$3,0,0,'Données projet'!$E$12+1,1))-AVERAGE(OFFSET($H$3,0,0,'Données projet'!$E$12+1,1))</f>
        <v>368.16165268258442</v>
      </c>
      <c r="CE62" s="59">
        <f t="shared" si="40"/>
        <v>291.32219253157041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4.2112204199367547</v>
      </c>
      <c r="CL62" s="21">
        <f>EXP(-LN(2)/25)*CL61+(1-EXP(-LN(2)/25))/(LN(2)/25)*Calculateur!CG62*Calculateur!CI62*VLOOKUP('Données projet'!$B$12,Paramètres!$A$1:$I$89,3,0)*0.475*44/12</f>
        <v>2.9729281075190754</v>
      </c>
      <c r="CM62" s="21">
        <f>EXP(-LN(2)/2)*CM61+(1-EXP(-LN(2)/2))/(LN(2)/2)*CG62*CJ62*VLOOKUP('Données projet'!$B$12,Paramètres!$A$1:$I$89,3,0)*0.475*44/12</f>
        <v>3.4193660266573832E-4</v>
      </c>
      <c r="CN62" s="22">
        <f t="shared" si="12"/>
        <v>7.1844904640584959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3</v>
      </c>
      <c r="CT62" s="12">
        <f>IF('Données projet'!$A$140&gt;35,CT61+CS62-DB61,IF(A62&lt;'Données projet'!$A$140,$CQ$205^A62,IF(A62='Données projet'!$A$140,'Données projet'!$B$140,CT61+CS62-DB61)))</f>
        <v>400.00000000000011</v>
      </c>
      <c r="CU62" s="17">
        <f>CT62*VLOOKUP('Données projet'!$B$13,Paramètres!$A$1:$I$89,3,0)*VLOOKUP('Données projet'!$B$13,Paramètres!$A$1:$I$89,5,0)</f>
        <v>239.20000000000007</v>
      </c>
      <c r="CV62" s="13">
        <f t="shared" si="41"/>
        <v>58.267373151570702</v>
      </c>
      <c r="CW62" s="20">
        <f t="shared" si="13"/>
        <v>518.08900823898568</v>
      </c>
      <c r="CX62" s="59">
        <f t="shared" si="14"/>
        <v>791.50954662722984</v>
      </c>
      <c r="CY62" s="59">
        <f ca="1">AVERAGE(OFFSET($CX$3,0,0,'Données projet'!$E$13+1,1))-AVERAGE(OFFSET($H$3,0,0,'Données projet'!$E$13+1,1))</f>
        <v>317.12995176362455</v>
      </c>
      <c r="CZ62" s="59">
        <f t="shared" si="42"/>
        <v>328.11301015275262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10.166233073618001</v>
      </c>
      <c r="DG62" s="21">
        <f>EXP(-LN(2)/25)*DG61+(1-EXP(-LN(2)/25))/(LN(2)/25)*Calculateur!DB62*Calculateur!DD62*VLOOKUP('Données projet'!$B$13,Paramètres!$A$1:$I$89,3,0)*0.475*44/12</f>
        <v>7.2165948171227221</v>
      </c>
      <c r="DH62" s="21">
        <f>EXP(-LN(2)/2)*DH61+(1-EXP(-LN(2)/2))/(LN(2)/2)*DB62*DE62*VLOOKUP('Données projet'!$B$13,Paramètres!$A$1:$I$89,3,0)*0.475*44/12</f>
        <v>2.477887778593623E-4</v>
      </c>
      <c r="DI62" s="22">
        <f t="shared" si="15"/>
        <v>17.38307567951858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</v>
      </c>
      <c r="DO62" s="12">
        <f>IF('Données projet'!$A$166&gt;35,DO61+DN62-DW61,IF(A62&lt;'Données projet'!$A$166,$DL$205^A62,IF(A62='Données projet'!$A$166,'Données projet'!$B$166,DO61+DN62-DW61)))</f>
        <v>214.00000000000003</v>
      </c>
      <c r="DP62" s="17">
        <f>DO62*VLOOKUP('Données projet'!$B$14,Paramètres!$A$1:$I$89,3,0)*VLOOKUP('Données projet'!$B$14,Paramètres!$A$1:$I$89,5,0)</f>
        <v>186.95040000000006</v>
      </c>
      <c r="DQ62" s="13">
        <f t="shared" si="43"/>
        <v>46.865095976617653</v>
      </c>
      <c r="DR62" s="20">
        <f t="shared" si="16"/>
        <v>407.22865549260922</v>
      </c>
      <c r="DS62" s="59">
        <f t="shared" si="17"/>
        <v>680.64919388085332</v>
      </c>
      <c r="DT62" s="59">
        <f ca="1">AVERAGE(OFFSET($DS$3,0,0,'Données projet'!$E$14+1,1))-AVERAGE(OFFSET($H$3,0,0,'Données projet'!$E$14+1,1))</f>
        <v>325.5873213944476</v>
      </c>
      <c r="DU62" s="59">
        <f t="shared" si="44"/>
        <v>347.9042278368363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1.6487886481976988</v>
      </c>
      <c r="EB62" s="21">
        <f>EXP(-LN(2)/25)*EB61+(1-EXP(-LN(2)/25))/(LN(2)/25)*Calculateur!DW62*Calculateur!DY62*VLOOKUP('Données projet'!$B$14,Paramètres!$A$1:$I$89,3,0)*0.475*44/12</f>
        <v>3.9485595945025604</v>
      </c>
      <c r="EC62" s="21">
        <f>EXP(-LN(2)/2)*EC61+(1-EXP(-LN(2)/2))/(LN(2)/2)*DW62*DZ62*VLOOKUP('Données projet'!$B$14,Paramètres!$A$1:$I$89,3,0)*0.475*44/12</f>
        <v>5.1573481481453898E-4</v>
      </c>
      <c r="ED62" s="22">
        <f t="shared" si="18"/>
        <v>5.5978639775150736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2.125</v>
      </c>
      <c r="EJ62" s="12">
        <f>IF('Données projet'!$A$192&gt;35,EJ61+EI62-ER61,IF(A62&lt;'Données projet'!$A$192,$EG$205^A62,IF(A62='Données projet'!$A$192,'Données projet'!$B$192,EJ61+EI62-ER61)))</f>
        <v>234.625</v>
      </c>
      <c r="EK62" s="17">
        <f>EJ62*VLOOKUP('Données projet'!$B$15,Paramètres!$A$1:$I$89,3,0)*VLOOKUP('Données projet'!$B$15,Paramètres!$A$1:$I$89,5,0)</f>
        <v>140.30575000000002</v>
      </c>
      <c r="EL62" s="13">
        <f t="shared" si="45"/>
        <v>36.367039630957962</v>
      </c>
      <c r="EM62" s="20">
        <f t="shared" si="19"/>
        <v>307.70510860725182</v>
      </c>
      <c r="EN62" s="59">
        <f t="shared" si="20"/>
        <v>581.12564699549591</v>
      </c>
      <c r="EO62" s="59">
        <f ca="1">AVERAGE(OFFSET($EN$3,0,0,'Données projet'!$E$15+1,1))-AVERAGE(OFFSET($H$3,0,0,'Données projet'!$E$15+1,1))</f>
        <v>205.5480000480477</v>
      </c>
      <c r="EP62" s="59">
        <f t="shared" si="46"/>
        <v>229.86812144828366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4.1416881269858576</v>
      </c>
      <c r="EW62" s="21">
        <f>EXP(-LN(2)/25)*EW61+(1-EXP(-LN(2)/25))/(LN(2)/25)*Calculateur!ER62*Calculateur!ET62*VLOOKUP('Données projet'!$B$15,Paramètres!$A$1:$I$89,3,0)*0.475*44/12</f>
        <v>2.6951611299453546</v>
      </c>
      <c r="EX62" s="21">
        <f>EXP(-LN(2)/2)*EX61+(1-EXP(-LN(2)/2))/(LN(2)/2)*ER62*EU62*VLOOKUP('Données projet'!$B$15,Paramètres!$A$1:$I$89,3,0)*0.475*44/12</f>
        <v>1.2766121667491748E-4</v>
      </c>
      <c r="EY62" s="22">
        <f t="shared" si="21"/>
        <v>6.8369769181478874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3.05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10.483200000000002</v>
      </c>
      <c r="D63" s="11">
        <f t="shared" si="32"/>
        <v>3.6750262849765409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42.577969489906977</v>
      </c>
      <c r="H63" s="67">
        <f t="shared" si="1"/>
        <v>236.59224411300079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754</v>
      </c>
      <c r="L63" s="12">
        <f>VLOOKUP(A63,'Données projet'!$A$35:$I$55,9,0)</f>
        <v>12.2</v>
      </c>
      <c r="M63" s="12">
        <f t="array" ref="M63">INDEX(L:L,MIN(IF(ISNUMBER(L63:L259),ROW(L63:L259),"")))</f>
        <v>12.2</v>
      </c>
      <c r="N63" s="13">
        <f>IF('Données projet'!$A$36&gt;35,N62+M63-V62,IF(A63&lt;'Données projet'!$A$36,$K$205^A63,IF(A63='Données projet'!$A$36,'Données projet'!$B$36,N62+M63-V62)))</f>
        <v>753.99999999999966</v>
      </c>
      <c r="O63" s="13">
        <f>N63*VLOOKUP('Données projet'!$B$9,Paramètres!$A$1:$I$89,3,0)*VLOOKUP('Données projet'!$B$9,Paramètres!$A$1:$I$89,5,0)</f>
        <v>421.48599999999982</v>
      </c>
      <c r="P63" s="13">
        <f t="shared" si="33"/>
        <v>96.119269055816147</v>
      </c>
      <c r="Q63" s="20">
        <f t="shared" si="53"/>
        <v>901.49584360554616</v>
      </c>
      <c r="R63" s="59">
        <f t="shared" si="0"/>
        <v>1175.2618244677474</v>
      </c>
      <c r="S63" s="59">
        <f ca="1">AVERAGE(OFFSET($R$3,0,0,'Données projet'!$E$9+1,1))-AVERAGE(OFFSET($H$3,0,0,'Données projet'!$E$9+1,1))</f>
        <v>542.23071537860039</v>
      </c>
      <c r="T63" s="59">
        <f t="shared" si="34"/>
        <v>667.26143680054633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35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4.0527484499449136</v>
      </c>
      <c r="AA63" s="21">
        <f>EXP(-LN(2)/25)*AA62+(1-EXP(-LN(2)/25))/(LN(2)/25)*Calculateur!V63*Calculateur!X63*VLOOKUP('Données projet'!$B$9,Paramètres!$A$1:$I$89,3,0)*0.475*44/12</f>
        <v>18.548047622417272</v>
      </c>
      <c r="AB63" s="21">
        <f>EXP(-LN(2)/2)*AB62+(1-EXP(-LN(2)/2))/(LN(2)/2)*V63*Y63*VLOOKUP('Données projet'!$B$9,Paramètres!$A$1:$I$89,3,0)*0.475*44/12</f>
        <v>4.4000115248833135E-4</v>
      </c>
      <c r="AC63" s="22">
        <f t="shared" si="3"/>
        <v>22.601236073514674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666</v>
      </c>
      <c r="AG63" s="12">
        <f>VLOOKUP(A63,'Données projet'!$A$61:$I$81,9,0)</f>
        <v>10.199999999999999</v>
      </c>
      <c r="AH63" s="12">
        <f t="array" ref="AH63">INDEX(AG:AG,MIN(IF(ISNUMBER(AG63:AG259),ROW(AG63:AG259),"")))</f>
        <v>10.199999999999999</v>
      </c>
      <c r="AI63" s="13">
        <f>IF('Données projet'!$A$62&gt;35,AI62+AH63-AQ62,IF(A63&lt;'Données projet'!$A$62,$AF$205^A63,IF(A63='Données projet'!$A$62,'Données projet'!$B$62,AI62+AH63-AQ62)))</f>
        <v>665.99999999999977</v>
      </c>
      <c r="AJ63" s="13">
        <f>AI63*VLOOKUP('Données projet'!$B$10,Paramètres!$A$1:$I$89,3,0)*VLOOKUP('Données projet'!$B$10,Paramètres!$A$1:$I$89,5,0)</f>
        <v>372.29399999999987</v>
      </c>
      <c r="AK63" s="13">
        <f t="shared" si="35"/>
        <v>86.136449661008839</v>
      </c>
      <c r="AL63" s="20">
        <f t="shared" si="4"/>
        <v>798.43303315959008</v>
      </c>
      <c r="AM63" s="59">
        <f t="shared" si="5"/>
        <v>1072.1990140217913</v>
      </c>
      <c r="AN63" s="59">
        <f ca="1">AVERAGE(OFFSET($AM$3,0,0,'Données projet'!$E$10+1,1))-AVERAGE(OFFSET($H$3,0,0,'Données projet'!$E$10+1,1))</f>
        <v>427.83834708696861</v>
      </c>
      <c r="AO63" s="59">
        <f t="shared" si="36"/>
        <v>545.63950537101903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666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2.4316490699669484</v>
      </c>
      <c r="AV63" s="21">
        <f>EXP(-LN(2)/25)*AV62+(1-EXP(-LN(2)/25))/(LN(2)/25)*Calculateur!AQ63*Calculateur!AS63*VLOOKUP('Données projet'!$B$10,Paramètres!$A$1:$I$89,3,0)*0.475*44/12</f>
        <v>10.716870017739119</v>
      </c>
      <c r="AW63" s="21">
        <f>EXP(-LN(2)/2)*AW62+(1-EXP(-LN(2)/2))/(LN(2)/2)*AQ63*AT63*VLOOKUP('Données projet'!$B$10,Paramètres!$A$1:$I$89,3,0)*0.475*44/12</f>
        <v>2.8235569955213917E-4</v>
      </c>
      <c r="AX63" s="21">
        <f t="shared" si="6"/>
        <v>13.148801443405619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221</v>
      </c>
      <c r="BB63" s="12">
        <f>VLOOKUP(A63,'Données projet'!$A$87:$I$107,9,0)</f>
        <v>8</v>
      </c>
      <c r="BC63" s="12">
        <f t="array" ref="BC63">INDEX(BB:BB,MIN(IF(ISNUMBER(BB63:BB259),ROW(BB63:BB259),"")))</f>
        <v>8</v>
      </c>
      <c r="BD63" s="12">
        <f>IF('Données projet'!$A$88&gt;35,BD62+BC63-BL62,IF(A63&lt;'Données projet'!$A$88,$BA$205^A63,IF(A63='Données projet'!$A$88,'Données projet'!$B$88,BD62+BC63-BL62)))</f>
        <v>220.99999999999994</v>
      </c>
      <c r="BE63" s="13">
        <f>BD63*VLOOKUP('Données projet'!$B$11,Paramètres!$A$1:$I$89,3,0)*VLOOKUP('Données projet'!$B$11,Paramètres!$A$1:$I$89,5,0)</f>
        <v>103.42799999999997</v>
      </c>
      <c r="BF63" s="13">
        <f t="shared" si="37"/>
        <v>27.777062350859723</v>
      </c>
      <c r="BG63" s="20">
        <f t="shared" si="7"/>
        <v>228.51548359441395</v>
      </c>
      <c r="BH63" s="59">
        <f t="shared" si="8"/>
        <v>502.28146445661525</v>
      </c>
      <c r="BI63" s="59">
        <f ca="1">AVERAGE(OFFSET($BH$3,0,0,'Données projet'!$E$11+1,1))-AVERAGE(OFFSET($H$3,0,0,'Données projet'!$E$11+1,1))</f>
        <v>210.62109466714364</v>
      </c>
      <c r="BJ63" s="59">
        <f t="shared" si="38"/>
        <v>193.35729443770401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3.6035396057466413</v>
      </c>
      <c r="BQ63" s="21">
        <f>EXP(-LN(2)/25)*BQ62+(1-EXP(-LN(2)/25))/(LN(2)/25)*Calculateur!BL63*Calculateur!BN63*VLOOKUP('Données projet'!$B$11,Paramètres!$A$1:$I$89,3,0)*0.475*44/12</f>
        <v>3.4875477201987031</v>
      </c>
      <c r="BR63" s="21">
        <f>EXP(-LN(2)/2)*BR62+(1-EXP(-LN(2)/2))/(LN(2)/2)*BL63*BO63*VLOOKUP('Données projet'!$B$11,Paramètres!$A$1:$I$89,3,0)*0.475*44/12</f>
        <v>2.415765649048073E-4</v>
      </c>
      <c r="BS63" s="22">
        <f t="shared" si="9"/>
        <v>7.0913289025102495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16.625</v>
      </c>
      <c r="BY63" s="12">
        <f>IF('Données projet'!$A$114&gt;35,BY62+BX63-CG62,IF(A63&lt;'Données projet'!$A$114,$BV$205^A63,IF(A63='Données projet'!$A$114,'Données projet'!$B$114,BY62+BX63-CG62)))</f>
        <v>395.24999999999994</v>
      </c>
      <c r="BZ63" s="13">
        <f>BY63*VLOOKUP('Données projet'!$B$12,Paramètres!$A$1:$I$89,3,0)*VLOOKUP('Données projet'!$B$12,Paramètres!$A$1:$I$89,5,0)</f>
        <v>236.35949999999997</v>
      </c>
      <c r="CA63" s="13">
        <f t="shared" si="39"/>
        <v>57.655563749416167</v>
      </c>
      <c r="CB63" s="20">
        <f t="shared" si="10"/>
        <v>512.07623603023308</v>
      </c>
      <c r="CC63" s="59">
        <f t="shared" si="11"/>
        <v>785.84221689243441</v>
      </c>
      <c r="CD63" s="59">
        <f ca="1">AVERAGE(OFFSET($CC$3,0,0,'Données projet'!$E$12+1,1))-AVERAGE(OFFSET($H$3,0,0,'Données projet'!$E$12+1,1))</f>
        <v>368.16165268258442</v>
      </c>
      <c r="CE63" s="59">
        <f t="shared" si="40"/>
        <v>291.32219253157041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4.1286409560926236</v>
      </c>
      <c r="CL63" s="21">
        <f>EXP(-LN(2)/25)*CL62+(1-EXP(-LN(2)/25))/(LN(2)/25)*Calculateur!CG63*Calculateur!CI63*VLOOKUP('Données projet'!$B$12,Paramètres!$A$1:$I$89,3,0)*0.475*44/12</f>
        <v>2.8916332320794718</v>
      </c>
      <c r="CM63" s="21">
        <f>EXP(-LN(2)/2)*CM62+(1-EXP(-LN(2)/2))/(LN(2)/2)*CG63*CJ63*VLOOKUP('Données projet'!$B$12,Paramètres!$A$1:$I$89,3,0)*0.475*44/12</f>
        <v>2.4178569048083367E-4</v>
      </c>
      <c r="CN63" s="22">
        <f t="shared" si="12"/>
        <v>7.020515973862576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3</v>
      </c>
      <c r="CT63" s="12">
        <f>IF('Données projet'!$A$140&gt;35,CT62+CS63-DB62,IF(A63&lt;'Données projet'!$A$140,$CQ$205^A63,IF(A63='Données projet'!$A$140,'Données projet'!$B$140,CT62+CS63-DB62)))</f>
        <v>403.00000000000011</v>
      </c>
      <c r="CU63" s="17">
        <f>CT63*VLOOKUP('Données projet'!$B$13,Paramètres!$A$1:$I$89,3,0)*VLOOKUP('Données projet'!$B$13,Paramètres!$A$1:$I$89,5,0)</f>
        <v>240.99400000000009</v>
      </c>
      <c r="CV63" s="13">
        <f t="shared" si="41"/>
        <v>58.653342952823451</v>
      </c>
      <c r="CW63" s="20">
        <f t="shared" si="13"/>
        <v>521.88578897616765</v>
      </c>
      <c r="CX63" s="59">
        <f t="shared" si="14"/>
        <v>795.65176983836886</v>
      </c>
      <c r="CY63" s="59">
        <f ca="1">AVERAGE(OFFSET($CX$3,0,0,'Données projet'!$E$13+1,1))-AVERAGE(OFFSET($H$3,0,0,'Données projet'!$E$13+1,1))</f>
        <v>317.12995176362455</v>
      </c>
      <c r="CZ63" s="59">
        <f t="shared" si="42"/>
        <v>328.11301015275262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9.9668794438342498</v>
      </c>
      <c r="DG63" s="21">
        <f>EXP(-LN(2)/25)*DG62+(1-EXP(-LN(2)/25))/(LN(2)/25)*Calculateur!DB63*Calculateur!DD63*VLOOKUP('Données projet'!$B$13,Paramètres!$A$1:$I$89,3,0)*0.475*44/12</f>
        <v>7.0192566523442732</v>
      </c>
      <c r="DH63" s="21">
        <f>EXP(-LN(2)/2)*DH62+(1-EXP(-LN(2)/2))/(LN(2)/2)*DB63*DE63*VLOOKUP('Données projet'!$B$13,Paramètres!$A$1:$I$89,3,0)*0.475*44/12</f>
        <v>1.7521312512628213E-4</v>
      </c>
      <c r="DI63" s="22">
        <f t="shared" si="15"/>
        <v>16.986311309303648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220</v>
      </c>
      <c r="DM63" s="12">
        <f>VLOOKUP(A63,'Données projet'!$A$165:$I$185,9,0)</f>
        <v>6</v>
      </c>
      <c r="DN63" s="12">
        <f t="array" ref="DN63">INDEX(DM:DM,MIN(IF(ISNUMBER(DM63:DM259),ROW(DM63:DM259),"")))</f>
        <v>6</v>
      </c>
      <c r="DO63" s="12">
        <f>IF('Données projet'!$A$166&gt;35,DO62+DN63-DW62,IF(A63&lt;'Données projet'!$A$166,$DL$205^A63,IF(A63='Données projet'!$A$166,'Données projet'!$B$166,DO62+DN63-DW62)))</f>
        <v>220.00000000000003</v>
      </c>
      <c r="DP63" s="17">
        <f>DO63*VLOOKUP('Données projet'!$B$14,Paramètres!$A$1:$I$89,3,0)*VLOOKUP('Données projet'!$B$14,Paramètres!$A$1:$I$89,5,0)</f>
        <v>192.19200000000006</v>
      </c>
      <c r="DQ63" s="13">
        <f t="shared" si="43"/>
        <v>48.02424892193244</v>
      </c>
      <c r="DR63" s="20">
        <f t="shared" si="16"/>
        <v>418.37663353903241</v>
      </c>
      <c r="DS63" s="59">
        <f t="shared" si="17"/>
        <v>692.14261440123369</v>
      </c>
      <c r="DT63" s="59">
        <f ca="1">AVERAGE(OFFSET($DS$3,0,0,'Données projet'!$E$14+1,1))-AVERAGE(OFFSET($H$3,0,0,'Données projet'!$E$14+1,1))</f>
        <v>325.5873213944476</v>
      </c>
      <c r="DU63" s="59">
        <f t="shared" si="44"/>
        <v>347.9042278368363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22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1.6164569084683165</v>
      </c>
      <c r="EB63" s="21">
        <f>EXP(-LN(2)/25)*EB62+(1-EXP(-LN(2)/25))/(LN(2)/25)*Calculateur!DW63*Calculateur!DY63*VLOOKUP('Données projet'!$B$14,Paramètres!$A$1:$I$89,3,0)*0.475*44/12</f>
        <v>3.8405860247451633</v>
      </c>
      <c r="EC63" s="21">
        <f>EXP(-LN(2)/2)*EC62+(1-EXP(-LN(2)/2))/(LN(2)/2)*DW63*DZ63*VLOOKUP('Données projet'!$B$14,Paramètres!$A$1:$I$89,3,0)*0.475*44/12</f>
        <v>3.6467958484934882E-4</v>
      </c>
      <c r="ED63" s="22">
        <f t="shared" si="18"/>
        <v>5.4574076127983284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2.125</v>
      </c>
      <c r="EJ63" s="12">
        <f>IF('Données projet'!$A$192&gt;35,EJ62+EI63-ER62,IF(A63&lt;'Données projet'!$A$192,$EG$205^A63,IF(A63='Données projet'!$A$192,'Données projet'!$B$192,EJ62+EI63-ER62)))</f>
        <v>236.75</v>
      </c>
      <c r="EK63" s="17">
        <f>EJ63*VLOOKUP('Données projet'!$B$15,Paramètres!$A$1:$I$89,3,0)*VLOOKUP('Données projet'!$B$15,Paramètres!$A$1:$I$89,5,0)</f>
        <v>141.57650000000001</v>
      </c>
      <c r="EL63" s="13">
        <f t="shared" si="45"/>
        <v>36.657923802254089</v>
      </c>
      <c r="EM63" s="20">
        <f t="shared" si="19"/>
        <v>310.4249547889259</v>
      </c>
      <c r="EN63" s="59">
        <f t="shared" si="20"/>
        <v>584.19093565112712</v>
      </c>
      <c r="EO63" s="59">
        <f ca="1">AVERAGE(OFFSET($EN$3,0,0,'Données projet'!$E$15+1,1))-AVERAGE(OFFSET($H$3,0,0,'Données projet'!$E$15+1,1))</f>
        <v>205.5480000480477</v>
      </c>
      <c r="EP63" s="59">
        <f t="shared" si="46"/>
        <v>229.86812144828366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4.0604721489959825</v>
      </c>
      <c r="EW63" s="21">
        <f>EXP(-LN(2)/25)*EW62+(1-EXP(-LN(2)/25))/(LN(2)/25)*Calculateur!ER63*Calculateur!ET63*VLOOKUP('Données projet'!$B$15,Paramètres!$A$1:$I$89,3,0)*0.475*44/12</f>
        <v>2.6214618071146347</v>
      </c>
      <c r="EX63" s="21">
        <f>EXP(-LN(2)/2)*EX62+(1-EXP(-LN(2)/2))/(LN(2)/2)*ER63*EU63*VLOOKUP('Données projet'!$B$15,Paramètres!$A$1:$I$89,3,0)*0.475*44/12</f>
        <v>9.0270112005359307E-5</v>
      </c>
      <c r="EY63" s="22">
        <f t="shared" si="21"/>
        <v>6.682024226222623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3.05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10.657920000000003</v>
      </c>
      <c r="D64" s="11">
        <f t="shared" si="32"/>
        <v>3.7290949975640717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43.143117748368802</v>
      </c>
      <c r="H64" s="67">
        <f t="shared" si="1"/>
        <v>236.99071778742407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</v>
      </c>
      <c r="N64" s="13">
        <f>IF('Données projet'!$A$36&gt;35,N63+M64-V63,IF(A64&lt;'Données projet'!$A$36,$K$205^A64,IF(A64='Données projet'!$A$36,'Données projet'!$B$36,N63+M64-V63)))</f>
        <v>728.99999999999966</v>
      </c>
      <c r="O64" s="13">
        <f>N64*VLOOKUP('Données projet'!$B$9,Paramètres!$A$1:$I$89,3,0)*VLOOKUP('Données projet'!$B$9,Paramètres!$A$1:$I$89,5,0)</f>
        <v>407.51099999999985</v>
      </c>
      <c r="P64" s="13">
        <f t="shared" si="33"/>
        <v>93.297752590617137</v>
      </c>
      <c r="Q64" s="20">
        <f t="shared" si="53"/>
        <v>872.24191076199133</v>
      </c>
      <c r="R64" s="59">
        <f t="shared" si="0"/>
        <v>1146.3473414435202</v>
      </c>
      <c r="S64" s="59">
        <f ca="1">AVERAGE(OFFSET($R$3,0,0,'Données projet'!$E$9+1,1))-AVERAGE(OFFSET($H$3,0,0,'Données projet'!$E$9+1,1))</f>
        <v>542.23071537860039</v>
      </c>
      <c r="T64" s="59">
        <f t="shared" si="34"/>
        <v>667.26143680054633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3.9732765247739654</v>
      </c>
      <c r="AA64" s="21">
        <f>EXP(-LN(2)/25)*AA63+(1-EXP(-LN(2)/25))/(LN(2)/25)*Calculateur!V64*Calculateur!X64*VLOOKUP('Données projet'!$B$9,Paramètres!$A$1:$I$89,3,0)*0.475*44/12</f>
        <v>18.040850284782838</v>
      </c>
      <c r="AB64" s="21">
        <f>EXP(-LN(2)/2)*AB63+(1-EXP(-LN(2)/2))/(LN(2)/2)*V64*Y64*VLOOKUP('Données projet'!$B$9,Paramètres!$A$1:$I$89,3,0)*0.475*44/12</f>
        <v>3.1112779865439524E-4</v>
      </c>
      <c r="AC64" s="22">
        <f t="shared" si="3"/>
        <v>22.014437937355456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-2.2737367544323206E-13</v>
      </c>
      <c r="AJ64" s="13">
        <f>AI64*VLOOKUP('Données projet'!$B$10,Paramètres!$A$1:$I$89,3,0)*VLOOKUP('Données projet'!$B$10,Paramètres!$A$1:$I$89,5,0)</f>
        <v>-1.2710188457276673E-13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427.83834708696861</v>
      </c>
      <c r="AO64" s="59">
        <f t="shared" si="36"/>
        <v>545.63950537101903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2.3839659148643793</v>
      </c>
      <c r="AV64" s="21">
        <f>EXP(-LN(2)/25)*AV63+(1-EXP(-LN(2)/25))/(LN(2)/25)*Calculateur!AQ64*Calculateur!AS64*VLOOKUP('Données projet'!$B$10,Paramètres!$A$1:$I$89,3,0)*0.475*44/12</f>
        <v>10.423816643528342</v>
      </c>
      <c r="AW64" s="21">
        <f>EXP(-LN(2)/2)*AW63+(1-EXP(-LN(2)/2))/(LN(2)/2)*AQ64*AT64*VLOOKUP('Données projet'!$B$10,Paramètres!$A$1:$I$89,3,0)*0.475*44/12</f>
        <v>1.9965562985998903E-4</v>
      </c>
      <c r="AX64" s="21">
        <f t="shared" si="6"/>
        <v>12.807982214022582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7.5</v>
      </c>
      <c r="BD64" s="12">
        <f>IF('Données projet'!$A$88&gt;35,BD63+BC64-BL63,IF(A64&lt;'Données projet'!$A$88,$BA$205^A64,IF(A64='Données projet'!$A$88,'Données projet'!$B$88,BD63+BC64-BL63)))</f>
        <v>174.49999999999994</v>
      </c>
      <c r="BE64" s="13">
        <f>BD64*VLOOKUP('Données projet'!$B$11,Paramètres!$A$1:$I$89,3,0)*VLOOKUP('Données projet'!$B$11,Paramètres!$A$1:$I$89,5,0)</f>
        <v>81.665999999999968</v>
      </c>
      <c r="BF64" s="13">
        <f t="shared" si="37"/>
        <v>22.544039865113209</v>
      </c>
      <c r="BG64" s="20">
        <f t="shared" si="7"/>
        <v>181.49915276507213</v>
      </c>
      <c r="BH64" s="59">
        <f t="shared" si="8"/>
        <v>455.60458344660105</v>
      </c>
      <c r="BI64" s="59">
        <f ca="1">AVERAGE(OFFSET($BH$3,0,0,'Données projet'!$E$11+1,1))-AVERAGE(OFFSET($H$3,0,0,'Données projet'!$E$11+1,1))</f>
        <v>210.62109466714364</v>
      </c>
      <c r="BJ64" s="59">
        <f t="shared" si="38"/>
        <v>193.35729443770401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3.5328763920200803</v>
      </c>
      <c r="BQ64" s="21">
        <f>EXP(-LN(2)/25)*BQ63+(1-EXP(-LN(2)/25))/(LN(2)/25)*Calculateur!BL64*Calculateur!BN64*VLOOKUP('Données projet'!$B$11,Paramètres!$A$1:$I$89,3,0)*0.475*44/12</f>
        <v>3.3921805443877058</v>
      </c>
      <c r="BR64" s="21">
        <f>EXP(-LN(2)/2)*BR63+(1-EXP(-LN(2)/2))/(LN(2)/2)*BL64*BO64*VLOOKUP('Données projet'!$B$11,Paramètres!$A$1:$I$89,3,0)*0.475*44/12</f>
        <v>1.7082042721994138E-4</v>
      </c>
      <c r="BS64" s="22">
        <f t="shared" si="9"/>
        <v>6.9252277568350067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16.625</v>
      </c>
      <c r="BY64" s="12">
        <f>IF('Données projet'!$A$114&gt;35,BY63+BX64-CG63,IF(A64&lt;'Données projet'!$A$114,$BV$205^A64,IF(A64='Données projet'!$A$114,'Données projet'!$B$114,BY63+BX64-CG63)))</f>
        <v>411.87499999999994</v>
      </c>
      <c r="BZ64" s="13">
        <f>BY64*VLOOKUP('Données projet'!$B$12,Paramètres!$A$1:$I$89,3,0)*VLOOKUP('Données projet'!$B$12,Paramètres!$A$1:$I$89,5,0)</f>
        <v>246.30124999999998</v>
      </c>
      <c r="CA64" s="13">
        <f t="shared" si="39"/>
        <v>59.793223430016852</v>
      </c>
      <c r="CB64" s="20">
        <f t="shared" si="10"/>
        <v>533.11454122394582</v>
      </c>
      <c r="CC64" s="59">
        <f t="shared" si="11"/>
        <v>807.21997190547472</v>
      </c>
      <c r="CD64" s="59">
        <f ca="1">AVERAGE(OFFSET($CC$3,0,0,'Données projet'!$E$12+1,1))-AVERAGE(OFFSET($H$3,0,0,'Données projet'!$E$12+1,1))</f>
        <v>368.16165268258442</v>
      </c>
      <c r="CE64" s="59">
        <f t="shared" si="40"/>
        <v>291.32219253157041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4.047680825165977</v>
      </c>
      <c r="CL64" s="21">
        <f>EXP(-LN(2)/25)*CL63+(1-EXP(-LN(2)/25))/(LN(2)/25)*Calculateur!CG64*Calculateur!CI64*VLOOKUP('Données projet'!$B$12,Paramètres!$A$1:$I$89,3,0)*0.475*44/12</f>
        <v>2.812561369283876</v>
      </c>
      <c r="CM64" s="21">
        <f>EXP(-LN(2)/2)*CM63+(1-EXP(-LN(2)/2))/(LN(2)/2)*CG64*CJ64*VLOOKUP('Données projet'!$B$12,Paramètres!$A$1:$I$89,3,0)*0.475*44/12</f>
        <v>1.7096830133286919E-4</v>
      </c>
      <c r="CN64" s="22">
        <f t="shared" si="12"/>
        <v>6.8604131627511862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</v>
      </c>
      <c r="CT64" s="12">
        <f>IF('Données projet'!$A$140&gt;35,CT63+CS64-DB63,IF(A64&lt;'Données projet'!$A$140,$CQ$205^A64,IF(A64='Données projet'!$A$140,'Données projet'!$B$140,CT63+CS64-DB63)))</f>
        <v>406.00000000000011</v>
      </c>
      <c r="CU64" s="17">
        <f>CT64*VLOOKUP('Données projet'!$B$13,Paramètres!$A$1:$I$89,3,0)*VLOOKUP('Données projet'!$B$13,Paramètres!$A$1:$I$89,5,0)</f>
        <v>242.78800000000007</v>
      </c>
      <c r="CV64" s="13">
        <f t="shared" si="41"/>
        <v>59.038978452354563</v>
      </c>
      <c r="CW64" s="20">
        <f t="shared" si="13"/>
        <v>525.68198747118436</v>
      </c>
      <c r="CX64" s="59">
        <f t="shared" si="14"/>
        <v>799.78741815271326</v>
      </c>
      <c r="CY64" s="59">
        <f ca="1">AVERAGE(OFFSET($CX$3,0,0,'Données projet'!$E$13+1,1))-AVERAGE(OFFSET($H$3,0,0,'Données projet'!$E$13+1,1))</f>
        <v>317.12995176362455</v>
      </c>
      <c r="CZ64" s="59">
        <f t="shared" si="42"/>
        <v>328.11301015275262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9.7714350171368505</v>
      </c>
      <c r="DG64" s="21">
        <f>EXP(-LN(2)/25)*DG63+(1-EXP(-LN(2)/25))/(LN(2)/25)*Calculateur!DB64*Calculateur!DD64*VLOOKUP('Données projet'!$B$13,Paramètres!$A$1:$I$89,3,0)*0.475*44/12</f>
        <v>6.8273147100592544</v>
      </c>
      <c r="DH64" s="21">
        <f>EXP(-LN(2)/2)*DH63+(1-EXP(-LN(2)/2))/(LN(2)/2)*DB64*DE64*VLOOKUP('Données projet'!$B$13,Paramètres!$A$1:$I$89,3,0)*0.475*44/12</f>
        <v>1.2389438892968115E-4</v>
      </c>
      <c r="DI64" s="22">
        <f t="shared" si="15"/>
        <v>16.598873621585035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5.2</v>
      </c>
      <c r="DO64" s="12">
        <f>IF('Données projet'!$A$166&gt;35,DO63+DN64-DW63,IF(A64&lt;'Données projet'!$A$166,$DL$205^A64,IF(A64='Données projet'!$A$166,'Données projet'!$B$166,DO63+DN64-DW63)))</f>
        <v>203.20000000000002</v>
      </c>
      <c r="DP64" s="17">
        <f>DO64*VLOOKUP('Données projet'!$B$14,Paramètres!$A$1:$I$89,3,0)*VLOOKUP('Données projet'!$B$14,Paramètres!$A$1:$I$89,5,0)</f>
        <v>177.51552000000004</v>
      </c>
      <c r="DQ64" s="13">
        <f t="shared" si="43"/>
        <v>44.768988809542904</v>
      </c>
      <c r="DR64" s="20">
        <f t="shared" si="16"/>
        <v>387.145519509954</v>
      </c>
      <c r="DS64" s="59">
        <f t="shared" si="17"/>
        <v>661.25095019148284</v>
      </c>
      <c r="DT64" s="59">
        <f ca="1">AVERAGE(OFFSET($DS$3,0,0,'Données projet'!$E$14+1,1))-AVERAGE(OFFSET($H$3,0,0,'Données projet'!$E$14+1,1))</f>
        <v>325.5873213944476</v>
      </c>
      <c r="DU64" s="59">
        <f t="shared" si="44"/>
        <v>347.9042278368363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1.5847591744346132</v>
      </c>
      <c r="EB64" s="21">
        <f>EXP(-LN(2)/25)*EB63+(1-EXP(-LN(2)/25))/(LN(2)/25)*Calculateur!DW64*Calculateur!DY64*VLOOKUP('Données projet'!$B$14,Paramètres!$A$1:$I$89,3,0)*0.475*44/12</f>
        <v>3.7355649979308656</v>
      </c>
      <c r="EC64" s="21">
        <f>EXP(-LN(2)/2)*EC63+(1-EXP(-LN(2)/2))/(LN(2)/2)*DW64*DZ64*VLOOKUP('Données projet'!$B$14,Paramètres!$A$1:$I$89,3,0)*0.475*44/12</f>
        <v>2.5786740740726949E-4</v>
      </c>
      <c r="ED64" s="22">
        <f t="shared" si="18"/>
        <v>5.3205820397728862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2.125</v>
      </c>
      <c r="EJ64" s="12">
        <f>IF('Données projet'!$A$192&gt;35,EJ63+EI64-ER63,IF(A64&lt;'Données projet'!$A$192,$EG$205^A64,IF(A64='Données projet'!$A$192,'Données projet'!$B$192,EJ63+EI64-ER63)))</f>
        <v>238.875</v>
      </c>
      <c r="EK64" s="17">
        <f>EJ64*VLOOKUP('Données projet'!$B$15,Paramètres!$A$1:$I$89,3,0)*VLOOKUP('Données projet'!$B$15,Paramètres!$A$1:$I$89,5,0)</f>
        <v>142.84725</v>
      </c>
      <c r="EL64" s="13">
        <f t="shared" si="45"/>
        <v>36.948504220019856</v>
      </c>
      <c r="EM64" s="20">
        <f t="shared" si="19"/>
        <v>313.1442719332012</v>
      </c>
      <c r="EN64" s="59">
        <f t="shared" si="20"/>
        <v>587.24970261473004</v>
      </c>
      <c r="EO64" s="59">
        <f ca="1">AVERAGE(OFFSET($EN$3,0,0,'Données projet'!$E$15+1,1))-AVERAGE(OFFSET($H$3,0,0,'Données projet'!$E$15+1,1))</f>
        <v>205.5480000480477</v>
      </c>
      <c r="EP64" s="59">
        <f t="shared" si="46"/>
        <v>229.86812144828366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3.9808487667976338</v>
      </c>
      <c r="EW64" s="21">
        <f>EXP(-LN(2)/25)*EW63+(1-EXP(-LN(2)/25))/(LN(2)/25)*Calculateur!ER64*Calculateur!ET64*VLOOKUP('Données projet'!$B$15,Paramètres!$A$1:$I$89,3,0)*0.475*44/12</f>
        <v>2.5497777961424002</v>
      </c>
      <c r="EX64" s="21">
        <f>EXP(-LN(2)/2)*EX63+(1-EXP(-LN(2)/2))/(LN(2)/2)*ER64*EU64*VLOOKUP('Données projet'!$B$15,Paramètres!$A$1:$I$89,3,0)*0.475*44/12</f>
        <v>6.383060833745874E-5</v>
      </c>
      <c r="EY64" s="22">
        <f t="shared" si="21"/>
        <v>6.5306903935483716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3.05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10.832640000000003</v>
      </c>
      <c r="D65" s="11">
        <f t="shared" si="32"/>
        <v>3.783060629905409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43.708011380538281</v>
      </c>
      <c r="H65" s="67">
        <f t="shared" si="1"/>
        <v>237.38901193041858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</v>
      </c>
      <c r="N65" s="13">
        <f>IF('Données projet'!$A$36&gt;35,N64+M65-V64,IF(A65&lt;'Données projet'!$A$36,$K$205^A65,IF(A65='Données projet'!$A$36,'Données projet'!$B$36,N64+M65-V64)))</f>
        <v>738.99999999999966</v>
      </c>
      <c r="O65" s="13">
        <f>N65*VLOOKUP('Données projet'!$B$9,Paramètres!$A$1:$I$89,3,0)*VLOOKUP('Données projet'!$B$9,Paramètres!$A$1:$I$89,5,0)</f>
        <v>413.10099999999983</v>
      </c>
      <c r="P65" s="13">
        <f t="shared" si="33"/>
        <v>94.427689670462357</v>
      </c>
      <c r="Q65" s="20">
        <f t="shared" si="53"/>
        <v>883.94580117605494</v>
      </c>
      <c r="R65" s="59">
        <f t="shared" si="0"/>
        <v>1158.3847929814422</v>
      </c>
      <c r="S65" s="59">
        <f ca="1">AVERAGE(OFFSET($R$3,0,0,'Données projet'!$E$9+1,1))-AVERAGE(OFFSET($H$3,0,0,'Données projet'!$E$9+1,1))</f>
        <v>542.23071537860039</v>
      </c>
      <c r="T65" s="59">
        <f t="shared" si="34"/>
        <v>667.26143680054633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3.8953629955825315</v>
      </c>
      <c r="AA65" s="21">
        <f>EXP(-LN(2)/25)*AA64+(1-EXP(-LN(2)/25))/(LN(2)/25)*Calculateur!V65*Calculateur!X65*VLOOKUP('Données projet'!$B$9,Paramètres!$A$1:$I$89,3,0)*0.475*44/12</f>
        <v>17.547522285018367</v>
      </c>
      <c r="AB65" s="21">
        <f>EXP(-LN(2)/2)*AB64+(1-EXP(-LN(2)/2))/(LN(2)/2)*V65*Y65*VLOOKUP('Données projet'!$B$9,Paramètres!$A$1:$I$89,3,0)*0.475*44/12</f>
        <v>2.2000057624416567E-4</v>
      </c>
      <c r="AC65" s="22">
        <f t="shared" si="3"/>
        <v>21.443105281177143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-2.2737367544323206E-13</v>
      </c>
      <c r="AJ65" s="13">
        <f>AI65*VLOOKUP('Données projet'!$B$10,Paramètres!$A$1:$I$89,3,0)*VLOOKUP('Données projet'!$B$10,Paramètres!$A$1:$I$89,5,0)</f>
        <v>-1.2710188457276673E-13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427.83834708696861</v>
      </c>
      <c r="AO65" s="59">
        <f t="shared" si="36"/>
        <v>545.63950537101903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2.3372177973495187</v>
      </c>
      <c r="AV65" s="21">
        <f>EXP(-LN(2)/25)*AV64+(1-EXP(-LN(2)/25))/(LN(2)/25)*Calculateur!AQ65*Calculateur!AS65*VLOOKUP('Données projet'!$B$10,Paramètres!$A$1:$I$89,3,0)*0.475*44/12</f>
        <v>10.138776829246366</v>
      </c>
      <c r="AW65" s="21">
        <f>EXP(-LN(2)/2)*AW64+(1-EXP(-LN(2)/2))/(LN(2)/2)*AQ65*AT65*VLOOKUP('Données projet'!$B$10,Paramètres!$A$1:$I$89,3,0)*0.475*44/12</f>
        <v>1.4117784977606959E-4</v>
      </c>
      <c r="AX65" s="21">
        <f t="shared" si="6"/>
        <v>12.476135804445661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7.5</v>
      </c>
      <c r="BD65" s="12">
        <f>IF('Données projet'!$A$88&gt;35,BD64+BC65-BL64,IF(A65&lt;'Données projet'!$A$88,$BA$205^A65,IF(A65='Données projet'!$A$88,'Données projet'!$B$88,BD64+BC65-BL64)))</f>
        <v>181.99999999999994</v>
      </c>
      <c r="BE65" s="13">
        <f>BD65*VLOOKUP('Données projet'!$B$11,Paramètres!$A$1:$I$89,3,0)*VLOOKUP('Données projet'!$B$11,Paramètres!$A$1:$I$89,5,0)</f>
        <v>85.175999999999974</v>
      </c>
      <c r="BF65" s="13">
        <f t="shared" si="37"/>
        <v>23.398088487656434</v>
      </c>
      <c r="BG65" s="20">
        <f t="shared" si="7"/>
        <v>189.09987078266826</v>
      </c>
      <c r="BH65" s="59">
        <f t="shared" si="8"/>
        <v>463.53886258805551</v>
      </c>
      <c r="BI65" s="59">
        <f ca="1">AVERAGE(OFFSET($BH$3,0,0,'Données projet'!$E$11+1,1))-AVERAGE(OFFSET($H$3,0,0,'Données projet'!$E$11+1,1))</f>
        <v>210.62109466714364</v>
      </c>
      <c r="BJ65" s="59">
        <f t="shared" si="38"/>
        <v>193.35729443770401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3.4635988408143925</v>
      </c>
      <c r="BQ65" s="21">
        <f>EXP(-LN(2)/25)*BQ64+(1-EXP(-LN(2)/25))/(LN(2)/25)*Calculateur!BL65*Calculateur!BN65*VLOOKUP('Données projet'!$B$11,Paramètres!$A$1:$I$89,3,0)*0.475*44/12</f>
        <v>3.2994211890144021</v>
      </c>
      <c r="BR65" s="21">
        <f>EXP(-LN(2)/2)*BR64+(1-EXP(-LN(2)/2))/(LN(2)/2)*BL65*BO65*VLOOKUP('Données projet'!$B$11,Paramètres!$A$1:$I$89,3,0)*0.475*44/12</f>
        <v>1.2078828245240367E-4</v>
      </c>
      <c r="BS65" s="22">
        <f t="shared" si="9"/>
        <v>6.7631408181112471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16.625</v>
      </c>
      <c r="BY65" s="12">
        <f>IF('Données projet'!$A$114&gt;35,BY64+BX65-CG64,IF(A65&lt;'Données projet'!$A$114,$BV$205^A65,IF(A65='Données projet'!$A$114,'Données projet'!$B$114,BY64+BX65-CG64)))</f>
        <v>428.49999999999994</v>
      </c>
      <c r="BZ65" s="13">
        <f>BY65*VLOOKUP('Données projet'!$B$12,Paramètres!$A$1:$I$89,3,0)*VLOOKUP('Données projet'!$B$12,Paramètres!$A$1:$I$89,5,0)</f>
        <v>256.24299999999999</v>
      </c>
      <c r="CA65" s="13">
        <f t="shared" si="39"/>
        <v>61.920860231490025</v>
      </c>
      <c r="CB65" s="20">
        <f t="shared" si="10"/>
        <v>554.13538990317852</v>
      </c>
      <c r="CC65" s="59">
        <f t="shared" si="11"/>
        <v>828.57438170856585</v>
      </c>
      <c r="CD65" s="59">
        <f ca="1">AVERAGE(OFFSET($CC$3,0,0,'Données projet'!$E$12+1,1))-AVERAGE(OFFSET($H$3,0,0,'Données projet'!$E$12+1,1))</f>
        <v>368.16165268258442</v>
      </c>
      <c r="CE65" s="59">
        <f t="shared" si="40"/>
        <v>291.32219253157041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3.9683082730259978</v>
      </c>
      <c r="CL65" s="21">
        <f>EXP(-LN(2)/25)*CL64+(1-EXP(-LN(2)/25))/(LN(2)/25)*Calculateur!CG65*Calculateur!CI65*VLOOKUP('Données projet'!$B$12,Paramètres!$A$1:$I$89,3,0)*0.475*44/12</f>
        <v>2.7356517307346344</v>
      </c>
      <c r="CM65" s="21">
        <f>EXP(-LN(2)/2)*CM64+(1-EXP(-LN(2)/2))/(LN(2)/2)*CG65*CJ65*VLOOKUP('Données projet'!$B$12,Paramètres!$A$1:$I$89,3,0)*0.475*44/12</f>
        <v>1.2089284524041686E-4</v>
      </c>
      <c r="CN65" s="22">
        <f t="shared" si="12"/>
        <v>6.7040808966058725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>
        <f>VLOOKUP(A65,'Données projet'!$A$139:$I$159,2,0)</f>
        <v>409</v>
      </c>
      <c r="CR65" s="12">
        <f>VLOOKUP(A65,'Données projet'!$A$139:$I$159,9,0)</f>
        <v>3</v>
      </c>
      <c r="CS65" s="12">
        <f t="array" ref="CS65">INDEX(CR:CR,MIN(IF(ISNUMBER(CR65:CR261),ROW(CR65:CR261),"")))</f>
        <v>3</v>
      </c>
      <c r="CT65" s="12">
        <f>IF('Données projet'!$A$140&gt;35,CT64+CS65-DB64,IF(A65&lt;'Données projet'!$A$140,$CQ$205^A65,IF(A65='Données projet'!$A$140,'Données projet'!$B$140,CT64+CS65-DB64)))</f>
        <v>409.00000000000011</v>
      </c>
      <c r="CU65" s="17">
        <f>CT65*VLOOKUP('Données projet'!$B$13,Paramètres!$A$1:$I$89,3,0)*VLOOKUP('Données projet'!$B$13,Paramètres!$A$1:$I$89,5,0)</f>
        <v>244.58200000000011</v>
      </c>
      <c r="CV65" s="13">
        <f t="shared" si="41"/>
        <v>59.424282406770885</v>
      </c>
      <c r="CW65" s="20">
        <f t="shared" si="13"/>
        <v>529.47760852512613</v>
      </c>
      <c r="CX65" s="59">
        <f t="shared" si="14"/>
        <v>803.91660033051335</v>
      </c>
      <c r="CY65" s="59">
        <f ca="1">AVERAGE(OFFSET($CX$3,0,0,'Données projet'!$E$13+1,1))-AVERAGE(OFFSET($H$3,0,0,'Données projet'!$E$13+1,1))</f>
        <v>317.12995176362455</v>
      </c>
      <c r="CZ65" s="59">
        <f t="shared" si="42"/>
        <v>328.11301015275262</v>
      </c>
      <c r="DA65" s="15">
        <f>IF(ISNA(VLOOKUP(A65,'Données projet'!$A$139:$I$159,3,0)),0,VLOOKUP(A65,'Données projet'!$A$139:$I$159,3,0))</f>
        <v>10</v>
      </c>
      <c r="DB65" s="15">
        <f>IF(ISNA(VLOOKUP(A65,'Données projet'!$A$139:$I$159,4,0)),0,VLOOKUP(A65,'Données projet'!$A$139:$I$159,4,0))</f>
        <v>409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9.5798231364376569</v>
      </c>
      <c r="DG65" s="21">
        <f>EXP(-LN(2)/25)*DG64+(1-EXP(-LN(2)/25))/(LN(2)/25)*Calculateur!DB65*Calculateur!DD65*VLOOKUP('Données projet'!$B$13,Paramètres!$A$1:$I$89,3,0)*0.475*44/12</f>
        <v>6.6406214302798077</v>
      </c>
      <c r="DH65" s="21">
        <f>EXP(-LN(2)/2)*DH64+(1-EXP(-LN(2)/2))/(LN(2)/2)*DB65*DE65*VLOOKUP('Données projet'!$B$13,Paramètres!$A$1:$I$89,3,0)*0.475*44/12</f>
        <v>8.7606562563141065E-5</v>
      </c>
      <c r="DI65" s="22">
        <f t="shared" si="15"/>
        <v>16.220532173280027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5.2</v>
      </c>
      <c r="DO65" s="12">
        <f>IF('Données projet'!$A$166&gt;35,DO64+DN65-DW64,IF(A65&lt;'Données projet'!$A$166,$DL$205^A65,IF(A65='Données projet'!$A$166,'Données projet'!$B$166,DO64+DN65-DW64)))</f>
        <v>208.4</v>
      </c>
      <c r="DP65" s="17">
        <f>DO65*VLOOKUP('Données projet'!$B$14,Paramètres!$A$1:$I$89,3,0)*VLOOKUP('Données projet'!$B$14,Paramètres!$A$1:$I$89,5,0)</f>
        <v>182.05824000000001</v>
      </c>
      <c r="DQ65" s="13">
        <f t="shared" si="43"/>
        <v>45.779803189729343</v>
      </c>
      <c r="DR65" s="20">
        <f t="shared" si="16"/>
        <v>396.81792522211191</v>
      </c>
      <c r="DS65" s="59">
        <f t="shared" si="17"/>
        <v>671.25691702749918</v>
      </c>
      <c r="DT65" s="59">
        <f ca="1">AVERAGE(OFFSET($DS$3,0,0,'Données projet'!$E$14+1,1))-AVERAGE(OFFSET($H$3,0,0,'Données projet'!$E$14+1,1))</f>
        <v>325.5873213944476</v>
      </c>
      <c r="DU65" s="59">
        <f t="shared" si="44"/>
        <v>347.9042278368363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1.5536830136316022</v>
      </c>
      <c r="EB65" s="21">
        <f>EXP(-LN(2)/25)*EB64+(1-EXP(-LN(2)/25))/(LN(2)/25)*Calculateur!DW65*Calculateur!DY65*VLOOKUP('Données projet'!$B$14,Paramètres!$A$1:$I$89,3,0)*0.475*44/12</f>
        <v>3.6334157766176207</v>
      </c>
      <c r="EC65" s="21">
        <f>EXP(-LN(2)/2)*EC64+(1-EXP(-LN(2)/2))/(LN(2)/2)*DW65*DZ65*VLOOKUP('Données projet'!$B$14,Paramètres!$A$1:$I$89,3,0)*0.475*44/12</f>
        <v>1.8233979242467441E-4</v>
      </c>
      <c r="ED65" s="22">
        <f t="shared" si="18"/>
        <v>5.1872811300416481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>
        <f>VLOOKUP(A65,'Données projet'!$A$191:$I$211,2,0)</f>
        <v>241</v>
      </c>
      <c r="EH65" s="12">
        <f>VLOOKUP(A65,'Données projet'!$A$191:$I$211,9,0)</f>
        <v>2.125</v>
      </c>
      <c r="EI65" s="12">
        <f t="array" ref="EI65">INDEX(EH:EH,MIN(IF(ISNUMBER(EH65:EH261),ROW(EH65:EH261),"")))</f>
        <v>2.125</v>
      </c>
      <c r="EJ65" s="12">
        <f>IF('Données projet'!$A$192&gt;35,EJ64+EI65-ER64,IF(A65&lt;'Données projet'!$A$192,$EG$205^A65,IF(A65='Données projet'!$A$192,'Données projet'!$B$192,EJ64+EI65-ER64)))</f>
        <v>241</v>
      </c>
      <c r="EK65" s="17">
        <f>EJ65*VLOOKUP('Données projet'!$B$15,Paramètres!$A$1:$I$89,3,0)*VLOOKUP('Données projet'!$B$15,Paramètres!$A$1:$I$89,5,0)</f>
        <v>144.11799999999999</v>
      </c>
      <c r="EL65" s="13">
        <f t="shared" si="45"/>
        <v>37.238783899454731</v>
      </c>
      <c r="EM65" s="20">
        <f t="shared" si="19"/>
        <v>315.8630652915503</v>
      </c>
      <c r="EN65" s="59">
        <f t="shared" si="20"/>
        <v>590.30205709693757</v>
      </c>
      <c r="EO65" s="59">
        <f ca="1">AVERAGE(OFFSET($EN$3,0,0,'Données projet'!$E$15+1,1))-AVERAGE(OFFSET($H$3,0,0,'Données projet'!$E$15+1,1))</f>
        <v>205.5480000480477</v>
      </c>
      <c r="EP65" s="59">
        <f t="shared" si="46"/>
        <v>229.86812144828366</v>
      </c>
      <c r="EQ65" s="15">
        <f>IF(ISNA(VLOOKUP(A65,'Données projet'!$A$191:$I$211,3,0)),0,VLOOKUP(A65,'Données projet'!$A$191:$I$211,3,0))</f>
        <v>10</v>
      </c>
      <c r="ER65" s="15">
        <f>IF(ISNA(VLOOKUP(A65,'Données projet'!$A$191:$I$211,4,0)),0,VLOOKUP(A65,'Données projet'!$A$191:$I$211,4,0))</f>
        <v>241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3.902786750558727</v>
      </c>
      <c r="EW65" s="21">
        <f>EXP(-LN(2)/25)*EW64+(1-EXP(-LN(2)/25))/(LN(2)/25)*Calculateur!ER65*Calculateur!ET65*VLOOKUP('Données projet'!$B$15,Paramètres!$A$1:$I$89,3,0)*0.475*44/12</f>
        <v>2.4800539882198995</v>
      </c>
      <c r="EX65" s="21">
        <f>EXP(-LN(2)/2)*EX64+(1-EXP(-LN(2)/2))/(LN(2)/2)*ER65*EU65*VLOOKUP('Données projet'!$B$15,Paramètres!$A$1:$I$89,3,0)*0.475*44/12</f>
        <v>4.5135056002679654E-5</v>
      </c>
      <c r="EY65" s="22">
        <f t="shared" si="21"/>
        <v>6.3828858738346295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3.05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11.007360000000004</v>
      </c>
      <c r="D66" s="11">
        <f t="shared" si="32"/>
        <v>3.8369250365307539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44.272654967430363</v>
      </c>
      <c r="H66" s="67">
        <f t="shared" si="1"/>
        <v>237.78712977195772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</v>
      </c>
      <c r="N66" s="13">
        <f>IF('Données projet'!$A$36&gt;35,N65+M66-V65,IF(A66&lt;'Données projet'!$A$36,$K$205^A66,IF(A66='Données projet'!$A$36,'Données projet'!$B$36,N65+M66-V65)))</f>
        <v>748.99999999999966</v>
      </c>
      <c r="O66" s="13">
        <f>N66*VLOOKUP('Données projet'!$B$9,Paramètres!$A$1:$I$89,3,0)*VLOOKUP('Données projet'!$B$9,Paramètres!$A$1:$I$89,5,0)</f>
        <v>418.6909999999998</v>
      </c>
      <c r="P66" s="13">
        <f t="shared" si="33"/>
        <v>95.555848328260851</v>
      </c>
      <c r="Q66" s="20">
        <f t="shared" si="53"/>
        <v>895.64659417172061</v>
      </c>
      <c r="R66" s="59">
        <f t="shared" si="0"/>
        <v>1170.4133605611983</v>
      </c>
      <c r="S66" s="59">
        <f ca="1">AVERAGE(OFFSET($R$3,0,0,'Données projet'!$E$9+1,1))-AVERAGE(OFFSET($H$3,0,0,'Données projet'!$E$9+1,1))</f>
        <v>542.23071537860039</v>
      </c>
      <c r="T66" s="59">
        <f t="shared" si="34"/>
        <v>667.26143680054633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3.8189773031759811</v>
      </c>
      <c r="AA66" s="21">
        <f>EXP(-LN(2)/25)*AA65+(1-EXP(-LN(2)/25))/(LN(2)/25)*Calculateur!V66*Calculateur!X66*VLOOKUP('Données projet'!$B$9,Paramètres!$A$1:$I$89,3,0)*0.475*44/12</f>
        <v>17.067684365350448</v>
      </c>
      <c r="AB66" s="21">
        <f>EXP(-LN(2)/2)*AB65+(1-EXP(-LN(2)/2))/(LN(2)/2)*V66*Y66*VLOOKUP('Données projet'!$B$9,Paramètres!$A$1:$I$89,3,0)*0.475*44/12</f>
        <v>1.5556389932719762E-4</v>
      </c>
      <c r="AC66" s="22">
        <f t="shared" si="3"/>
        <v>20.886817232425756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-2.2737367544323206E-13</v>
      </c>
      <c r="AJ66" s="13">
        <f>AI66*VLOOKUP('Données projet'!$B$10,Paramètres!$A$1:$I$89,3,0)*VLOOKUP('Données projet'!$B$10,Paramètres!$A$1:$I$89,5,0)</f>
        <v>-1.2710188457276673E-13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427.83834708696861</v>
      </c>
      <c r="AO66" s="59">
        <f t="shared" si="36"/>
        <v>545.63950537101903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2.2913863819055886</v>
      </c>
      <c r="AV66" s="21">
        <f>EXP(-LN(2)/25)*AV65+(1-EXP(-LN(2)/25))/(LN(2)/25)*Calculateur!AQ66*Calculateur!AS66*VLOOKUP('Données projet'!$B$10,Paramètres!$A$1:$I$89,3,0)*0.475*44/12</f>
        <v>9.8615314436755224</v>
      </c>
      <c r="AW66" s="21">
        <f>EXP(-LN(2)/2)*AW65+(1-EXP(-LN(2)/2))/(LN(2)/2)*AQ66*AT66*VLOOKUP('Données projet'!$B$10,Paramètres!$A$1:$I$89,3,0)*0.475*44/12</f>
        <v>9.9827814929994517E-5</v>
      </c>
      <c r="AX66" s="21">
        <f t="shared" si="6"/>
        <v>12.153017653396041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7.5</v>
      </c>
      <c r="BD66" s="12">
        <f>IF('Données projet'!$A$88&gt;35,BD65+BC66-BL65,IF(A66&lt;'Données projet'!$A$88,$BA$205^A66,IF(A66='Données projet'!$A$88,'Données projet'!$B$88,BD65+BC66-BL65)))</f>
        <v>189.49999999999994</v>
      </c>
      <c r="BE66" s="13">
        <f>BD66*VLOOKUP('Données projet'!$B$11,Paramètres!$A$1:$I$89,3,0)*VLOOKUP('Données projet'!$B$11,Paramètres!$A$1:$I$89,5,0)</f>
        <v>88.685999999999964</v>
      </c>
      <c r="BF66" s="13">
        <f t="shared" si="37"/>
        <v>24.248049079863389</v>
      </c>
      <c r="BG66" s="20">
        <f t="shared" si="7"/>
        <v>196.69346881409535</v>
      </c>
      <c r="BH66" s="59">
        <f t="shared" si="8"/>
        <v>471.46023520357306</v>
      </c>
      <c r="BI66" s="59">
        <f ca="1">AVERAGE(OFFSET($BH$3,0,0,'Données projet'!$E$11+1,1))-AVERAGE(OFFSET($H$3,0,0,'Données projet'!$E$11+1,1))</f>
        <v>210.62109466714364</v>
      </c>
      <c r="BJ66" s="59">
        <f t="shared" si="38"/>
        <v>193.35729443770401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3.3956797801327148</v>
      </c>
      <c r="BQ66" s="21">
        <f>EXP(-LN(2)/25)*BQ65+(1-EXP(-LN(2)/25))/(LN(2)/25)*Calculateur!BL66*Calculateur!BN66*VLOOKUP('Données projet'!$B$11,Paramètres!$A$1:$I$89,3,0)*0.475*44/12</f>
        <v>3.2091983430917836</v>
      </c>
      <c r="BR66" s="21">
        <f>EXP(-LN(2)/2)*BR65+(1-EXP(-LN(2)/2))/(LN(2)/2)*BL66*BO66*VLOOKUP('Données projet'!$B$11,Paramètres!$A$1:$I$89,3,0)*0.475*44/12</f>
        <v>8.5410213609970705E-5</v>
      </c>
      <c r="BS66" s="22">
        <f t="shared" si="9"/>
        <v>6.6049635334381085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16.625</v>
      </c>
      <c r="BY66" s="12">
        <f>IF('Données projet'!$A$114&gt;35,BY65+BX66-CG65,IF(A66&lt;'Données projet'!$A$114,$BV$205^A66,IF(A66='Données projet'!$A$114,'Données projet'!$B$114,BY65+BX66-CG65)))</f>
        <v>445.12499999999994</v>
      </c>
      <c r="BZ66" s="13">
        <f>BY66*VLOOKUP('Données projet'!$B$12,Paramètres!$A$1:$I$89,3,0)*VLOOKUP('Données projet'!$B$12,Paramètres!$A$1:$I$89,5,0)</f>
        <v>266.18475000000001</v>
      </c>
      <c r="CA66" s="13">
        <f t="shared" si="39"/>
        <v>64.038907529798962</v>
      </c>
      <c r="CB66" s="20">
        <f t="shared" si="10"/>
        <v>575.13953686439993</v>
      </c>
      <c r="CC66" s="59">
        <f t="shared" si="11"/>
        <v>849.9063032538777</v>
      </c>
      <c r="CD66" s="59">
        <f ca="1">AVERAGE(OFFSET($CC$3,0,0,'Données projet'!$E$12+1,1))-AVERAGE(OFFSET($H$3,0,0,'Données projet'!$E$12+1,1))</f>
        <v>368.16165268258442</v>
      </c>
      <c r="CE66" s="59">
        <f t="shared" si="40"/>
        <v>291.32219253157041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3.890492168221007</v>
      </c>
      <c r="CL66" s="21">
        <f>EXP(-LN(2)/25)*CL65+(1-EXP(-LN(2)/25))/(LN(2)/25)*Calculateur!CG66*Calculateur!CI66*VLOOKUP('Données projet'!$B$12,Paramètres!$A$1:$I$89,3,0)*0.475*44/12</f>
        <v>2.6608451902960235</v>
      </c>
      <c r="CM66" s="21">
        <f>EXP(-LN(2)/2)*CM65+(1-EXP(-LN(2)/2))/(LN(2)/2)*CG66*CJ66*VLOOKUP('Données projet'!$B$12,Paramètres!$A$1:$I$89,3,0)*0.475*44/12</f>
        <v>8.5484150666434607E-5</v>
      </c>
      <c r="CN66" s="22">
        <f t="shared" si="12"/>
        <v>6.551422842667697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1.1368683772161603E-13</v>
      </c>
      <c r="CU66" s="17">
        <f>CT66*VLOOKUP('Données projet'!$B$13,Paramètres!$A$1:$I$89,3,0)*VLOOKUP('Données projet'!$B$13,Paramètres!$A$1:$I$89,5,0)</f>
        <v>6.7984728957526396E-14</v>
      </c>
      <c r="CV66" s="13">
        <f t="shared" si="41"/>
        <v>1.0682447123141398E-12</v>
      </c>
      <c r="CW66" s="20">
        <f t="shared" si="13"/>
        <v>1.978932943548152E-12</v>
      </c>
      <c r="CX66" s="59">
        <f t="shared" si="14"/>
        <v>274.7667663894797</v>
      </c>
      <c r="CY66" s="59">
        <f ca="1">AVERAGE(OFFSET($CX$3,0,0,'Données projet'!$E$13+1,1))-AVERAGE(OFFSET($H$3,0,0,'Données projet'!$E$13+1,1))</f>
        <v>317.12995176362455</v>
      </c>
      <c r="CZ66" s="59">
        <f t="shared" si="42"/>
        <v>328.11301015275262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9.3919686478472677</v>
      </c>
      <c r="DG66" s="21">
        <f>EXP(-LN(2)/25)*DG65+(1-EXP(-LN(2)/25))/(LN(2)/25)*Calculateur!DB66*Calculateur!DD66*VLOOKUP('Données projet'!$B$13,Paramètres!$A$1:$I$89,3,0)*0.475*44/12</f>
        <v>6.4590332880537025</v>
      </c>
      <c r="DH66" s="21">
        <f>EXP(-LN(2)/2)*DH65+(1-EXP(-LN(2)/2))/(LN(2)/2)*DB66*DE66*VLOOKUP('Données projet'!$B$13,Paramètres!$A$1:$I$89,3,0)*0.475*44/12</f>
        <v>6.1947194464840574E-5</v>
      </c>
      <c r="DI66" s="22">
        <f t="shared" si="15"/>
        <v>15.851063883095437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5.2</v>
      </c>
      <c r="DO66" s="12">
        <f>IF('Données projet'!$A$166&gt;35,DO65+DN66-DW65,IF(A66&lt;'Données projet'!$A$166,$DL$205^A66,IF(A66='Données projet'!$A$166,'Données projet'!$B$166,DO65+DN66-DW65)))</f>
        <v>213.6</v>
      </c>
      <c r="DP66" s="17">
        <f>DO66*VLOOKUP('Données projet'!$B$14,Paramètres!$A$1:$I$89,3,0)*VLOOKUP('Données projet'!$B$14,Paramètres!$A$1:$I$89,5,0)</f>
        <v>186.60096000000001</v>
      </c>
      <c r="DQ66" s="13">
        <f t="shared" si="43"/>
        <v>46.787685683664144</v>
      </c>
      <c r="DR66" s="20">
        <f t="shared" si="16"/>
        <v>406.48522456571504</v>
      </c>
      <c r="DS66" s="59">
        <f t="shared" si="17"/>
        <v>681.2519909551927</v>
      </c>
      <c r="DT66" s="59">
        <f ca="1">AVERAGE(OFFSET($DS$3,0,0,'Données projet'!$E$14+1,1))-AVERAGE(OFFSET($H$3,0,0,'Données projet'!$E$14+1,1))</f>
        <v>325.5873213944476</v>
      </c>
      <c r="DU66" s="59">
        <f t="shared" si="44"/>
        <v>347.9042278368363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1.5232162373873519</v>
      </c>
      <c r="EB66" s="21">
        <f>EXP(-LN(2)/25)*EB65+(1-EXP(-LN(2)/25))/(LN(2)/25)*Calculateur!DW66*Calculateur!DY66*VLOOKUP('Données projet'!$B$14,Paramètres!$A$1:$I$89,3,0)*0.475*44/12</f>
        <v>3.5340598311329803</v>
      </c>
      <c r="EC66" s="21">
        <f>EXP(-LN(2)/2)*EC65+(1-EXP(-LN(2)/2))/(LN(2)/2)*DW66*DZ66*VLOOKUP('Données projet'!$B$14,Paramètres!$A$1:$I$89,3,0)*0.475*44/12</f>
        <v>1.2893370370363475E-4</v>
      </c>
      <c r="ED66" s="22">
        <f t="shared" si="18"/>
        <v>5.0574050022240362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205.5480000480477</v>
      </c>
      <c r="EP66" s="59">
        <f t="shared" si="46"/>
        <v>229.86812144828366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3.8262554828451369</v>
      </c>
      <c r="EW66" s="21">
        <f>EXP(-LN(2)/25)*EW65+(1-EXP(-LN(2)/25))/(LN(2)/25)*Calculateur!ER66*Calculateur!ET66*VLOOKUP('Données projet'!$B$15,Paramètres!$A$1:$I$89,3,0)*0.475*44/12</f>
        <v>2.4122367814916554</v>
      </c>
      <c r="EX66" s="21">
        <f>EXP(-LN(2)/2)*EX65+(1-EXP(-LN(2)/2))/(LN(2)/2)*ER66*EU66*VLOOKUP('Données projet'!$B$15,Paramètres!$A$1:$I$89,3,0)*0.475*44/12</f>
        <v>3.191530416872937E-5</v>
      </c>
      <c r="EY66" s="22">
        <f t="shared" si="21"/>
        <v>6.2385241796409607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3.05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11.182080000000004</v>
      </c>
      <c r="D67" s="11">
        <f t="shared" si="32"/>
        <v>3.8906900097195729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44.837052936289766</v>
      </c>
      <c r="H67" s="67">
        <f t="shared" si="1"/>
        <v>238.18507443359491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</v>
      </c>
      <c r="N67" s="13">
        <f>IF('Données projet'!$A$36&gt;35,N66+M67-V66,IF(A67&lt;'Données projet'!$A$36,$K$205^A67,IF(A67='Données projet'!$A$36,'Données projet'!$B$36,N66+M67-V66)))</f>
        <v>758.99999999999966</v>
      </c>
      <c r="O67" s="13">
        <f>N67*VLOOKUP('Données projet'!$B$9,Paramètres!$A$1:$I$89,3,0)*VLOOKUP('Données projet'!$B$9,Paramètres!$A$1:$I$89,5,0)</f>
        <v>424.28099999999978</v>
      </c>
      <c r="P67" s="13">
        <f t="shared" si="33"/>
        <v>96.682255052757768</v>
      </c>
      <c r="Q67" s="20">
        <f t="shared" ref="Q67:Q98" si="54">(O67+P67)*0.475*44/12</f>
        <v>907.34433588355262</v>
      </c>
      <c r="R67" s="59">
        <f t="shared" ref="R67:R130" si="55">Q67+(I67+J67)*44/12</f>
        <v>1182.4331907008809</v>
      </c>
      <c r="S67" s="59">
        <f ca="1">AVERAGE(OFFSET($R$3,0,0,'Données projet'!$E$9+1,1))-AVERAGE(OFFSET($H$3,0,0,'Données projet'!$E$9+1,1))</f>
        <v>542.23071537860039</v>
      </c>
      <c r="T67" s="59">
        <f t="shared" si="34"/>
        <v>667.26143680054633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3.7440894876068511</v>
      </c>
      <c r="AA67" s="21">
        <f>EXP(-LN(2)/25)*AA66+(1-EXP(-LN(2)/25))/(LN(2)/25)*Calculateur!V67*Calculateur!X67*VLOOKUP('Données projet'!$B$9,Paramètres!$A$1:$I$89,3,0)*0.475*44/12</f>
        <v>16.600967638829427</v>
      </c>
      <c r="AB67" s="21">
        <f>EXP(-LN(2)/2)*AB66+(1-EXP(-LN(2)/2))/(LN(2)/2)*V67*Y67*VLOOKUP('Données projet'!$B$9,Paramètres!$A$1:$I$89,3,0)*0.475*44/12</f>
        <v>1.1000028812208284E-4</v>
      </c>
      <c r="AC67" s="22">
        <f t="shared" si="3"/>
        <v>20.345167126724398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-2.2737367544323206E-13</v>
      </c>
      <c r="AJ67" s="13">
        <f>AI67*VLOOKUP('Données projet'!$B$10,Paramètres!$A$1:$I$89,3,0)*VLOOKUP('Données projet'!$B$10,Paramètres!$A$1:$I$89,5,0)</f>
        <v>-1.2710188457276673E-13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427.83834708696861</v>
      </c>
      <c r="AO67" s="59">
        <f t="shared" si="36"/>
        <v>545.63950537101903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2.2464536925641108</v>
      </c>
      <c r="AV67" s="21">
        <f>EXP(-LN(2)/25)*AV66+(1-EXP(-LN(2)/25))/(LN(2)/25)*Calculateur!AQ67*Calculateur!AS67*VLOOKUP('Données projet'!$B$10,Paramètres!$A$1:$I$89,3,0)*0.475*44/12</f>
        <v>9.5918673477528156</v>
      </c>
      <c r="AW67" s="21">
        <f>EXP(-LN(2)/2)*AW66+(1-EXP(-LN(2)/2))/(LN(2)/2)*AQ67*AT67*VLOOKUP('Données projet'!$B$10,Paramètres!$A$1:$I$89,3,0)*0.475*44/12</f>
        <v>7.0588924888034793E-5</v>
      </c>
      <c r="AX67" s="21">
        <f t="shared" si="6"/>
        <v>11.838391629241816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7.5</v>
      </c>
      <c r="BD67" s="12">
        <f>IF('Données projet'!$A$88&gt;35,BD66+BC67-BL66,IF(A67&lt;'Données projet'!$A$88,$BA$205^A67,IF(A67='Données projet'!$A$88,'Données projet'!$B$88,BD66+BC67-BL66)))</f>
        <v>196.99999999999994</v>
      </c>
      <c r="BE67" s="13">
        <f>BD67*VLOOKUP('Données projet'!$B$11,Paramètres!$A$1:$I$89,3,0)*VLOOKUP('Données projet'!$B$11,Paramètres!$A$1:$I$89,5,0)</f>
        <v>92.19599999999997</v>
      </c>
      <c r="BF67" s="13">
        <f t="shared" si="37"/>
        <v>25.094101950594489</v>
      </c>
      <c r="BG67" s="20">
        <f t="shared" si="7"/>
        <v>204.28026089728533</v>
      </c>
      <c r="BH67" s="59">
        <f t="shared" si="8"/>
        <v>479.36911571461371</v>
      </c>
      <c r="BI67" s="59">
        <f ca="1">AVERAGE(OFFSET($BH$3,0,0,'Données projet'!$E$11+1,1))-AVERAGE(OFFSET($H$3,0,0,'Données projet'!$E$11+1,1))</f>
        <v>210.62109466714364</v>
      </c>
      <c r="BJ67" s="59">
        <f t="shared" si="38"/>
        <v>193.35729443770401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3.3290925708044679</v>
      </c>
      <c r="BQ67" s="21">
        <f>EXP(-LN(2)/25)*BQ66+(1-EXP(-LN(2)/25))/(LN(2)/25)*Calculateur!BL67*Calculateur!BN67*VLOOKUP('Données projet'!$B$11,Paramètres!$A$1:$I$89,3,0)*0.475*44/12</f>
        <v>3.1214426456355326</v>
      </c>
      <c r="BR67" s="21">
        <f>EXP(-LN(2)/2)*BR66+(1-EXP(-LN(2)/2))/(LN(2)/2)*BL67*BO67*VLOOKUP('Données projet'!$B$11,Paramètres!$A$1:$I$89,3,0)*0.475*44/12</f>
        <v>6.039414122620184E-5</v>
      </c>
      <c r="BS67" s="22">
        <f t="shared" si="9"/>
        <v>6.4505956105812263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16.625</v>
      </c>
      <c r="BY67" s="12">
        <f>IF('Données projet'!$A$114&gt;35,BY66+BX67-CG66,IF(A67&lt;'Données projet'!$A$114,$BV$205^A67,IF(A67='Données projet'!$A$114,'Données projet'!$B$114,BY66+BX67-CG66)))</f>
        <v>461.74999999999994</v>
      </c>
      <c r="BZ67" s="13">
        <f>BY67*VLOOKUP('Données projet'!$B$12,Paramètres!$A$1:$I$89,3,0)*VLOOKUP('Données projet'!$B$12,Paramètres!$A$1:$I$89,5,0)</f>
        <v>276.12649999999996</v>
      </c>
      <c r="CA67" s="13">
        <f t="shared" si="39"/>
        <v>66.147764494536574</v>
      </c>
      <c r="CB67" s="20">
        <f t="shared" si="10"/>
        <v>596.12767732798443</v>
      </c>
      <c r="CC67" s="59">
        <f t="shared" si="11"/>
        <v>871.21653214531284</v>
      </c>
      <c r="CD67" s="59">
        <f ca="1">AVERAGE(OFFSET($CC$3,0,0,'Données projet'!$E$12+1,1))-AVERAGE(OFFSET($H$3,0,0,'Données projet'!$E$12+1,1))</f>
        <v>368.16165268258442</v>
      </c>
      <c r="CE67" s="59">
        <f t="shared" si="40"/>
        <v>291.32219253157041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3.8142019897681045</v>
      </c>
      <c r="CL67" s="21">
        <f>EXP(-LN(2)/25)*CL66+(1-EXP(-LN(2)/25))/(LN(2)/25)*Calculateur!CG67*Calculateur!CI67*VLOOKUP('Données projet'!$B$12,Paramètres!$A$1:$I$89,3,0)*0.475*44/12</f>
        <v>2.5880842386396115</v>
      </c>
      <c r="CM67" s="21">
        <f>EXP(-LN(2)/2)*CM66+(1-EXP(-LN(2)/2))/(LN(2)/2)*CG67*CJ67*VLOOKUP('Données projet'!$B$12,Paramètres!$A$1:$I$89,3,0)*0.475*44/12</f>
        <v>6.0446422620208439E-5</v>
      </c>
      <c r="CN67" s="22">
        <f t="shared" si="12"/>
        <v>6.4023466748303361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1.1368683772161603E-13</v>
      </c>
      <c r="CU67" s="17">
        <f>CT67*VLOOKUP('Données projet'!$B$13,Paramètres!$A$1:$I$89,3,0)*VLOOKUP('Données projet'!$B$13,Paramètres!$A$1:$I$89,5,0)</f>
        <v>6.7984728957526396E-14</v>
      </c>
      <c r="CV67" s="13">
        <f t="shared" si="41"/>
        <v>1.0682447123141398E-12</v>
      </c>
      <c r="CW67" s="20">
        <f t="shared" si="13"/>
        <v>1.978932943548152E-12</v>
      </c>
      <c r="CX67" s="59">
        <f t="shared" si="14"/>
        <v>275.0888548173304</v>
      </c>
      <c r="CY67" s="59">
        <f ca="1">AVERAGE(OFFSET($CX$3,0,0,'Données projet'!$E$13+1,1))-AVERAGE(OFFSET($H$3,0,0,'Données projet'!$E$13+1,1))</f>
        <v>317.12995176362455</v>
      </c>
      <c r="CZ67" s="59">
        <f t="shared" si="42"/>
        <v>328.11301015275262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9.2077978711982116</v>
      </c>
      <c r="DG67" s="21">
        <f>EXP(-LN(2)/25)*DG66+(1-EXP(-LN(2)/25))/(LN(2)/25)*Calculateur!DB67*Calculateur!DD67*VLOOKUP('Données projet'!$B$13,Paramètres!$A$1:$I$89,3,0)*0.475*44/12</f>
        <v>6.2824106831260753</v>
      </c>
      <c r="DH67" s="21">
        <f>EXP(-LN(2)/2)*DH66+(1-EXP(-LN(2)/2))/(LN(2)/2)*DB67*DE67*VLOOKUP('Données projet'!$B$13,Paramètres!$A$1:$I$89,3,0)*0.475*44/12</f>
        <v>4.3803281281570532E-5</v>
      </c>
      <c r="DI67" s="22">
        <f t="shared" si="15"/>
        <v>15.490252357605568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5.2</v>
      </c>
      <c r="DO67" s="12">
        <f>IF('Données projet'!$A$166&gt;35,DO66+DN67-DW66,IF(A67&lt;'Données projet'!$A$166,$DL$205^A67,IF(A67='Données projet'!$A$166,'Données projet'!$B$166,DO66+DN67-DW66)))</f>
        <v>218.79999999999998</v>
      </c>
      <c r="DP67" s="17">
        <f>DO67*VLOOKUP('Données projet'!$B$14,Paramètres!$A$1:$I$89,3,0)*VLOOKUP('Données projet'!$B$14,Paramètres!$A$1:$I$89,5,0)</f>
        <v>191.14368000000002</v>
      </c>
      <c r="DQ67" s="13">
        <f t="shared" si="43"/>
        <v>47.792715878069586</v>
      </c>
      <c r="DR67" s="20">
        <f t="shared" si="16"/>
        <v>416.14755615430454</v>
      </c>
      <c r="DS67" s="59">
        <f t="shared" si="17"/>
        <v>691.23641097163295</v>
      </c>
      <c r="DT67" s="59">
        <f ca="1">AVERAGE(OFFSET($DS$3,0,0,'Données projet'!$E$14+1,1))-AVERAGE(OFFSET($H$3,0,0,'Données projet'!$E$14+1,1))</f>
        <v>325.5873213944476</v>
      </c>
      <c r="DU67" s="59">
        <f t="shared" si="44"/>
        <v>347.9042278368363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1.4933468960423526</v>
      </c>
      <c r="EB67" s="21">
        <f>EXP(-LN(2)/25)*EB66+(1-EXP(-LN(2)/25))/(LN(2)/25)*Calculateur!DW67*Calculateur!DY67*VLOOKUP('Données projet'!$B$14,Paramètres!$A$1:$I$89,3,0)*0.475*44/12</f>
        <v>3.4374207792025198</v>
      </c>
      <c r="EC67" s="21">
        <f>EXP(-LN(2)/2)*EC66+(1-EXP(-LN(2)/2))/(LN(2)/2)*DW67*DZ67*VLOOKUP('Données projet'!$B$14,Paramètres!$A$1:$I$89,3,0)*0.475*44/12</f>
        <v>9.1169896212337206E-5</v>
      </c>
      <c r="ED67" s="22">
        <f t="shared" si="18"/>
        <v>4.9308588451410849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205.5480000480477</v>
      </c>
      <c r="EP67" s="59">
        <f t="shared" si="46"/>
        <v>229.86812144828366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3.7512249466119463</v>
      </c>
      <c r="EW67" s="21">
        <f>EXP(-LN(2)/25)*EW66+(1-EXP(-LN(2)/25))/(LN(2)/25)*Calculateur!ER67*Calculateur!ET67*VLOOKUP('Données projet'!$B$15,Paramètres!$A$1:$I$89,3,0)*0.475*44/12</f>
        <v>2.3462740398477471</v>
      </c>
      <c r="EX67" s="21">
        <f>EXP(-LN(2)/2)*EX66+(1-EXP(-LN(2)/2))/(LN(2)/2)*ER67*EU67*VLOOKUP('Données projet'!$B$15,Paramètres!$A$1:$I$89,3,0)*0.475*44/12</f>
        <v>2.2567528001339827E-5</v>
      </c>
      <c r="EY67" s="22">
        <f t="shared" si="21"/>
        <v>6.0975215539876944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3.05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11.356800000000005</v>
      </c>
      <c r="D68" s="11">
        <f t="shared" si="32"/>
        <v>3.9443572825295625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45.401209568073035</v>
      </c>
      <c r="H68" s="67">
        <f t="shared" ref="H68:H131" si="56">(B68+E68+F68)*44/12+(C68+D68)*0.475*44/12</f>
        <v>238.58284893373897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769</v>
      </c>
      <c r="L68" s="12">
        <f>VLOOKUP(A68,'Données projet'!$A$35:$I$55,9,0)</f>
        <v>10</v>
      </c>
      <c r="M68" s="12">
        <f t="array" ref="M68">INDEX(L:L,MIN(IF(ISNUMBER(L68:L264),ROW(L68:L264),"")))</f>
        <v>10</v>
      </c>
      <c r="N68" s="13">
        <f>IF('Données projet'!$A$36&gt;35,N67+M68-V67,IF(A68&lt;'Données projet'!$A$36,$K$205^A68,IF(A68='Données projet'!$A$36,'Données projet'!$B$36,N67+M68-V67)))</f>
        <v>768.99999999999966</v>
      </c>
      <c r="O68" s="13">
        <f>N68*VLOOKUP('Données projet'!$B$9,Paramètres!$A$1:$I$89,3,0)*VLOOKUP('Données projet'!$B$9,Paramètres!$A$1:$I$89,5,0)</f>
        <v>429.87099999999981</v>
      </c>
      <c r="P68" s="13">
        <f t="shared" si="33"/>
        <v>97.806935594587088</v>
      </c>
      <c r="Q68" s="20">
        <f t="shared" si="54"/>
        <v>919.03907116057201</v>
      </c>
      <c r="R68" s="59">
        <f t="shared" si="55"/>
        <v>1194.4444268916097</v>
      </c>
      <c r="S68" s="59">
        <f ca="1">AVERAGE(OFFSET($R$3,0,0,'Données projet'!$E$9+1,1))-AVERAGE(OFFSET($H$3,0,0,'Données projet'!$E$9+1,1))</f>
        <v>542.23071537860039</v>
      </c>
      <c r="T68" s="59">
        <f t="shared" si="34"/>
        <v>667.26143680054633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769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3.6706701764239744</v>
      </c>
      <c r="AA68" s="21">
        <f>EXP(-LN(2)/25)*AA67+(1-EXP(-LN(2)/25))/(LN(2)/25)*Calculateur!V68*Calculateur!X68*VLOOKUP('Données projet'!$B$9,Paramètres!$A$1:$I$89,3,0)*0.475*44/12</f>
        <v>16.147013305738689</v>
      </c>
      <c r="AB68" s="21">
        <f>EXP(-LN(2)/2)*AB67+(1-EXP(-LN(2)/2))/(LN(2)/2)*V68*Y68*VLOOKUP('Données projet'!$B$9,Paramètres!$A$1:$I$89,3,0)*0.475*44/12</f>
        <v>7.778194966359881E-5</v>
      </c>
      <c r="AC68" s="22">
        <f t="shared" ref="AC68:AC131" si="57">SUM(Z68:AB68)</f>
        <v>19.817761264112328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-2.2737367544323206E-13</v>
      </c>
      <c r="AJ68" s="13">
        <f>AI68*VLOOKUP('Données projet'!$B$10,Paramètres!$A$1:$I$89,3,0)*VLOOKUP('Données projet'!$B$10,Paramètres!$A$1:$I$89,5,0)</f>
        <v>-1.2710188457276673E-13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427.83834708696861</v>
      </c>
      <c r="AO68" s="59">
        <f t="shared" si="36"/>
        <v>545.63950537101903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2.202402105854385</v>
      </c>
      <c r="AV68" s="21">
        <f>EXP(-LN(2)/25)*AV67+(1-EXP(-LN(2)/25))/(LN(2)/25)*Calculateur!AQ68*Calculateur!AS68*VLOOKUP('Données projet'!$B$10,Paramètres!$A$1:$I$89,3,0)*0.475*44/12</f>
        <v>9.3295772307141327</v>
      </c>
      <c r="AW68" s="21">
        <f>EXP(-LN(2)/2)*AW67+(1-EXP(-LN(2)/2))/(LN(2)/2)*AQ68*AT68*VLOOKUP('Données projet'!$B$10,Paramètres!$A$1:$I$89,3,0)*0.475*44/12</f>
        <v>4.9913907464997258E-5</v>
      </c>
      <c r="AX68" s="21">
        <f t="shared" ref="AX68:AX131" si="60">SUM(AU68:AW68)</f>
        <v>11.532029250475983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7.5</v>
      </c>
      <c r="BD68" s="12">
        <f>IF('Données projet'!$A$88&gt;35,BD67+BC68-BL67,IF(A68&lt;'Données projet'!$A$88,$BA$205^A68,IF(A68='Données projet'!$A$88,'Données projet'!$B$88,BD67+BC68-BL67)))</f>
        <v>204.49999999999994</v>
      </c>
      <c r="BE68" s="13">
        <f>BD68*VLOOKUP('Données projet'!$B$11,Paramètres!$A$1:$I$89,3,0)*VLOOKUP('Données projet'!$B$11,Paramètres!$A$1:$I$89,5,0)</f>
        <v>95.705999999999975</v>
      </c>
      <c r="BF68" s="13">
        <f t="shared" si="37"/>
        <v>25.936412902008851</v>
      </c>
      <c r="BG68" s="20">
        <f t="shared" ref="BG68:BG131" si="61">(BE68+BF68)*0.475*44/12</f>
        <v>211.86053580433205</v>
      </c>
      <c r="BH68" s="59">
        <f t="shared" ref="BH68:BH131" si="62">BG68+(AY68+AZ68)*44/12</f>
        <v>487.26589153536975</v>
      </c>
      <c r="BI68" s="59">
        <f ca="1">AVERAGE(OFFSET($BH$3,0,0,'Données projet'!$E$11+1,1))-AVERAGE(OFFSET($H$3,0,0,'Données projet'!$E$11+1,1))</f>
        <v>210.62109466714364</v>
      </c>
      <c r="BJ68" s="59">
        <f t="shared" si="38"/>
        <v>193.35729443770401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3.2638110960369606</v>
      </c>
      <c r="BQ68" s="21">
        <f>EXP(-LN(2)/25)*BQ67+(1-EXP(-LN(2)/25))/(LN(2)/25)*Calculateur!BL68*Calculateur!BN68*VLOOKUP('Données projet'!$B$11,Paramètres!$A$1:$I$89,3,0)*0.475*44/12</f>
        <v>3.0360866323410942</v>
      </c>
      <c r="BR68" s="21">
        <f>EXP(-LN(2)/2)*BR67+(1-EXP(-LN(2)/2))/(LN(2)/2)*BL68*BO68*VLOOKUP('Données projet'!$B$11,Paramètres!$A$1:$I$89,3,0)*0.475*44/12</f>
        <v>4.270510680498536E-5</v>
      </c>
      <c r="BS68" s="22">
        <f t="shared" ref="BS68:BS131" si="63">SUM(BP68:BR68)</f>
        <v>6.299940433484859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16.625</v>
      </c>
      <c r="BY68" s="12">
        <f>IF('Données projet'!$A$114&gt;35,BY67+BX68-CG67,IF(A68&lt;'Données projet'!$A$114,$BV$205^A68,IF(A68='Données projet'!$A$114,'Données projet'!$B$114,BY67+BX68-CG67)))</f>
        <v>478.37499999999994</v>
      </c>
      <c r="BZ68" s="13">
        <f>BY68*VLOOKUP('Données projet'!$B$12,Paramètres!$A$1:$I$89,3,0)*VLOOKUP('Données projet'!$B$12,Paramètres!$A$1:$I$89,5,0)</f>
        <v>286.06824999999998</v>
      </c>
      <c r="CA68" s="13">
        <f t="shared" si="39"/>
        <v>68.247799922382825</v>
      </c>
      <c r="CB68" s="20">
        <f t="shared" ref="CB68:CB131" si="64">(BZ68+CA68)*0.475*44/12</f>
        <v>617.10045361481673</v>
      </c>
      <c r="CC68" s="59">
        <f t="shared" ref="CC68:CC131" si="65">CB68+(BT68+BU68)*44/12</f>
        <v>892.50580934585446</v>
      </c>
      <c r="CD68" s="59">
        <f ca="1">AVERAGE(OFFSET($CC$3,0,0,'Données projet'!$E$12+1,1))-AVERAGE(OFFSET($H$3,0,0,'Données projet'!$E$12+1,1))</f>
        <v>368.16165268258442</v>
      </c>
      <c r="CE68" s="59">
        <f t="shared" si="40"/>
        <v>291.32219253157041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3.7394078151822496</v>
      </c>
      <c r="CL68" s="21">
        <f>EXP(-LN(2)/25)*CL67+(1-EXP(-LN(2)/25))/(LN(2)/25)*Calculateur!CG68*Calculateur!CI68*VLOOKUP('Données projet'!$B$12,Paramètres!$A$1:$I$89,3,0)*0.475*44/12</f>
        <v>2.5173129390325761</v>
      </c>
      <c r="CM68" s="21">
        <f>EXP(-LN(2)/2)*CM67+(1-EXP(-LN(2)/2))/(LN(2)/2)*CG68*CJ68*VLOOKUP('Données projet'!$B$12,Paramètres!$A$1:$I$89,3,0)*0.475*44/12</f>
        <v>4.274207533321731E-5</v>
      </c>
      <c r="CN68" s="22">
        <f t="shared" ref="CN68:CN131" si="66">SUM(CK68:CM68)</f>
        <v>6.2567634962901586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1.1368683772161603E-13</v>
      </c>
      <c r="CU68" s="17">
        <f>CT68*VLOOKUP('Données projet'!$B$13,Paramètres!$A$1:$I$89,3,0)*VLOOKUP('Données projet'!$B$13,Paramètres!$A$1:$I$89,5,0)</f>
        <v>6.7984728957526396E-14</v>
      </c>
      <c r="CV68" s="13">
        <f t="shared" si="41"/>
        <v>1.0682447123141398E-12</v>
      </c>
      <c r="CW68" s="20">
        <f t="shared" ref="CW68:CW131" si="67">(CU68+CV68)*0.475*44/12</f>
        <v>1.978932943548152E-12</v>
      </c>
      <c r="CX68" s="59">
        <f t="shared" ref="CX68:CX131" si="68">CW68+(CO68+CP68)*44/12</f>
        <v>275.40535573103966</v>
      </c>
      <c r="CY68" s="59">
        <f ca="1">AVERAGE(OFFSET($CX$3,0,0,'Données projet'!$E$13+1,1))-AVERAGE(OFFSET($H$3,0,0,'Données projet'!$E$13+1,1))</f>
        <v>317.12995176362455</v>
      </c>
      <c r="CZ68" s="59">
        <f t="shared" si="42"/>
        <v>328.11301015275262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9.027238571146162</v>
      </c>
      <c r="DG68" s="21">
        <f>EXP(-LN(2)/25)*DG67+(1-EXP(-LN(2)/25))/(LN(2)/25)*Calculateur!DB68*Calculateur!DD68*VLOOKUP('Données projet'!$B$13,Paramètres!$A$1:$I$89,3,0)*0.475*44/12</f>
        <v>6.1106178326183738</v>
      </c>
      <c r="DH68" s="21">
        <f>EXP(-LN(2)/2)*DH67+(1-EXP(-LN(2)/2))/(LN(2)/2)*DB68*DE68*VLOOKUP('Données projet'!$B$13,Paramètres!$A$1:$I$89,3,0)*0.475*44/12</f>
        <v>3.0973597232420287E-5</v>
      </c>
      <c r="DI68" s="22">
        <f t="shared" ref="DI68:DI131" si="69">SUM(DF68:DH68)</f>
        <v>15.137887377361768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224</v>
      </c>
      <c r="DM68" s="12">
        <f>VLOOKUP(A68,'Données projet'!$A$165:$I$185,9,0)</f>
        <v>5.2</v>
      </c>
      <c r="DN68" s="12">
        <f t="array" ref="DN68">INDEX(DM:DM,MIN(IF(ISNUMBER(DM68:DM264),ROW(DM68:DM264),"")))</f>
        <v>5.2</v>
      </c>
      <c r="DO68" s="12">
        <f>IF('Données projet'!$A$166&gt;35,DO67+DN68-DW67,IF(A68&lt;'Données projet'!$A$166,$DL$205^A68,IF(A68='Données projet'!$A$166,'Données projet'!$B$166,DO67+DN68-DW67)))</f>
        <v>223.99999999999997</v>
      </c>
      <c r="DP68" s="17">
        <f>DO68*VLOOKUP('Données projet'!$B$14,Paramètres!$A$1:$I$89,3,0)*VLOOKUP('Données projet'!$B$14,Paramètres!$A$1:$I$89,5,0)</f>
        <v>195.68639999999999</v>
      </c>
      <c r="DQ68" s="13">
        <f t="shared" si="43"/>
        <v>48.794969360985156</v>
      </c>
      <c r="DR68" s="20">
        <f t="shared" ref="DR68:DR131" si="70">(DP68+DQ68)*0.475*44/12</f>
        <v>425.80505163704908</v>
      </c>
      <c r="DS68" s="59">
        <f t="shared" ref="DS68:DS131" si="71">DR68+(DJ68+DK68)*44/12</f>
        <v>701.21040736808675</v>
      </c>
      <c r="DT68" s="59">
        <f ca="1">AVERAGE(OFFSET($DS$3,0,0,'Données projet'!$E$14+1,1))-AVERAGE(OFFSET($H$3,0,0,'Données projet'!$E$14+1,1))</f>
        <v>325.5873213944476</v>
      </c>
      <c r="DU68" s="59">
        <f t="shared" si="44"/>
        <v>347.9042278368363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20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1.4640632742626296</v>
      </c>
      <c r="EB68" s="21">
        <f>EXP(-LN(2)/25)*EB67+(1-EXP(-LN(2)/25))/(LN(2)/25)*Calculateur!DW68*Calculateur!DY68*VLOOKUP('Données projet'!$B$14,Paramètres!$A$1:$I$89,3,0)*0.475*44/12</f>
        <v>3.3434243272291244</v>
      </c>
      <c r="EC68" s="21">
        <f>EXP(-LN(2)/2)*EC67+(1-EXP(-LN(2)/2))/(LN(2)/2)*DW68*DZ68*VLOOKUP('Données projet'!$B$14,Paramètres!$A$1:$I$89,3,0)*0.475*44/12</f>
        <v>6.4466851851817373E-5</v>
      </c>
      <c r="ED68" s="22">
        <f t="shared" ref="ED68:ED131" si="72">SUM(EA68:EC68)</f>
        <v>4.8075520683436057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205.5480000480477</v>
      </c>
      <c r="EP68" s="59">
        <f t="shared" si="46"/>
        <v>229.86812144828366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3.67766571343018</v>
      </c>
      <c r="EW68" s="21">
        <f>EXP(-LN(2)/25)*EW67+(1-EXP(-LN(2)/25))/(LN(2)/25)*Calculateur!ER68*Calculateur!ET68*VLOOKUP('Données projet'!$B$15,Paramètres!$A$1:$I$89,3,0)*0.475*44/12</f>
        <v>2.2821150528429213</v>
      </c>
      <c r="EX68" s="21">
        <f>EXP(-LN(2)/2)*EX67+(1-EXP(-LN(2)/2))/(LN(2)/2)*ER68*EU68*VLOOKUP('Données projet'!$B$15,Paramètres!$A$1:$I$89,3,0)*0.475*44/12</f>
        <v>1.5957652084364685E-5</v>
      </c>
      <c r="EY68" s="22">
        <f t="shared" ref="EY68:EY131" si="75">SUM(EV68:EX68)</f>
        <v>5.9597967239251854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3.05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11.531520000000006</v>
      </c>
      <c r="D69" s="11">
        <f t="shared" ref="D69:D132" si="86">IFERROR(EXP(-1.0587+0.8836*LN(C69)+0.284),0)</f>
        <v>3.9979285316339106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45.965129004457111</v>
      </c>
      <c r="H69" s="67">
        <f t="shared" si="56"/>
        <v>238.98045619259571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-3.4106051316484809E-13</v>
      </c>
      <c r="O69" s="13">
        <f>N69*VLOOKUP('Données projet'!$B$9,Paramètres!$A$1:$I$89,3,0)*VLOOKUP('Données projet'!$B$9,Paramètres!$A$1:$I$89,5,0)</f>
        <v>-1.9065282685915009E-13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542.23071537860039</v>
      </c>
      <c r="T69" s="59">
        <f t="shared" ref="T69:T132" si="88">$T$3</f>
        <v>667.26143680054633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3.598690573152036</v>
      </c>
      <c r="AA69" s="21">
        <f>EXP(-LN(2)/25)*AA68+(1-EXP(-LN(2)/25))/(LN(2)/25)*Calculateur!V69*Calculateur!X69*VLOOKUP('Données projet'!$B$9,Paramètres!$A$1:$I$89,3,0)*0.475*44/12</f>
        <v>15.705472377758738</v>
      </c>
      <c r="AB69" s="21">
        <f>EXP(-LN(2)/2)*AB68+(1-EXP(-LN(2)/2))/(LN(2)/2)*V69*Y69*VLOOKUP('Données projet'!$B$9,Paramètres!$A$1:$I$89,3,0)*0.475*44/12</f>
        <v>5.5000144061041418E-5</v>
      </c>
      <c r="AC69" s="22">
        <f t="shared" si="57"/>
        <v>19.304217951054838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-2.2737367544323206E-13</v>
      </c>
      <c r="AJ69" s="13">
        <f>AI69*VLOOKUP('Données projet'!$B$10,Paramètres!$A$1:$I$89,3,0)*VLOOKUP('Données projet'!$B$10,Paramètres!$A$1:$I$89,5,0)</f>
        <v>-1.2710188457276673E-13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427.83834708696861</v>
      </c>
      <c r="AO69" s="59">
        <f t="shared" ref="AO69:AO132" si="90">$AO$3</f>
        <v>545.63950537101903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2.1592143438912221</v>
      </c>
      <c r="AV69" s="21">
        <f>EXP(-LN(2)/25)*AV68+(1-EXP(-LN(2)/25))/(LN(2)/25)*Calculateur!AQ69*Calculateur!AS69*VLOOKUP('Données projet'!$B$10,Paramètres!$A$1:$I$89,3,0)*0.475*44/12</f>
        <v>9.074459450719111</v>
      </c>
      <c r="AW69" s="21">
        <f>EXP(-LN(2)/2)*AW68+(1-EXP(-LN(2)/2))/(LN(2)/2)*AQ69*AT69*VLOOKUP('Données projet'!$B$10,Paramètres!$A$1:$I$89,3,0)*0.475*44/12</f>
        <v>3.5294462444017397E-5</v>
      </c>
      <c r="AX69" s="21">
        <f t="shared" si="60"/>
        <v>11.233709089072777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7.5</v>
      </c>
      <c r="BD69" s="12">
        <f>IF('Données projet'!$A$88&gt;35,BD68+BC69-BL68,IF(A69&lt;'Données projet'!$A$88,$BA$205^A69,IF(A69='Données projet'!$A$88,'Données projet'!$B$88,BD68+BC69-BL68)))</f>
        <v>211.99999999999994</v>
      </c>
      <c r="BE69" s="13">
        <f>BD69*VLOOKUP('Données projet'!$B$11,Paramètres!$A$1:$I$89,3,0)*VLOOKUP('Données projet'!$B$11,Paramètres!$A$1:$I$89,5,0)</f>
        <v>99.21599999999998</v>
      </c>
      <c r="BF69" s="13">
        <f t="shared" ref="BF69:BF132" si="91">EXP(-1.0587+0.8836*LN(BE69)+0.284)</f>
        <v>26.775134885576414</v>
      </c>
      <c r="BG69" s="20">
        <f t="shared" si="61"/>
        <v>219.43455992571219</v>
      </c>
      <c r="BH69" s="59">
        <f t="shared" si="62"/>
        <v>495.15092598719627</v>
      </c>
      <c r="BI69" s="59">
        <f ca="1">AVERAGE(OFFSET($BH$3,0,0,'Données projet'!$E$11+1,1))-AVERAGE(OFFSET($H$3,0,0,'Données projet'!$E$11+1,1))</f>
        <v>210.62109466714364</v>
      </c>
      <c r="BJ69" s="59">
        <f t="shared" ref="BJ69:BJ132" si="92">$BJ$3</f>
        <v>193.35729443770401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3.1998097511718764</v>
      </c>
      <c r="BQ69" s="21">
        <f>EXP(-LN(2)/25)*BQ68+(1-EXP(-LN(2)/25))/(LN(2)/25)*Calculateur!BL69*Calculateur!BN69*VLOOKUP('Données projet'!$B$11,Paramètres!$A$1:$I$89,3,0)*0.475*44/12</f>
        <v>2.9530646837188699</v>
      </c>
      <c r="BR69" s="21">
        <f>EXP(-LN(2)/2)*BR68+(1-EXP(-LN(2)/2))/(LN(2)/2)*BL69*BO69*VLOOKUP('Données projet'!$B$11,Paramètres!$A$1:$I$89,3,0)*0.475*44/12</f>
        <v>3.0197070613100927E-5</v>
      </c>
      <c r="BS69" s="22">
        <f t="shared" si="63"/>
        <v>6.1529046319613592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495</v>
      </c>
      <c r="BW69" s="12">
        <f>VLOOKUP(A69,'Données projet'!$A$113:$I$133,9,0)</f>
        <v>16.625</v>
      </c>
      <c r="BX69" s="12">
        <f t="array" ref="BX69">INDEX(BW:BW,MIN(IF(ISNUMBER(BW69:BW265),ROW(BW69:BW265),"")))</f>
        <v>16.625</v>
      </c>
      <c r="BY69" s="12">
        <f>IF('Données projet'!$A$114&gt;35,BY68+BX69-CG68,IF(A69&lt;'Données projet'!$A$114,$BV$205^A69,IF(A69='Données projet'!$A$114,'Données projet'!$B$114,BY68+BX69-CG68)))</f>
        <v>494.99999999999994</v>
      </c>
      <c r="BZ69" s="13">
        <f>BY69*VLOOKUP('Données projet'!$B$12,Paramètres!$A$1:$I$89,3,0)*VLOOKUP('Données projet'!$B$12,Paramètres!$A$1:$I$89,5,0)</f>
        <v>296.01</v>
      </c>
      <c r="CA69" s="13">
        <f t="shared" ref="CA69:CA132" si="93">EXP(-1.0587+0.8836*LN(BZ69)+0.284)</f>
        <v>70.339355522692159</v>
      </c>
      <c r="CB69" s="20">
        <f t="shared" si="64"/>
        <v>638.05846086868871</v>
      </c>
      <c r="CC69" s="59">
        <f t="shared" si="65"/>
        <v>913.77482693017282</v>
      </c>
      <c r="CD69" s="59">
        <f ca="1">AVERAGE(OFFSET($CC$3,0,0,'Données projet'!$E$12+1,1))-AVERAGE(OFFSET($H$3,0,0,'Données projet'!$E$12+1,1))</f>
        <v>368.16165268258442</v>
      </c>
      <c r="CE69" s="59">
        <f t="shared" ref="CE69:CE132" si="94">$CE$3</f>
        <v>291.32219253157041</v>
      </c>
      <c r="CF69" s="15">
        <f>IF(ISNA(VLOOKUP(A69,'Données projet'!$A$113:$I$133,3,0)),0,VLOOKUP(A69,'Données projet'!$A$113:$I$133,3,0))</f>
        <v>9</v>
      </c>
      <c r="CG69" s="15">
        <f>IF(ISNA(VLOOKUP(A69,'Données projet'!$A$113:$I$133,4,0)),0,VLOOKUP(A69,'Données projet'!$A$113:$I$133,4,0))</f>
        <v>65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3.6660803087400815</v>
      </c>
      <c r="CL69" s="21">
        <f>EXP(-LN(2)/25)*CL68+(1-EXP(-LN(2)/25))/(LN(2)/25)*Calculateur!CG69*Calculateur!CI69*VLOOKUP('Données projet'!$B$12,Paramètres!$A$1:$I$89,3,0)*0.475*44/12</f>
        <v>2.4484768843349962</v>
      </c>
      <c r="CM69" s="21">
        <f>EXP(-LN(2)/2)*CM68+(1-EXP(-LN(2)/2))/(LN(2)/2)*CG69*CJ69*VLOOKUP('Données projet'!$B$12,Paramètres!$A$1:$I$89,3,0)*0.475*44/12</f>
        <v>3.0223211310104226E-5</v>
      </c>
      <c r="CN69" s="22">
        <f t="shared" si="66"/>
        <v>6.1145874162863878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1.1368683772161603E-13</v>
      </c>
      <c r="CU69" s="17">
        <f>CT69*VLOOKUP('Données projet'!$B$13,Paramètres!$A$1:$I$89,3,0)*VLOOKUP('Données projet'!$B$13,Paramètres!$A$1:$I$89,5,0)</f>
        <v>6.7984728957526396E-14</v>
      </c>
      <c r="CV69" s="13">
        <f t="shared" ref="CV69:CV132" si="95">EXP(-1.0587+0.8836*LN(CU69)+0.284)</f>
        <v>1.0682447123141398E-12</v>
      </c>
      <c r="CW69" s="20">
        <f t="shared" si="67"/>
        <v>1.978932943548152E-12</v>
      </c>
      <c r="CX69" s="59">
        <f t="shared" si="68"/>
        <v>275.7163660614861</v>
      </c>
      <c r="CY69" s="59">
        <f ca="1">AVERAGE(OFFSET($CX$3,0,0,'Données projet'!$E$13+1,1))-AVERAGE(OFFSET($H$3,0,0,'Données projet'!$E$13+1,1))</f>
        <v>317.12995176362455</v>
      </c>
      <c r="CZ69" s="59">
        <f t="shared" ref="CZ69:CZ132" si="96">$CZ$3</f>
        <v>328.11301015275262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8.8502199288378343</v>
      </c>
      <c r="DG69" s="21">
        <f>EXP(-LN(2)/25)*DG68+(1-EXP(-LN(2)/25))/(LN(2)/25)*Calculateur!DB69*Calculateur!DD69*VLOOKUP('Données projet'!$B$13,Paramètres!$A$1:$I$89,3,0)*0.475*44/12</f>
        <v>5.9435226666419982</v>
      </c>
      <c r="DH69" s="21">
        <f>EXP(-LN(2)/2)*DH68+(1-EXP(-LN(2)/2))/(LN(2)/2)*DB69*DE69*VLOOKUP('Données projet'!$B$13,Paramètres!$A$1:$I$89,3,0)*0.475*44/12</f>
        <v>2.1901640640785266E-5</v>
      </c>
      <c r="DI69" s="22">
        <f t="shared" si="69"/>
        <v>14.793764497120474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4.5999999999999996</v>
      </c>
      <c r="DO69" s="12">
        <f>IF('Données projet'!$A$166&gt;35,DO68+DN69-DW68,IF(A69&lt;'Données projet'!$A$166,$DL$205^A69,IF(A69='Données projet'!$A$166,'Données projet'!$B$166,DO68+DN69-DW68)))</f>
        <v>208.59999999999997</v>
      </c>
      <c r="DP69" s="17">
        <f>DO69*VLOOKUP('Données projet'!$B$14,Paramètres!$A$1:$I$89,3,0)*VLOOKUP('Données projet'!$B$14,Paramètres!$A$1:$I$89,5,0)</f>
        <v>182.23295999999999</v>
      </c>
      <c r="DQ69" s="13">
        <f t="shared" ref="DQ69:DQ132" si="97">EXP(-1.0587+0.8836*LN(DP69)+0.284)</f>
        <v>45.818621592366291</v>
      </c>
      <c r="DR69" s="20">
        <f t="shared" si="70"/>
        <v>397.18983794003793</v>
      </c>
      <c r="DS69" s="59">
        <f t="shared" si="71"/>
        <v>672.90620400152204</v>
      </c>
      <c r="DT69" s="59">
        <f ca="1">AVERAGE(OFFSET($DS$3,0,0,'Données projet'!$E$14+1,1))-AVERAGE(OFFSET($H$3,0,0,'Données projet'!$E$14+1,1))</f>
        <v>325.5873213944476</v>
      </c>
      <c r="DU69" s="59">
        <f t="shared" ref="DU69:DU132" si="98">$DU$3</f>
        <v>347.9042278368363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1.4353538864447613</v>
      </c>
      <c r="EB69" s="21">
        <f>EXP(-LN(2)/25)*EB68+(1-EXP(-LN(2)/25))/(LN(2)/25)*Calculateur!DW69*Calculateur!DY69*VLOOKUP('Données projet'!$B$14,Paramètres!$A$1:$I$89,3,0)*0.475*44/12</f>
        <v>3.2519982131780001</v>
      </c>
      <c r="EC69" s="21">
        <f>EXP(-LN(2)/2)*EC68+(1-EXP(-LN(2)/2))/(LN(2)/2)*DW69*DZ69*VLOOKUP('Données projet'!$B$14,Paramètres!$A$1:$I$89,3,0)*0.475*44/12</f>
        <v>4.5584948106168603E-5</v>
      </c>
      <c r="ED69" s="22">
        <f t="shared" si="72"/>
        <v>4.6873976845708674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205.5480000480477</v>
      </c>
      <c r="EP69" s="59">
        <f t="shared" ref="EP69:EP132" si="100">$EP$3</f>
        <v>229.86812144828366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3.6055489319444063</v>
      </c>
      <c r="EW69" s="21">
        <f>EXP(-LN(2)/25)*EW68+(1-EXP(-LN(2)/25))/(LN(2)/25)*Calculateur!ER69*Calculateur!ET69*VLOOKUP('Données projet'!$B$15,Paramètres!$A$1:$I$89,3,0)*0.475*44/12</f>
        <v>2.2197104967117167</v>
      </c>
      <c r="EX69" s="21">
        <f>EXP(-LN(2)/2)*EX68+(1-EXP(-LN(2)/2))/(LN(2)/2)*ER69*EU69*VLOOKUP('Données projet'!$B$15,Paramètres!$A$1:$I$89,3,0)*0.475*44/12</f>
        <v>1.1283764000669913E-5</v>
      </c>
      <c r="EY69" s="22">
        <f t="shared" si="75"/>
        <v>5.8252707124201235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3.05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11.706240000000006</v>
      </c>
      <c r="D70" s="11">
        <f t="shared" si="86"/>
        <v>4.051405379981734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46.528815254411036</v>
      </c>
      <c r="H70" s="67">
        <f t="shared" si="56"/>
        <v>239.37789903680149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-3.4106051316484809E-13</v>
      </c>
      <c r="O70" s="13">
        <f>N70*VLOOKUP('Données projet'!$B$9,Paramètres!$A$1:$I$89,3,0)*VLOOKUP('Données projet'!$B$9,Paramètres!$A$1:$I$89,5,0)</f>
        <v>-1.9065282685915009E-13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542.23071537860039</v>
      </c>
      <c r="T70" s="59">
        <f t="shared" si="88"/>
        <v>667.26143680054633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3.5281224459970373</v>
      </c>
      <c r="AA70" s="21">
        <f>EXP(-LN(2)/25)*AA69+(1-EXP(-LN(2)/25))/(LN(2)/25)*Calculateur!V70*Calculateur!X70*VLOOKUP('Données projet'!$B$9,Paramètres!$A$1:$I$89,3,0)*0.475*44/12</f>
        <v>15.276005409674029</v>
      </c>
      <c r="AB70" s="21">
        <f>EXP(-LN(2)/2)*AB69+(1-EXP(-LN(2)/2))/(LN(2)/2)*V70*Y70*VLOOKUP('Données projet'!$B$9,Paramètres!$A$1:$I$89,3,0)*0.475*44/12</f>
        <v>3.8890974831799405E-5</v>
      </c>
      <c r="AC70" s="22">
        <f t="shared" si="57"/>
        <v>18.804166746645897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-2.2737367544323206E-13</v>
      </c>
      <c r="AJ70" s="13">
        <f>AI70*VLOOKUP('Données projet'!$B$10,Paramètres!$A$1:$I$89,3,0)*VLOOKUP('Données projet'!$B$10,Paramètres!$A$1:$I$89,5,0)</f>
        <v>-1.2710188457276673E-13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427.83834708696861</v>
      </c>
      <c r="AO70" s="59">
        <f t="shared" si="90"/>
        <v>545.63950537101903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2.1168734675982228</v>
      </c>
      <c r="AV70" s="21">
        <f>EXP(-LN(2)/25)*AV69+(1-EXP(-LN(2)/25))/(LN(2)/25)*Calculateur!AQ70*Calculateur!AS70*VLOOKUP('Données projet'!$B$10,Paramètres!$A$1:$I$89,3,0)*0.475*44/12</f>
        <v>8.8263178798341144</v>
      </c>
      <c r="AW70" s="21">
        <f>EXP(-LN(2)/2)*AW69+(1-EXP(-LN(2)/2))/(LN(2)/2)*AQ70*AT70*VLOOKUP('Données projet'!$B$10,Paramètres!$A$1:$I$89,3,0)*0.475*44/12</f>
        <v>2.4956953732498629E-5</v>
      </c>
      <c r="AX70" s="21">
        <f t="shared" si="60"/>
        <v>10.94321630438607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7.5</v>
      </c>
      <c r="BD70" s="12">
        <f>IF('Données projet'!$A$88&gt;35,BD69+BC70-BL69,IF(A70&lt;'Données projet'!$A$88,$BA$205^A70,IF(A70='Données projet'!$A$88,'Données projet'!$B$88,BD69+BC70-BL69)))</f>
        <v>219.49999999999994</v>
      </c>
      <c r="BE70" s="13">
        <f>BD70*VLOOKUP('Données projet'!$B$11,Paramètres!$A$1:$I$89,3,0)*VLOOKUP('Données projet'!$B$11,Paramètres!$A$1:$I$89,5,0)</f>
        <v>102.72599999999998</v>
      </c>
      <c r="BF70" s="13">
        <f t="shared" si="91"/>
        <v>27.610409417164195</v>
      </c>
      <c r="BG70" s="20">
        <f t="shared" si="61"/>
        <v>227.00257973489428</v>
      </c>
      <c r="BH70" s="59">
        <f t="shared" si="62"/>
        <v>503.02456079290653</v>
      </c>
      <c r="BI70" s="59">
        <f ca="1">AVERAGE(OFFSET($BH$3,0,0,'Données projet'!$E$11+1,1))-AVERAGE(OFFSET($H$3,0,0,'Données projet'!$E$11+1,1))</f>
        <v>210.62109466714364</v>
      </c>
      <c r="BJ70" s="59">
        <f t="shared" si="92"/>
        <v>193.35729443770401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3.1370634336426306</v>
      </c>
      <c r="BQ70" s="21">
        <f>EXP(-LN(2)/25)*BQ69+(1-EXP(-LN(2)/25))/(LN(2)/25)*Calculateur!BL70*Calculateur!BN70*VLOOKUP('Données projet'!$B$11,Paramètres!$A$1:$I$89,3,0)*0.475*44/12</f>
        <v>2.872312974647655</v>
      </c>
      <c r="BR70" s="21">
        <f>EXP(-LN(2)/2)*BR69+(1-EXP(-LN(2)/2))/(LN(2)/2)*BL70*BO70*VLOOKUP('Données projet'!$B$11,Paramètres!$A$1:$I$89,3,0)*0.475*44/12</f>
        <v>2.1352553402492683E-5</v>
      </c>
      <c r="BS70" s="22">
        <f t="shared" si="63"/>
        <v>6.0093977608436884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12.875</v>
      </c>
      <c r="BY70" s="12">
        <f>IF('Données projet'!$A$114&gt;35,BY69+BX70-CG69,IF(A70&lt;'Données projet'!$A$114,$BV$205^A70,IF(A70='Données projet'!$A$114,'Données projet'!$B$114,BY69+BX70-CG69)))</f>
        <v>442.87499999999994</v>
      </c>
      <c r="BZ70" s="13">
        <f>BY70*VLOOKUP('Données projet'!$B$12,Paramètres!$A$1:$I$89,3,0)*VLOOKUP('Données projet'!$B$12,Paramètres!$A$1:$I$89,5,0)</f>
        <v>264.83924999999999</v>
      </c>
      <c r="CA70" s="13">
        <f t="shared" si="93"/>
        <v>63.752800756768096</v>
      </c>
      <c r="CB70" s="20">
        <f t="shared" si="64"/>
        <v>572.29782173470437</v>
      </c>
      <c r="CC70" s="59">
        <f t="shared" si="65"/>
        <v>848.3198027927167</v>
      </c>
      <c r="CD70" s="59">
        <f ca="1">AVERAGE(OFFSET($CC$3,0,0,'Données projet'!$E$12+1,1))-AVERAGE(OFFSET($H$3,0,0,'Données projet'!$E$12+1,1))</f>
        <v>368.16165268258442</v>
      </c>
      <c r="CE70" s="59">
        <f t="shared" si="94"/>
        <v>291.32219253157041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3.5941907099738817</v>
      </c>
      <c r="CL70" s="21">
        <f>EXP(-LN(2)/25)*CL69+(1-EXP(-LN(2)/25))/(LN(2)/25)*Calculateur!CG70*Calculateur!CI70*VLOOKUP('Données projet'!$B$12,Paramètres!$A$1:$I$89,3,0)*0.475*44/12</f>
        <v>2.3815231551730527</v>
      </c>
      <c r="CM70" s="21">
        <f>EXP(-LN(2)/2)*CM69+(1-EXP(-LN(2)/2))/(LN(2)/2)*CG70*CJ70*VLOOKUP('Données projet'!$B$12,Paramètres!$A$1:$I$89,3,0)*0.475*44/12</f>
        <v>2.1371037666608658E-5</v>
      </c>
      <c r="CN70" s="22">
        <f t="shared" si="66"/>
        <v>5.975735236184601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1.1368683772161603E-13</v>
      </c>
      <c r="CU70" s="17">
        <f>CT70*VLOOKUP('Données projet'!$B$13,Paramètres!$A$1:$I$89,3,0)*VLOOKUP('Données projet'!$B$13,Paramètres!$A$1:$I$89,5,0)</f>
        <v>6.7984728957526396E-14</v>
      </c>
      <c r="CV70" s="13">
        <f t="shared" si="95"/>
        <v>1.0682447123141398E-12</v>
      </c>
      <c r="CW70" s="20">
        <f t="shared" si="67"/>
        <v>1.978932943548152E-12</v>
      </c>
      <c r="CX70" s="59">
        <f t="shared" si="68"/>
        <v>276.02198105801426</v>
      </c>
      <c r="CY70" s="59">
        <f ca="1">AVERAGE(OFFSET($CX$3,0,0,'Données projet'!$E$13+1,1))-AVERAGE(OFFSET($H$3,0,0,'Données projet'!$E$13+1,1))</f>
        <v>317.12995176362455</v>
      </c>
      <c r="CZ70" s="59">
        <f t="shared" si="96"/>
        <v>328.11301015275262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8.6766725141344629</v>
      </c>
      <c r="DG70" s="21">
        <f>EXP(-LN(2)/25)*DG69+(1-EXP(-LN(2)/25))/(LN(2)/25)*Calculateur!DB70*Calculateur!DD70*VLOOKUP('Données projet'!$B$13,Paramètres!$A$1:$I$89,3,0)*0.475*44/12</f>
        <v>5.7809967267664</v>
      </c>
      <c r="DH70" s="21">
        <f>EXP(-LN(2)/2)*DH69+(1-EXP(-LN(2)/2))/(LN(2)/2)*DB70*DE70*VLOOKUP('Données projet'!$B$13,Paramètres!$A$1:$I$89,3,0)*0.475*44/12</f>
        <v>1.5486798616210144E-5</v>
      </c>
      <c r="DI70" s="22">
        <f t="shared" si="69"/>
        <v>14.45768472769948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4.5999999999999996</v>
      </c>
      <c r="DO70" s="12">
        <f>IF('Données projet'!$A$166&gt;35,DO69+DN70-DW69,IF(A70&lt;'Données projet'!$A$166,$DL$205^A70,IF(A70='Données projet'!$A$166,'Données projet'!$B$166,DO69+DN70-DW69)))</f>
        <v>213.19999999999996</v>
      </c>
      <c r="DP70" s="17">
        <f>DO70*VLOOKUP('Données projet'!$B$14,Paramètres!$A$1:$I$89,3,0)*VLOOKUP('Données projet'!$B$14,Paramètres!$A$1:$I$89,5,0)</f>
        <v>186.25152</v>
      </c>
      <c r="DQ70" s="13">
        <f t="shared" si="97"/>
        <v>46.71025851515671</v>
      </c>
      <c r="DR70" s="20">
        <f t="shared" si="70"/>
        <v>405.74176424723129</v>
      </c>
      <c r="DS70" s="59">
        <f t="shared" si="71"/>
        <v>681.76374530524356</v>
      </c>
      <c r="DT70" s="59">
        <f ca="1">AVERAGE(OFFSET($DS$3,0,0,'Données projet'!$E$14+1,1))-AVERAGE(OFFSET($H$3,0,0,'Données projet'!$E$14+1,1))</f>
        <v>325.5873213944476</v>
      </c>
      <c r="DU70" s="59">
        <f t="shared" si="98"/>
        <v>347.9042278368363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1.4072074722110037</v>
      </c>
      <c r="EB70" s="21">
        <f>EXP(-LN(2)/25)*EB69+(1-EXP(-LN(2)/25))/(LN(2)/25)*Calculateur!DW70*Calculateur!DY70*VLOOKUP('Données projet'!$B$14,Paramètres!$A$1:$I$89,3,0)*0.475*44/12</f>
        <v>3.1630721510234943</v>
      </c>
      <c r="EC70" s="21">
        <f>EXP(-LN(2)/2)*EC69+(1-EXP(-LN(2)/2))/(LN(2)/2)*DW70*DZ70*VLOOKUP('Données projet'!$B$14,Paramètres!$A$1:$I$89,3,0)*0.475*44/12</f>
        <v>3.2233425925908686E-5</v>
      </c>
      <c r="ED70" s="22">
        <f t="shared" si="72"/>
        <v>4.5703118566604237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205.5480000480477</v>
      </c>
      <c r="EP70" s="59">
        <f t="shared" si="100"/>
        <v>229.86812144828366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3.534846316556675</v>
      </c>
      <c r="EW70" s="21">
        <f>EXP(-LN(2)/25)*EW69+(1-EXP(-LN(2)/25))/(LN(2)/25)*Calculateur!ER70*Calculateur!ET70*VLOOKUP('Données projet'!$B$15,Paramètres!$A$1:$I$89,3,0)*0.475*44/12</f>
        <v>2.1590123964496328</v>
      </c>
      <c r="EX70" s="21">
        <f>EXP(-LN(2)/2)*EX69+(1-EXP(-LN(2)/2))/(LN(2)/2)*ER70*EU70*VLOOKUP('Données projet'!$B$15,Paramètres!$A$1:$I$89,3,0)*0.475*44/12</f>
        <v>7.9788260421823425E-6</v>
      </c>
      <c r="EY70" s="22">
        <f t="shared" si="75"/>
        <v>5.6938666918323504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3.05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11.880960000000007</v>
      </c>
      <c r="D71" s="11">
        <f t="shared" si="86"/>
        <v>4.1047893992951696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47.092272200364228</v>
      </c>
      <c r="H71" s="67">
        <f t="shared" si="56"/>
        <v>239.77518020377241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-3.4106051316484809E-13</v>
      </c>
      <c r="O71" s="13">
        <f>N71*VLOOKUP('Données projet'!$B$9,Paramètres!$A$1:$I$89,3,0)*VLOOKUP('Données projet'!$B$9,Paramètres!$A$1:$I$89,5,0)</f>
        <v>-1.9065282685915009E-13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542.23071537860039</v>
      </c>
      <c r="T71" s="59">
        <f t="shared" si="88"/>
        <v>667.26143680054633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3.4589381167732407</v>
      </c>
      <c r="AA71" s="21">
        <f>EXP(-LN(2)/25)*AA70+(1-EXP(-LN(2)/25))/(LN(2)/25)*Calculateur!V71*Calculateur!X71*VLOOKUP('Données projet'!$B$9,Paramètres!$A$1:$I$89,3,0)*0.475*44/12</f>
        <v>14.858282238416283</v>
      </c>
      <c r="AB71" s="21">
        <f>EXP(-LN(2)/2)*AB70+(1-EXP(-LN(2)/2))/(LN(2)/2)*V71*Y71*VLOOKUP('Données projet'!$B$9,Paramètres!$A$1:$I$89,3,0)*0.475*44/12</f>
        <v>2.7500072030520709E-5</v>
      </c>
      <c r="AC71" s="22">
        <f t="shared" si="57"/>
        <v>18.317247855261552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-2.2737367544323206E-13</v>
      </c>
      <c r="AJ71" s="13">
        <f>AI71*VLOOKUP('Données projet'!$B$10,Paramètres!$A$1:$I$89,3,0)*VLOOKUP('Données projet'!$B$10,Paramètres!$A$1:$I$89,5,0)</f>
        <v>-1.2710188457276673E-13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427.83834708696861</v>
      </c>
      <c r="AO71" s="59">
        <f t="shared" si="90"/>
        <v>545.63950537101903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2.075362870063945</v>
      </c>
      <c r="AV71" s="21">
        <f>EXP(-LN(2)/25)*AV70+(1-EXP(-LN(2)/25))/(LN(2)/25)*Calculateur!AQ71*Calculateur!AS71*VLOOKUP('Données projet'!$B$10,Paramètres!$A$1:$I$89,3,0)*0.475*44/12</f>
        <v>8.5849617532541664</v>
      </c>
      <c r="AW71" s="21">
        <f>EXP(-LN(2)/2)*AW70+(1-EXP(-LN(2)/2))/(LN(2)/2)*AQ71*AT71*VLOOKUP('Données projet'!$B$10,Paramètres!$A$1:$I$89,3,0)*0.475*44/12</f>
        <v>1.7647231222008698E-5</v>
      </c>
      <c r="AX71" s="21">
        <f t="shared" si="60"/>
        <v>10.660342270549332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7.5</v>
      </c>
      <c r="BD71" s="12">
        <f>IF('Données projet'!$A$88&gt;35,BD70+BC71-BL70,IF(A71&lt;'Données projet'!$A$88,$BA$205^A71,IF(A71='Données projet'!$A$88,'Données projet'!$B$88,BD70+BC71-BL70)))</f>
        <v>226.99999999999994</v>
      </c>
      <c r="BE71" s="13">
        <f>BD71*VLOOKUP('Données projet'!$B$11,Paramètres!$A$1:$I$89,3,0)*VLOOKUP('Données projet'!$B$11,Paramètres!$A$1:$I$89,5,0)</f>
        <v>106.23599999999996</v>
      </c>
      <c r="BF71" s="13">
        <f t="shared" si="91"/>
        <v>28.442367793282877</v>
      </c>
      <c r="BG71" s="20">
        <f t="shared" si="61"/>
        <v>234.56482390663425</v>
      </c>
      <c r="BH71" s="59">
        <f t="shared" si="62"/>
        <v>510.88711822423772</v>
      </c>
      <c r="BI71" s="59">
        <f ca="1">AVERAGE(OFFSET($BH$3,0,0,'Données projet'!$E$11+1,1))-AVERAGE(OFFSET($H$3,0,0,'Données projet'!$E$11+1,1))</f>
        <v>210.62109466714364</v>
      </c>
      <c r="BJ71" s="59">
        <f t="shared" si="92"/>
        <v>193.35729443770401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3.0755475331286588</v>
      </c>
      <c r="BQ71" s="21">
        <f>EXP(-LN(2)/25)*BQ70+(1-EXP(-LN(2)/25))/(LN(2)/25)*Calculateur!BL71*Calculateur!BN71*VLOOKUP('Données projet'!$B$11,Paramètres!$A$1:$I$89,3,0)*0.475*44/12</f>
        <v>2.7937694253075405</v>
      </c>
      <c r="BR71" s="21">
        <f>EXP(-LN(2)/2)*BR70+(1-EXP(-LN(2)/2))/(LN(2)/2)*BL71*BO71*VLOOKUP('Données projet'!$B$11,Paramètres!$A$1:$I$89,3,0)*0.475*44/12</f>
        <v>1.5098535306550465E-5</v>
      </c>
      <c r="BS71" s="22">
        <f t="shared" si="63"/>
        <v>5.8693320569715057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12.875</v>
      </c>
      <c r="BY71" s="12">
        <f>IF('Données projet'!$A$114&gt;35,BY70+BX71-CG70,IF(A71&lt;'Données projet'!$A$114,$BV$205^A71,IF(A71='Données projet'!$A$114,'Données projet'!$B$114,BY70+BX71-CG70)))</f>
        <v>455.74999999999994</v>
      </c>
      <c r="BZ71" s="13">
        <f>BY71*VLOOKUP('Données projet'!$B$12,Paramètres!$A$1:$I$89,3,0)*VLOOKUP('Données projet'!$B$12,Paramètres!$A$1:$I$89,5,0)</f>
        <v>272.5385</v>
      </c>
      <c r="CA71" s="13">
        <f t="shared" si="93"/>
        <v>65.387709293034902</v>
      </c>
      <c r="CB71" s="20">
        <f t="shared" si="64"/>
        <v>588.55481451870241</v>
      </c>
      <c r="CC71" s="59">
        <f t="shared" si="65"/>
        <v>864.87710883630587</v>
      </c>
      <c r="CD71" s="59">
        <f ca="1">AVERAGE(OFFSET($CC$3,0,0,'Données projet'!$E$12+1,1))-AVERAGE(OFFSET($H$3,0,0,'Données projet'!$E$12+1,1))</f>
        <v>368.16165268258442</v>
      </c>
      <c r="CE71" s="59">
        <f t="shared" si="94"/>
        <v>291.32219253157041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3.5237108223911613</v>
      </c>
      <c r="CL71" s="21">
        <f>EXP(-LN(2)/25)*CL70+(1-EXP(-LN(2)/25))/(LN(2)/25)*Calculateur!CG71*Calculateur!CI71*VLOOKUP('Données projet'!$B$12,Paramètres!$A$1:$I$89,3,0)*0.475*44/12</f>
        <v>2.3164002792559857</v>
      </c>
      <c r="CM71" s="21">
        <f>EXP(-LN(2)/2)*CM70+(1-EXP(-LN(2)/2))/(LN(2)/2)*CG71*CJ71*VLOOKUP('Données projet'!$B$12,Paramètres!$A$1:$I$89,3,0)*0.475*44/12</f>
        <v>1.5111605655052115E-5</v>
      </c>
      <c r="CN71" s="22">
        <f t="shared" si="66"/>
        <v>5.8401262132528018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1.1368683772161603E-13</v>
      </c>
      <c r="CU71" s="17">
        <f>CT71*VLOOKUP('Données projet'!$B$13,Paramètres!$A$1:$I$89,3,0)*VLOOKUP('Données projet'!$B$13,Paramètres!$A$1:$I$89,5,0)</f>
        <v>6.7984728957526396E-14</v>
      </c>
      <c r="CV71" s="13">
        <f t="shared" si="95"/>
        <v>1.0682447123141398E-12</v>
      </c>
      <c r="CW71" s="20">
        <f t="shared" si="67"/>
        <v>1.978932943548152E-12</v>
      </c>
      <c r="CX71" s="59">
        <f t="shared" si="68"/>
        <v>276.32229431760544</v>
      </c>
      <c r="CY71" s="59">
        <f ca="1">AVERAGE(OFFSET($CX$3,0,0,'Données projet'!$E$13+1,1))-AVERAGE(OFFSET($H$3,0,0,'Données projet'!$E$13+1,1))</f>
        <v>317.12995176362455</v>
      </c>
      <c r="CZ71" s="59">
        <f t="shared" si="96"/>
        <v>328.11301015275262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8.5065282583799533</v>
      </c>
      <c r="DG71" s="21">
        <f>EXP(-LN(2)/25)*DG70+(1-EXP(-LN(2)/25))/(LN(2)/25)*Calculateur!DB71*Calculateur!DD71*VLOOKUP('Données projet'!$B$13,Paramètres!$A$1:$I$89,3,0)*0.475*44/12</f>
        <v>5.6229150672635679</v>
      </c>
      <c r="DH71" s="21">
        <f>EXP(-LN(2)/2)*DH70+(1-EXP(-LN(2)/2))/(LN(2)/2)*DB71*DE71*VLOOKUP('Données projet'!$B$13,Paramètres!$A$1:$I$89,3,0)*0.475*44/12</f>
        <v>1.0950820320392633E-5</v>
      </c>
      <c r="DI71" s="22">
        <f t="shared" si="69"/>
        <v>14.129454276463841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4.5999999999999996</v>
      </c>
      <c r="DO71" s="12">
        <f>IF('Données projet'!$A$166&gt;35,DO70+DN71-DW70,IF(A71&lt;'Données projet'!$A$166,$DL$205^A71,IF(A71='Données projet'!$A$166,'Données projet'!$B$166,DO70+DN71-DW70)))</f>
        <v>217.79999999999995</v>
      </c>
      <c r="DP71" s="17">
        <f>DO71*VLOOKUP('Données projet'!$B$14,Paramètres!$A$1:$I$89,3,0)*VLOOKUP('Données projet'!$B$14,Paramètres!$A$1:$I$89,5,0)</f>
        <v>190.27007999999998</v>
      </c>
      <c r="DQ71" s="13">
        <f t="shared" si="97"/>
        <v>47.599658767320413</v>
      </c>
      <c r="DR71" s="20">
        <f t="shared" si="70"/>
        <v>414.28979501974965</v>
      </c>
      <c r="DS71" s="59">
        <f t="shared" si="71"/>
        <v>690.61208933735315</v>
      </c>
      <c r="DT71" s="59">
        <f ca="1">AVERAGE(OFFSET($DS$3,0,0,'Données projet'!$E$14+1,1))-AVERAGE(OFFSET($H$3,0,0,'Données projet'!$E$14+1,1))</f>
        <v>325.5873213944476</v>
      </c>
      <c r="DU71" s="59">
        <f t="shared" si="98"/>
        <v>347.9042278368363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1.3796129919927527</v>
      </c>
      <c r="EB71" s="21">
        <f>EXP(-LN(2)/25)*EB70+(1-EXP(-LN(2)/25))/(LN(2)/25)*Calculateur!DW71*Calculateur!DY71*VLOOKUP('Données projet'!$B$14,Paramètres!$A$1:$I$89,3,0)*0.475*44/12</f>
        <v>3.0765777767150215</v>
      </c>
      <c r="EC71" s="21">
        <f>EXP(-LN(2)/2)*EC70+(1-EXP(-LN(2)/2))/(LN(2)/2)*DW71*DZ71*VLOOKUP('Données projet'!$B$14,Paramètres!$A$1:$I$89,3,0)*0.475*44/12</f>
        <v>2.2792474053084301E-5</v>
      </c>
      <c r="ED71" s="22">
        <f t="shared" si="72"/>
        <v>4.4562135611818272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205.5480000480477</v>
      </c>
      <c r="EP71" s="59">
        <f t="shared" si="100"/>
        <v>229.86812144828366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3.4655301363323603</v>
      </c>
      <c r="EW71" s="21">
        <f>EXP(-LN(2)/25)*EW70+(1-EXP(-LN(2)/25))/(LN(2)/25)*Calculateur!ER71*Calculateur!ET71*VLOOKUP('Données projet'!$B$15,Paramètres!$A$1:$I$89,3,0)*0.475*44/12</f>
        <v>2.09997408893119</v>
      </c>
      <c r="EX71" s="21">
        <f>EXP(-LN(2)/2)*EX70+(1-EXP(-LN(2)/2))/(LN(2)/2)*ER71*EU71*VLOOKUP('Données projet'!$B$15,Paramètres!$A$1:$I$89,3,0)*0.475*44/12</f>
        <v>5.6418820003349567E-6</v>
      </c>
      <c r="EY71" s="22">
        <f t="shared" si="75"/>
        <v>5.5655098671455514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3.05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12.055680000000008</v>
      </c>
      <c r="D72" s="11">
        <f t="shared" si="86"/>
        <v>4.1580821124153955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47.655503604001559</v>
      </c>
      <c r="H72" s="67">
        <f t="shared" si="56"/>
        <v>240.17230234579014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-3.4106051316484809E-13</v>
      </c>
      <c r="O72" s="13">
        <f>N72*VLOOKUP('Données projet'!$B$9,Paramètres!$A$1:$I$89,3,0)*VLOOKUP('Données projet'!$B$9,Paramètres!$A$1:$I$89,5,0)</f>
        <v>-1.9065282685915009E-13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542.23071537860039</v>
      </c>
      <c r="T72" s="59">
        <f t="shared" si="88"/>
        <v>667.26143680054633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3.3911104500472486</v>
      </c>
      <c r="AA72" s="21">
        <f>EXP(-LN(2)/25)*AA71+(1-EXP(-LN(2)/25))/(LN(2)/25)*Calculateur!V72*Calculateur!X72*VLOOKUP('Données projet'!$B$9,Paramètres!$A$1:$I$89,3,0)*0.475*44/12</f>
        <v>14.451981729243686</v>
      </c>
      <c r="AB72" s="21">
        <f>EXP(-LN(2)/2)*AB71+(1-EXP(-LN(2)/2))/(LN(2)/2)*V72*Y72*VLOOKUP('Données projet'!$B$9,Paramètres!$A$1:$I$89,3,0)*0.475*44/12</f>
        <v>1.9445487415899702E-5</v>
      </c>
      <c r="AC72" s="22">
        <f t="shared" si="57"/>
        <v>17.843111624778352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-2.2737367544323206E-13</v>
      </c>
      <c r="AJ72" s="13">
        <f>AI72*VLOOKUP('Données projet'!$B$10,Paramètres!$A$1:$I$89,3,0)*VLOOKUP('Données projet'!$B$10,Paramètres!$A$1:$I$89,5,0)</f>
        <v>-1.2710188457276673E-13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427.83834708696861</v>
      </c>
      <c r="AO72" s="59">
        <f t="shared" si="90"/>
        <v>545.63950537101903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2.03466627002835</v>
      </c>
      <c r="AV72" s="21">
        <f>EXP(-LN(2)/25)*AV71+(1-EXP(-LN(2)/25))/(LN(2)/25)*Calculateur!AQ72*Calculateur!AS72*VLOOKUP('Données projet'!$B$10,Paramètres!$A$1:$I$89,3,0)*0.475*44/12</f>
        <v>8.3502055226479133</v>
      </c>
      <c r="AW72" s="21">
        <f>EXP(-LN(2)/2)*AW71+(1-EXP(-LN(2)/2))/(LN(2)/2)*AQ72*AT72*VLOOKUP('Données projet'!$B$10,Paramètres!$A$1:$I$89,3,0)*0.475*44/12</f>
        <v>1.2478476866249315E-5</v>
      </c>
      <c r="AX72" s="21">
        <f t="shared" si="60"/>
        <v>10.38488427115313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7.5</v>
      </c>
      <c r="BD72" s="12">
        <f>IF('Données projet'!$A$88&gt;35,BD71+BC72-BL71,IF(A72&lt;'Données projet'!$A$88,$BA$205^A72,IF(A72='Données projet'!$A$88,'Données projet'!$B$88,BD71+BC72-BL71)))</f>
        <v>234.49999999999994</v>
      </c>
      <c r="BE72" s="13">
        <f>BD72*VLOOKUP('Données projet'!$B$11,Paramètres!$A$1:$I$89,3,0)*VLOOKUP('Données projet'!$B$11,Paramètres!$A$1:$I$89,5,0)</f>
        <v>109.74599999999997</v>
      </c>
      <c r="BF72" s="13">
        <f t="shared" si="91"/>
        <v>29.271132142080972</v>
      </c>
      <c r="BG72" s="20">
        <f t="shared" si="61"/>
        <v>242.12150514745761</v>
      </c>
      <c r="BH72" s="59">
        <f t="shared" si="62"/>
        <v>518.73890296099819</v>
      </c>
      <c r="BI72" s="59">
        <f ca="1">AVERAGE(OFFSET($BH$3,0,0,'Données projet'!$E$11+1,1))-AVERAGE(OFFSET($H$3,0,0,'Données projet'!$E$11+1,1))</f>
        <v>210.62109466714364</v>
      </c>
      <c r="BJ72" s="59">
        <f t="shared" si="92"/>
        <v>193.35729443770401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3.0152379219027714</v>
      </c>
      <c r="BQ72" s="21">
        <f>EXP(-LN(2)/25)*BQ71+(1-EXP(-LN(2)/25))/(LN(2)/25)*Calculateur!BL72*Calculateur!BN72*VLOOKUP('Données projet'!$B$11,Paramètres!$A$1:$I$89,3,0)*0.475*44/12</f>
        <v>2.7173736534545569</v>
      </c>
      <c r="BR72" s="21">
        <f>EXP(-LN(2)/2)*BR71+(1-EXP(-LN(2)/2))/(LN(2)/2)*BL72*BO72*VLOOKUP('Données projet'!$B$11,Paramètres!$A$1:$I$89,3,0)*0.475*44/12</f>
        <v>1.0676276701246343E-5</v>
      </c>
      <c r="BS72" s="22">
        <f t="shared" si="63"/>
        <v>5.7326222516340293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12.875</v>
      </c>
      <c r="BY72" s="12">
        <f>IF('Données projet'!$A$114&gt;35,BY71+BX72-CG71,IF(A72&lt;'Données projet'!$A$114,$BV$205^A72,IF(A72='Données projet'!$A$114,'Données projet'!$B$114,BY71+BX72-CG71)))</f>
        <v>468.62499999999994</v>
      </c>
      <c r="BZ72" s="13">
        <f>BY72*VLOOKUP('Données projet'!$B$12,Paramètres!$A$1:$I$89,3,0)*VLOOKUP('Données projet'!$B$12,Paramètres!$A$1:$I$89,5,0)</f>
        <v>280.23775000000001</v>
      </c>
      <c r="CA72" s="13">
        <f t="shared" si="93"/>
        <v>67.017249808465152</v>
      </c>
      <c r="CB72" s="20">
        <f t="shared" si="64"/>
        <v>604.80245799974352</v>
      </c>
      <c r="CC72" s="59">
        <f t="shared" si="65"/>
        <v>881.41985581328413</v>
      </c>
      <c r="CD72" s="59">
        <f ca="1">AVERAGE(OFFSET($CC$3,0,0,'Données projet'!$E$12+1,1))-AVERAGE(OFFSET($H$3,0,0,'Données projet'!$E$12+1,1))</f>
        <v>368.16165268258442</v>
      </c>
      <c r="CE72" s="59">
        <f t="shared" si="94"/>
        <v>291.32219253157041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3.4546130024154516</v>
      </c>
      <c r="CL72" s="21">
        <f>EXP(-LN(2)/25)*CL71+(1-EXP(-LN(2)/25))/(LN(2)/25)*Calculateur!CG72*Calculateur!CI72*VLOOKUP('Données projet'!$B$12,Paramètres!$A$1:$I$89,3,0)*0.475*44/12</f>
        <v>2.2530581918055343</v>
      </c>
      <c r="CM72" s="21">
        <f>EXP(-LN(2)/2)*CM71+(1-EXP(-LN(2)/2))/(LN(2)/2)*CG72*CJ72*VLOOKUP('Données projet'!$B$12,Paramètres!$A$1:$I$89,3,0)*0.475*44/12</f>
        <v>1.0685518833304331E-5</v>
      </c>
      <c r="CN72" s="22">
        <f t="shared" si="66"/>
        <v>5.7076818797398188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1.1368683772161603E-13</v>
      </c>
      <c r="CU72" s="17">
        <f>CT72*VLOOKUP('Données projet'!$B$13,Paramètres!$A$1:$I$89,3,0)*VLOOKUP('Données projet'!$B$13,Paramètres!$A$1:$I$89,5,0)</f>
        <v>6.7984728957526396E-14</v>
      </c>
      <c r="CV72" s="13">
        <f t="shared" si="95"/>
        <v>1.0682447123141398E-12</v>
      </c>
      <c r="CW72" s="20">
        <f t="shared" si="67"/>
        <v>1.978932943548152E-12</v>
      </c>
      <c r="CX72" s="59">
        <f t="shared" si="68"/>
        <v>276.61739781354254</v>
      </c>
      <c r="CY72" s="59">
        <f ca="1">AVERAGE(OFFSET($CX$3,0,0,'Données projet'!$E$13+1,1))-AVERAGE(OFFSET($H$3,0,0,'Données projet'!$E$13+1,1))</f>
        <v>317.12995176362455</v>
      </c>
      <c r="CZ72" s="59">
        <f t="shared" si="96"/>
        <v>328.11301015275262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8.3397204277030408</v>
      </c>
      <c r="DG72" s="21">
        <f>EXP(-LN(2)/25)*DG71+(1-EXP(-LN(2)/25))/(LN(2)/25)*Calculateur!DB72*Calculateur!DD72*VLOOKUP('Données projet'!$B$13,Paramètres!$A$1:$I$89,3,0)*0.475*44/12</f>
        <v>5.4691561590529938</v>
      </c>
      <c r="DH72" s="21">
        <f>EXP(-LN(2)/2)*DH71+(1-EXP(-LN(2)/2))/(LN(2)/2)*DB72*DE72*VLOOKUP('Données projet'!$B$13,Paramètres!$A$1:$I$89,3,0)*0.475*44/12</f>
        <v>7.7433993081050718E-6</v>
      </c>
      <c r="DI72" s="22">
        <f t="shared" si="69"/>
        <v>13.808884330155344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4.5999999999999996</v>
      </c>
      <c r="DO72" s="12">
        <f>IF('Données projet'!$A$166&gt;35,DO71+DN72-DW71,IF(A72&lt;'Données projet'!$A$166,$DL$205^A72,IF(A72='Données projet'!$A$166,'Données projet'!$B$166,DO71+DN72-DW71)))</f>
        <v>222.39999999999995</v>
      </c>
      <c r="DP72" s="17">
        <f>DO72*VLOOKUP('Données projet'!$B$14,Paramètres!$A$1:$I$89,3,0)*VLOOKUP('Données projet'!$B$14,Paramètres!$A$1:$I$89,5,0)</f>
        <v>194.28863999999999</v>
      </c>
      <c r="DQ72" s="13">
        <f t="shared" si="97"/>
        <v>48.486875029770822</v>
      </c>
      <c r="DR72" s="20">
        <f t="shared" si="70"/>
        <v>422.83402201018413</v>
      </c>
      <c r="DS72" s="59">
        <f t="shared" si="71"/>
        <v>699.45141982372468</v>
      </c>
      <c r="DT72" s="59">
        <f ca="1">AVERAGE(OFFSET($DS$3,0,0,'Données projet'!$E$14+1,1))-AVERAGE(OFFSET($H$3,0,0,'Données projet'!$E$14+1,1))</f>
        <v>325.5873213944476</v>
      </c>
      <c r="DU72" s="59">
        <f t="shared" si="98"/>
        <v>347.9042278368363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1.3525596227006105</v>
      </c>
      <c r="EB72" s="21">
        <f>EXP(-LN(2)/25)*EB71+(1-EXP(-LN(2)/25))/(LN(2)/25)*Calculateur!DW72*Calculateur!DY72*VLOOKUP('Données projet'!$B$14,Paramètres!$A$1:$I$89,3,0)*0.475*44/12</f>
        <v>2.9924485956205555</v>
      </c>
      <c r="EC72" s="21">
        <f>EXP(-LN(2)/2)*EC71+(1-EXP(-LN(2)/2))/(LN(2)/2)*DW72*DZ72*VLOOKUP('Données projet'!$B$14,Paramètres!$A$1:$I$89,3,0)*0.475*44/12</f>
        <v>1.6116712962954343E-5</v>
      </c>
      <c r="ED72" s="22">
        <f t="shared" si="72"/>
        <v>4.3450243350341289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205.5480000480477</v>
      </c>
      <c r="EP72" s="59">
        <f t="shared" si="100"/>
        <v>229.86812144828366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3.3975732041235491</v>
      </c>
      <c r="EW72" s="21">
        <f>EXP(-LN(2)/25)*EW71+(1-EXP(-LN(2)/25))/(LN(2)/25)*Calculateur!ER72*Calculateur!ET72*VLOOKUP('Données projet'!$B$15,Paramètres!$A$1:$I$89,3,0)*0.475*44/12</f>
        <v>2.0425501870365288</v>
      </c>
      <c r="EX72" s="21">
        <f>EXP(-LN(2)/2)*EX71+(1-EXP(-LN(2)/2))/(LN(2)/2)*ER72*EU72*VLOOKUP('Données projet'!$B$15,Paramètres!$A$1:$I$89,3,0)*0.475*44/12</f>
        <v>3.9894130210911712E-6</v>
      </c>
      <c r="EY72" s="22">
        <f t="shared" si="75"/>
        <v>5.4401273805730996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3.05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12.230400000000008</v>
      </c>
      <c r="D73" s="11">
        <f t="shared" si="86"/>
        <v>4.2112849955088052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48.218513111713008</v>
      </c>
      <c r="H73" s="67">
        <f t="shared" si="56"/>
        <v>240.56926803384448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-3.4106051316484809E-13</v>
      </c>
      <c r="O73" s="13">
        <f>N73*VLOOKUP('Données projet'!$B$9,Paramètres!$A$1:$I$89,3,0)*VLOOKUP('Données projet'!$B$9,Paramètres!$A$1:$I$89,5,0)</f>
        <v>-1.9065282685915009E-13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542.23071537860039</v>
      </c>
      <c r="T73" s="59">
        <f t="shared" si="88"/>
        <v>667.26143680054633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3.3246128424949619</v>
      </c>
      <c r="AA73" s="21">
        <f>EXP(-LN(2)/25)*AA72+(1-EXP(-LN(2)/25))/(LN(2)/25)*Calculateur!V73*Calculateur!X73*VLOOKUP('Données projet'!$B$9,Paramètres!$A$1:$I$89,3,0)*0.475*44/12</f>
        <v>14.056791528860829</v>
      </c>
      <c r="AB73" s="21">
        <f>EXP(-LN(2)/2)*AB72+(1-EXP(-LN(2)/2))/(LN(2)/2)*V73*Y73*VLOOKUP('Données projet'!$B$9,Paramètres!$A$1:$I$89,3,0)*0.475*44/12</f>
        <v>1.3750036015260355E-5</v>
      </c>
      <c r="AC73" s="22">
        <f t="shared" si="57"/>
        <v>17.381418121391807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-2.2737367544323206E-13</v>
      </c>
      <c r="AJ73" s="13">
        <f>AI73*VLOOKUP('Données projet'!$B$10,Paramètres!$A$1:$I$89,3,0)*VLOOKUP('Données projet'!$B$10,Paramètres!$A$1:$I$89,5,0)</f>
        <v>-1.2710188457276673E-13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427.83834708696861</v>
      </c>
      <c r="AO73" s="59">
        <f t="shared" si="90"/>
        <v>545.63950537101903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1.9947677054969779</v>
      </c>
      <c r="AV73" s="21">
        <f>EXP(-LN(2)/25)*AV72+(1-EXP(-LN(2)/25))/(LN(2)/25)*Calculateur!AQ73*Calculateur!AS73*VLOOKUP('Données projet'!$B$10,Paramètres!$A$1:$I$89,3,0)*0.475*44/12</f>
        <v>8.1218687135128818</v>
      </c>
      <c r="AW73" s="21">
        <f>EXP(-LN(2)/2)*AW72+(1-EXP(-LN(2)/2))/(LN(2)/2)*AQ73*AT73*VLOOKUP('Données projet'!$B$10,Paramètres!$A$1:$I$89,3,0)*0.475*44/12</f>
        <v>8.8236156110043492E-6</v>
      </c>
      <c r="AX73" s="21">
        <f t="shared" si="60"/>
        <v>10.11664524262547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7.5</v>
      </c>
      <c r="BC73" s="12">
        <f t="array" ref="BC73">INDEX(BB:BB,MIN(IF(ISNUMBER(BB73:BB269),ROW(BB73:BB269),"")))</f>
        <v>7.5</v>
      </c>
      <c r="BD73" s="12">
        <f>IF('Données projet'!$A$88&gt;35,BD72+BC73-BL72,IF(A73&lt;'Données projet'!$A$88,$BA$205^A73,IF(A73='Données projet'!$A$88,'Données projet'!$B$88,BD72+BC73-BL72)))</f>
        <v>241.99999999999994</v>
      </c>
      <c r="BE73" s="13">
        <f>BD73*VLOOKUP('Données projet'!$B$11,Paramètres!$A$1:$I$89,3,0)*VLOOKUP('Données projet'!$B$11,Paramètres!$A$1:$I$89,5,0)</f>
        <v>113.25599999999997</v>
      </c>
      <c r="BF73" s="13">
        <f t="shared" si="91"/>
        <v>30.096816336106439</v>
      </c>
      <c r="BG73" s="20">
        <f t="shared" si="61"/>
        <v>249.67282178538531</v>
      </c>
      <c r="BH73" s="59">
        <f t="shared" si="62"/>
        <v>526.58020370896111</v>
      </c>
      <c r="BI73" s="59">
        <f ca="1">AVERAGE(OFFSET($BH$3,0,0,'Données projet'!$E$11+1,1))-AVERAGE(OFFSET($H$3,0,0,'Données projet'!$E$11+1,1))</f>
        <v>210.62109466714364</v>
      </c>
      <c r="BJ73" s="59">
        <f t="shared" si="92"/>
        <v>193.35729443770401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2.9561109453677932</v>
      </c>
      <c r="BQ73" s="21">
        <f>EXP(-LN(2)/25)*BQ72+(1-EXP(-LN(2)/25))/(LN(2)/25)*Calculateur!BL73*Calculateur!BN73*VLOOKUP('Données projet'!$B$11,Paramètres!$A$1:$I$89,3,0)*0.475*44/12</f>
        <v>2.6430669280003722</v>
      </c>
      <c r="BR73" s="21">
        <f>EXP(-LN(2)/2)*BR72+(1-EXP(-LN(2)/2))/(LN(2)/2)*BL73*BO73*VLOOKUP('Données projet'!$B$11,Paramètres!$A$1:$I$89,3,0)*0.475*44/12</f>
        <v>7.5492676532752342E-6</v>
      </c>
      <c r="BS73" s="22">
        <f t="shared" si="63"/>
        <v>5.5991854226358191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12.875</v>
      </c>
      <c r="BY73" s="12">
        <f>IF('Données projet'!$A$114&gt;35,BY72+BX73-CG72,IF(A73&lt;'Données projet'!$A$114,$BV$205^A73,IF(A73='Données projet'!$A$114,'Données projet'!$B$114,BY72+BX73-CG72)))</f>
        <v>481.49999999999994</v>
      </c>
      <c r="BZ73" s="13">
        <f>BY73*VLOOKUP('Données projet'!$B$12,Paramètres!$A$1:$I$89,3,0)*VLOOKUP('Données projet'!$B$12,Paramètres!$A$1:$I$89,5,0)</f>
        <v>287.93700000000001</v>
      </c>
      <c r="CA73" s="13">
        <f t="shared" si="93"/>
        <v>68.641586729718156</v>
      </c>
      <c r="CB73" s="20">
        <f t="shared" si="64"/>
        <v>621.04103855425899</v>
      </c>
      <c r="CC73" s="59">
        <f t="shared" si="65"/>
        <v>897.94842047783482</v>
      </c>
      <c r="CD73" s="59">
        <f ca="1">AVERAGE(OFFSET($CC$3,0,0,'Données projet'!$E$12+1,1))-AVERAGE(OFFSET($H$3,0,0,'Données projet'!$E$12+1,1))</f>
        <v>368.16165268258442</v>
      </c>
      <c r="CE73" s="59">
        <f t="shared" si="94"/>
        <v>291.32219253157041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3.3868701485439567</v>
      </c>
      <c r="CL73" s="21">
        <f>EXP(-LN(2)/25)*CL72+(1-EXP(-LN(2)/25))/(LN(2)/25)*Calculateur!CG73*Calculateur!CI73*VLOOKUP('Données projet'!$B$12,Paramètres!$A$1:$I$89,3,0)*0.475*44/12</f>
        <v>2.1914481970674311</v>
      </c>
      <c r="CM73" s="21">
        <f>EXP(-LN(2)/2)*CM72+(1-EXP(-LN(2)/2))/(LN(2)/2)*CG73*CJ73*VLOOKUP('Données projet'!$B$12,Paramètres!$A$1:$I$89,3,0)*0.475*44/12</f>
        <v>7.555802827526059E-6</v>
      </c>
      <c r="CN73" s="22">
        <f t="shared" si="66"/>
        <v>5.5783259014142157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1.1368683772161603E-13</v>
      </c>
      <c r="CU73" s="17">
        <f>CT73*VLOOKUP('Données projet'!$B$13,Paramètres!$A$1:$I$89,3,0)*VLOOKUP('Données projet'!$B$13,Paramètres!$A$1:$I$89,5,0)</f>
        <v>6.7984728957526396E-14</v>
      </c>
      <c r="CV73" s="13">
        <f t="shared" si="95"/>
        <v>1.0682447123141398E-12</v>
      </c>
      <c r="CW73" s="20">
        <f t="shared" si="67"/>
        <v>1.978932943548152E-12</v>
      </c>
      <c r="CX73" s="59">
        <f t="shared" si="68"/>
        <v>276.90738192357776</v>
      </c>
      <c r="CY73" s="59">
        <f ca="1">AVERAGE(OFFSET($CX$3,0,0,'Données projet'!$E$13+1,1))-AVERAGE(OFFSET($H$3,0,0,'Données projet'!$E$13+1,1))</f>
        <v>317.12995176362455</v>
      </c>
      <c r="CZ73" s="59">
        <f t="shared" si="96"/>
        <v>328.11301015275262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8.1761835968429732</v>
      </c>
      <c r="DG73" s="21">
        <f>EXP(-LN(2)/25)*DG72+(1-EXP(-LN(2)/25))/(LN(2)/25)*Calculateur!DB73*Calculateur!DD73*VLOOKUP('Données projet'!$B$13,Paramètres!$A$1:$I$89,3,0)*0.475*44/12</f>
        <v>5.3196017962732673</v>
      </c>
      <c r="DH73" s="21">
        <f>EXP(-LN(2)/2)*DH72+(1-EXP(-LN(2)/2))/(LN(2)/2)*DB73*DE73*VLOOKUP('Données projet'!$B$13,Paramètres!$A$1:$I$89,3,0)*0.475*44/12</f>
        <v>5.4754101601963165E-6</v>
      </c>
      <c r="DI73" s="22">
        <f t="shared" si="69"/>
        <v>13.495790868526401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227</v>
      </c>
      <c r="DM73" s="12">
        <f>VLOOKUP(A73,'Données projet'!$A$165:$I$185,9,0)</f>
        <v>4.5999999999999996</v>
      </c>
      <c r="DN73" s="12">
        <f t="array" ref="DN73">INDEX(DM:DM,MIN(IF(ISNUMBER(DM73:DM269),ROW(DM73:DM269),"")))</f>
        <v>4.5999999999999996</v>
      </c>
      <c r="DO73" s="12">
        <f>IF('Données projet'!$A$166&gt;35,DO72+DN73-DW72,IF(A73&lt;'Données projet'!$A$166,$DL$205^A73,IF(A73='Données projet'!$A$166,'Données projet'!$B$166,DO72+DN73-DW72)))</f>
        <v>226.99999999999994</v>
      </c>
      <c r="DP73" s="17">
        <f>DO73*VLOOKUP('Données projet'!$B$14,Paramètres!$A$1:$I$89,3,0)*VLOOKUP('Données projet'!$B$14,Paramètres!$A$1:$I$89,5,0)</f>
        <v>198.30719999999997</v>
      </c>
      <c r="DQ73" s="13">
        <f t="shared" si="97"/>
        <v>49.371957679623371</v>
      </c>
      <c r="DR73" s="20">
        <f t="shared" si="70"/>
        <v>431.37453295867726</v>
      </c>
      <c r="DS73" s="59">
        <f t="shared" si="71"/>
        <v>708.28191488225298</v>
      </c>
      <c r="DT73" s="59">
        <f ca="1">AVERAGE(OFFSET($DS$3,0,0,'Données projet'!$E$14+1,1))-AVERAGE(OFFSET($H$3,0,0,'Données projet'!$E$14+1,1))</f>
        <v>325.5873213944476</v>
      </c>
      <c r="DU73" s="59">
        <f t="shared" si="98"/>
        <v>347.9042278368363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17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1.3260367534793613</v>
      </c>
      <c r="EB73" s="21">
        <f>EXP(-LN(2)/25)*EB72+(1-EXP(-LN(2)/25))/(LN(2)/25)*Calculateur!DW73*Calculateur!DY73*VLOOKUP('Données projet'!$B$14,Paramètres!$A$1:$I$89,3,0)*0.475*44/12</f>
        <v>2.9106199314072789</v>
      </c>
      <c r="EC73" s="21">
        <f>EXP(-LN(2)/2)*EC72+(1-EXP(-LN(2)/2))/(LN(2)/2)*DW73*DZ73*VLOOKUP('Données projet'!$B$14,Paramètres!$A$1:$I$89,3,0)*0.475*44/12</f>
        <v>1.1396237026542151E-5</v>
      </c>
      <c r="ED73" s="22">
        <f t="shared" si="72"/>
        <v>4.2366680811236668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205.5480000480477</v>
      </c>
      <c r="EP73" s="59">
        <f t="shared" si="100"/>
        <v>229.86812144828366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3.3309488659057167</v>
      </c>
      <c r="EW73" s="21">
        <f>EXP(-LN(2)/25)*EW72+(1-EXP(-LN(2)/25))/(LN(2)/25)*Calculateur!ER73*Calculateur!ET73*VLOOKUP('Données projet'!$B$15,Paramètres!$A$1:$I$89,3,0)*0.475*44/12</f>
        <v>1.9866965447589688</v>
      </c>
      <c r="EX73" s="21">
        <f>EXP(-LN(2)/2)*EX72+(1-EXP(-LN(2)/2))/(LN(2)/2)*ER73*EU73*VLOOKUP('Données projet'!$B$15,Paramètres!$A$1:$I$89,3,0)*0.475*44/12</f>
        <v>2.8209410001674784E-6</v>
      </c>
      <c r="EY73" s="22">
        <f t="shared" si="75"/>
        <v>5.317648231605685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3.05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12.405120000000009</v>
      </c>
      <c r="D74" s="11">
        <f t="shared" si="86"/>
        <v>4.264399480143517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48.781304259722958</v>
      </c>
      <c r="H74" s="67">
        <f t="shared" si="56"/>
        <v>240.96607976124994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-3.4106051316484809E-13</v>
      </c>
      <c r="O74" s="13">
        <f>N74*VLOOKUP('Données projet'!$B$9,Paramètres!$A$1:$I$89,3,0)*VLOOKUP('Données projet'!$B$9,Paramètres!$A$1:$I$89,5,0)</f>
        <v>-1.9065282685915009E-13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542.23071537860039</v>
      </c>
      <c r="T74" s="59">
        <f t="shared" si="88"/>
        <v>667.26143680054633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3.2594192124672396</v>
      </c>
      <c r="AA74" s="21">
        <f>EXP(-LN(2)/25)*AA73+(1-EXP(-LN(2)/25))/(LN(2)/25)*Calculateur!V74*Calculateur!X74*VLOOKUP('Données projet'!$B$9,Paramètres!$A$1:$I$89,3,0)*0.475*44/12</f>
        <v>13.672407825289591</v>
      </c>
      <c r="AB74" s="21">
        <f>EXP(-LN(2)/2)*AB73+(1-EXP(-LN(2)/2))/(LN(2)/2)*V74*Y74*VLOOKUP('Données projet'!$B$9,Paramètres!$A$1:$I$89,3,0)*0.475*44/12</f>
        <v>9.7227437079498512E-6</v>
      </c>
      <c r="AC74" s="22">
        <f t="shared" si="57"/>
        <v>16.931836760500541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-2.2737367544323206E-13</v>
      </c>
      <c r="AJ74" s="13">
        <f>AI74*VLOOKUP('Données projet'!$B$10,Paramètres!$A$1:$I$89,3,0)*VLOOKUP('Données projet'!$B$10,Paramètres!$A$1:$I$89,5,0)</f>
        <v>-1.2710188457276673E-13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427.83834708696861</v>
      </c>
      <c r="AO74" s="59">
        <f t="shared" si="90"/>
        <v>545.63950537101903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1.9556515274803445</v>
      </c>
      <c r="AV74" s="21">
        <f>EXP(-LN(2)/25)*AV73+(1-EXP(-LN(2)/25))/(LN(2)/25)*Calculateur!AQ74*Calculateur!AS74*VLOOKUP('Données projet'!$B$10,Paramètres!$A$1:$I$89,3,0)*0.475*44/12</f>
        <v>7.8997757864313591</v>
      </c>
      <c r="AW74" s="21">
        <f>EXP(-LN(2)/2)*AW73+(1-EXP(-LN(2)/2))/(LN(2)/2)*AQ74*AT74*VLOOKUP('Données projet'!$B$10,Paramètres!$A$1:$I$89,3,0)*0.475*44/12</f>
        <v>6.2392384331246573E-6</v>
      </c>
      <c r="AX74" s="21">
        <f t="shared" si="60"/>
        <v>9.8554335531501369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7.7</v>
      </c>
      <c r="BD74" s="12">
        <f>IF('Données projet'!$A$88&gt;35,BD73+BC74-BL73,IF(A74&lt;'Données projet'!$A$88,$BA$205^A74,IF(A74='Données projet'!$A$88,'Données projet'!$B$88,BD73+BC74-BL73)))</f>
        <v>195.69999999999993</v>
      </c>
      <c r="BE74" s="13">
        <f>BD74*VLOOKUP('Données projet'!$B$11,Paramètres!$A$1:$I$89,3,0)*VLOOKUP('Données projet'!$B$11,Paramètres!$A$1:$I$89,5,0)</f>
        <v>91.587599999999966</v>
      </c>
      <c r="BF74" s="13">
        <f t="shared" si="91"/>
        <v>24.947725347033249</v>
      </c>
      <c r="BG74" s="20">
        <f t="shared" si="61"/>
        <v>202.96569164608286</v>
      </c>
      <c r="BH74" s="59">
        <f t="shared" si="62"/>
        <v>480.15802710369212</v>
      </c>
      <c r="BI74" s="59">
        <f ca="1">AVERAGE(OFFSET($BH$3,0,0,'Données projet'!$E$11+1,1))-AVERAGE(OFFSET($H$3,0,0,'Données projet'!$E$11+1,1))</f>
        <v>210.62109466714364</v>
      </c>
      <c r="BJ74" s="59">
        <f t="shared" si="92"/>
        <v>193.35729443770401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2.8981434127787709</v>
      </c>
      <c r="BQ74" s="21">
        <f>EXP(-LN(2)/25)*BQ73+(1-EXP(-LN(2)/25))/(LN(2)/25)*Calculateur!BL74*Calculateur!BN74*VLOOKUP('Données projet'!$B$11,Paramètres!$A$1:$I$89,3,0)*0.475*44/12</f>
        <v>2.5707921238613531</v>
      </c>
      <c r="BR74" s="21">
        <f>EXP(-LN(2)/2)*BR73+(1-EXP(-LN(2)/2))/(LN(2)/2)*BL74*BO74*VLOOKUP('Données projet'!$B$11,Paramètres!$A$1:$I$89,3,0)*0.475*44/12</f>
        <v>5.3381383506231725E-6</v>
      </c>
      <c r="BS74" s="22">
        <f t="shared" si="63"/>
        <v>5.4689408747784753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12.875</v>
      </c>
      <c r="BY74" s="12">
        <f>IF('Données projet'!$A$114&gt;35,BY73+BX74-CG73,IF(A74&lt;'Données projet'!$A$114,$BV$205^A74,IF(A74='Données projet'!$A$114,'Données projet'!$B$114,BY73+BX74-CG73)))</f>
        <v>494.37499999999994</v>
      </c>
      <c r="BZ74" s="13">
        <f>BY74*VLOOKUP('Données projet'!$B$12,Paramètres!$A$1:$I$89,3,0)*VLOOKUP('Données projet'!$B$12,Paramètres!$A$1:$I$89,5,0)</f>
        <v>295.63625000000002</v>
      </c>
      <c r="CA74" s="13">
        <f t="shared" si="93"/>
        <v>70.260875189476423</v>
      </c>
      <c r="CB74" s="20">
        <f t="shared" si="64"/>
        <v>637.27082637167155</v>
      </c>
      <c r="CC74" s="59">
        <f t="shared" si="65"/>
        <v>914.46316182928081</v>
      </c>
      <c r="CD74" s="59">
        <f ca="1">AVERAGE(OFFSET($CC$3,0,0,'Données projet'!$E$12+1,1))-AVERAGE(OFFSET($H$3,0,0,'Données projet'!$E$12+1,1))</f>
        <v>368.16165268258442</v>
      </c>
      <c r="CE74" s="59">
        <f t="shared" si="94"/>
        <v>291.32219253157041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3.3204556907178207</v>
      </c>
      <c r="CL74" s="21">
        <f>EXP(-LN(2)/25)*CL73+(1-EXP(-LN(2)/25))/(LN(2)/25)*Calculateur!CG74*Calculateur!CI74*VLOOKUP('Données projet'!$B$12,Paramètres!$A$1:$I$89,3,0)*0.475*44/12</f>
        <v>2.13152293087537</v>
      </c>
      <c r="CM74" s="21">
        <f>EXP(-LN(2)/2)*CM73+(1-EXP(-LN(2)/2))/(LN(2)/2)*CG74*CJ74*VLOOKUP('Données projet'!$B$12,Paramètres!$A$1:$I$89,3,0)*0.475*44/12</f>
        <v>5.3427594166521663E-6</v>
      </c>
      <c r="CN74" s="22">
        <f t="shared" si="66"/>
        <v>5.4519839643526069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1.1368683772161603E-13</v>
      </c>
      <c r="CU74" s="17">
        <f>CT74*VLOOKUP('Données projet'!$B$13,Paramètres!$A$1:$I$89,3,0)*VLOOKUP('Données projet'!$B$13,Paramètres!$A$1:$I$89,5,0)</f>
        <v>6.7984728957526396E-14</v>
      </c>
      <c r="CV74" s="13">
        <f t="shared" si="95"/>
        <v>1.0682447123141398E-12</v>
      </c>
      <c r="CW74" s="20">
        <f t="shared" si="67"/>
        <v>1.978932943548152E-12</v>
      </c>
      <c r="CX74" s="59">
        <f t="shared" si="68"/>
        <v>277.19233545761125</v>
      </c>
      <c r="CY74" s="59">
        <f ca="1">AVERAGE(OFFSET($CX$3,0,0,'Données projet'!$E$13+1,1))-AVERAGE(OFFSET($H$3,0,0,'Données projet'!$E$13+1,1))</f>
        <v>317.12995176362455</v>
      </c>
      <c r="CZ74" s="59">
        <f t="shared" si="96"/>
        <v>328.11301015275262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8.0158536234884536</v>
      </c>
      <c r="DG74" s="21">
        <f>EXP(-LN(2)/25)*DG73+(1-EXP(-LN(2)/25))/(LN(2)/25)*Calculateur!DB74*Calculateur!DD74*VLOOKUP('Données projet'!$B$13,Paramètres!$A$1:$I$89,3,0)*0.475*44/12</f>
        <v>5.1741370054084745</v>
      </c>
      <c r="DH74" s="21">
        <f>EXP(-LN(2)/2)*DH73+(1-EXP(-LN(2)/2))/(LN(2)/2)*DB74*DE74*VLOOKUP('Données projet'!$B$13,Paramètres!$A$1:$I$89,3,0)*0.475*44/12</f>
        <v>3.8716996540525359E-6</v>
      </c>
      <c r="DI74" s="22">
        <f t="shared" si="69"/>
        <v>13.189994500596583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</v>
      </c>
      <c r="DO74" s="12">
        <f>IF('Données projet'!$A$166&gt;35,DO73+DN74-DW73,IF(A74&lt;'Données projet'!$A$166,$DL$205^A74,IF(A74='Données projet'!$A$166,'Données projet'!$B$166,DO73+DN74-DW73)))</f>
        <v>213.99999999999994</v>
      </c>
      <c r="DP74" s="17">
        <f>DO74*VLOOKUP('Données projet'!$B$14,Paramètres!$A$1:$I$89,3,0)*VLOOKUP('Données projet'!$B$14,Paramètres!$A$1:$I$89,5,0)</f>
        <v>186.95039999999997</v>
      </c>
      <c r="DQ74" s="13">
        <f t="shared" si="97"/>
        <v>46.865095976617653</v>
      </c>
      <c r="DR74" s="20">
        <f t="shared" si="70"/>
        <v>407.22865549260905</v>
      </c>
      <c r="DS74" s="59">
        <f t="shared" si="71"/>
        <v>684.42099095021831</v>
      </c>
      <c r="DT74" s="59">
        <f ca="1">AVERAGE(OFFSET($DS$3,0,0,'Données projet'!$E$14+1,1))-AVERAGE(OFFSET($H$3,0,0,'Données projet'!$E$14+1,1))</f>
        <v>325.5873213944476</v>
      </c>
      <c r="DU74" s="59">
        <f t="shared" si="98"/>
        <v>347.9042278368363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1.3000339815461881</v>
      </c>
      <c r="EB74" s="21">
        <f>EXP(-LN(2)/25)*EB73+(1-EXP(-LN(2)/25))/(LN(2)/25)*Calculateur!DW74*Calculateur!DY74*VLOOKUP('Données projet'!$B$14,Paramètres!$A$1:$I$89,3,0)*0.475*44/12</f>
        <v>2.8310288763200968</v>
      </c>
      <c r="EC74" s="21">
        <f>EXP(-LN(2)/2)*EC73+(1-EXP(-LN(2)/2))/(LN(2)/2)*DW74*DZ74*VLOOKUP('Données projet'!$B$14,Paramètres!$A$1:$I$89,3,0)*0.475*44/12</f>
        <v>8.0583564814771716E-6</v>
      </c>
      <c r="ED74" s="22">
        <f t="shared" si="72"/>
        <v>4.1310709162227663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205.5480000480477</v>
      </c>
      <c r="EP74" s="59">
        <f t="shared" si="100"/>
        <v>229.86812144828366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3.2656309903235021</v>
      </c>
      <c r="EW74" s="21">
        <f>EXP(-LN(2)/25)*EW73+(1-EXP(-LN(2)/25))/(LN(2)/25)*Calculateur!ER74*Calculateur!ET74*VLOOKUP('Données projet'!$B$15,Paramètres!$A$1:$I$89,3,0)*0.475*44/12</f>
        <v>1.9323702232667042</v>
      </c>
      <c r="EX74" s="21">
        <f>EXP(-LN(2)/2)*EX73+(1-EXP(-LN(2)/2))/(LN(2)/2)*ER74*EU74*VLOOKUP('Données projet'!$B$15,Paramètres!$A$1:$I$89,3,0)*0.475*44/12</f>
        <v>1.9947065105455856E-6</v>
      </c>
      <c r="EY74" s="22">
        <f t="shared" si="75"/>
        <v>5.1980032082967167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3.05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12.57984000000001</v>
      </c>
      <c r="D75" s="11">
        <f t="shared" si="86"/>
        <v>4.3174269552455753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49.343880478922429</v>
      </c>
      <c r="H75" s="67">
        <f t="shared" si="56"/>
        <v>241.36273994705269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-3.4106051316484809E-13</v>
      </c>
      <c r="O75" s="13">
        <f>N75*VLOOKUP('Données projet'!$B$9,Paramètres!$A$1:$I$89,3,0)*VLOOKUP('Données projet'!$B$9,Paramètres!$A$1:$I$89,5,0)</f>
        <v>-1.9065282685915009E-13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542.23071537860039</v>
      </c>
      <c r="T75" s="59">
        <f t="shared" si="88"/>
        <v>667.26143680054633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3.1955039897601729</v>
      </c>
      <c r="AA75" s="21">
        <f>EXP(-LN(2)/25)*AA74+(1-EXP(-LN(2)/25))/(LN(2)/25)*Calculateur!V75*Calculateur!X75*VLOOKUP('Données projet'!$B$9,Paramètres!$A$1:$I$89,3,0)*0.475*44/12</f>
        <v>13.298535114306368</v>
      </c>
      <c r="AB75" s="21">
        <f>EXP(-LN(2)/2)*AB74+(1-EXP(-LN(2)/2))/(LN(2)/2)*V75*Y75*VLOOKUP('Données projet'!$B$9,Paramètres!$A$1:$I$89,3,0)*0.475*44/12</f>
        <v>6.8750180076301773E-6</v>
      </c>
      <c r="AC75" s="22">
        <f t="shared" si="57"/>
        <v>16.49404597908455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-2.2737367544323206E-13</v>
      </c>
      <c r="AJ75" s="13">
        <f>AI75*VLOOKUP('Données projet'!$B$10,Paramètres!$A$1:$I$89,3,0)*VLOOKUP('Données projet'!$B$10,Paramètres!$A$1:$I$89,5,0)</f>
        <v>-1.2710188457276673E-13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427.83834708696861</v>
      </c>
      <c r="AO75" s="59">
        <f t="shared" si="90"/>
        <v>545.63950537101903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1.9173023938561047</v>
      </c>
      <c r="AV75" s="21">
        <f>EXP(-LN(2)/25)*AV74+(1-EXP(-LN(2)/25))/(LN(2)/25)*Calculateur!AQ75*Calculateur!AS75*VLOOKUP('Données projet'!$B$10,Paramètres!$A$1:$I$89,3,0)*0.475*44/12</f>
        <v>7.6837560021202398</v>
      </c>
      <c r="AW75" s="21">
        <f>EXP(-LN(2)/2)*AW74+(1-EXP(-LN(2)/2))/(LN(2)/2)*AQ75*AT75*VLOOKUP('Données projet'!$B$10,Paramètres!$A$1:$I$89,3,0)*0.475*44/12</f>
        <v>4.4118078055021746E-6</v>
      </c>
      <c r="AX75" s="21">
        <f t="shared" si="60"/>
        <v>9.6010628077841513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7.7</v>
      </c>
      <c r="BD75" s="12">
        <f>IF('Données projet'!$A$88&gt;35,BD74+BC75-BL74,IF(A75&lt;'Données projet'!$A$88,$BA$205^A75,IF(A75='Données projet'!$A$88,'Données projet'!$B$88,BD74+BC75-BL74)))</f>
        <v>203.39999999999992</v>
      </c>
      <c r="BE75" s="13">
        <f>BD75*VLOOKUP('Données projet'!$B$11,Paramètres!$A$1:$I$89,3,0)*VLOOKUP('Données projet'!$B$11,Paramètres!$A$1:$I$89,5,0)</f>
        <v>95.191199999999967</v>
      </c>
      <c r="BF75" s="13">
        <f t="shared" si="91"/>
        <v>25.813102077510479</v>
      </c>
      <c r="BG75" s="20">
        <f t="shared" si="61"/>
        <v>210.74915945166401</v>
      </c>
      <c r="BH75" s="59">
        <f t="shared" si="62"/>
        <v>488.22150513655185</v>
      </c>
      <c r="BI75" s="59">
        <f ca="1">AVERAGE(OFFSET($BH$3,0,0,'Données projet'!$E$11+1,1))-AVERAGE(OFFSET($H$3,0,0,'Données projet'!$E$11+1,1))</f>
        <v>210.62109466714364</v>
      </c>
      <c r="BJ75" s="59">
        <f t="shared" si="92"/>
        <v>193.35729443770401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2.8413125881471157</v>
      </c>
      <c r="BQ75" s="21">
        <f>EXP(-LN(2)/25)*BQ74+(1-EXP(-LN(2)/25))/(LN(2)/25)*Calculateur!BL75*Calculateur!BN75*VLOOKUP('Données projet'!$B$11,Paramètres!$A$1:$I$89,3,0)*0.475*44/12</f>
        <v>2.5004936780422824</v>
      </c>
      <c r="BR75" s="21">
        <f>EXP(-LN(2)/2)*BR74+(1-EXP(-LN(2)/2))/(LN(2)/2)*BL75*BO75*VLOOKUP('Données projet'!$B$11,Paramètres!$A$1:$I$89,3,0)*0.475*44/12</f>
        <v>3.7746338266376175E-6</v>
      </c>
      <c r="BS75" s="22">
        <f t="shared" si="63"/>
        <v>5.3418100408232245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12.875</v>
      </c>
      <c r="BY75" s="12">
        <f>IF('Données projet'!$A$114&gt;35,BY74+BX75-CG74,IF(A75&lt;'Données projet'!$A$114,$BV$205^A75,IF(A75='Données projet'!$A$114,'Données projet'!$B$114,BY74+BX75-CG74)))</f>
        <v>507.24999999999994</v>
      </c>
      <c r="BZ75" s="13">
        <f>BY75*VLOOKUP('Données projet'!$B$12,Paramètres!$A$1:$I$89,3,0)*VLOOKUP('Données projet'!$B$12,Paramètres!$A$1:$I$89,5,0)</f>
        <v>303.33549999999997</v>
      </c>
      <c r="CA75" s="13">
        <f t="shared" si="93"/>
        <v>71.875261779950591</v>
      </c>
      <c r="CB75" s="20">
        <f t="shared" si="64"/>
        <v>653.49207676674712</v>
      </c>
      <c r="CC75" s="59">
        <f t="shared" si="65"/>
        <v>930.96442245163496</v>
      </c>
      <c r="CD75" s="59">
        <f ca="1">AVERAGE(OFFSET($CC$3,0,0,'Données projet'!$E$12+1,1))-AVERAGE(OFFSET($H$3,0,0,'Données projet'!$E$12+1,1))</f>
        <v>368.16165268258442</v>
      </c>
      <c r="CE75" s="59">
        <f t="shared" si="94"/>
        <v>291.32219253157041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3.2553435799008361</v>
      </c>
      <c r="CL75" s="21">
        <f>EXP(-LN(2)/25)*CL74+(1-EXP(-LN(2)/25))/(LN(2)/25)*Calculateur!CG75*Calculateur!CI75*VLOOKUP('Données projet'!$B$12,Paramètres!$A$1:$I$89,3,0)*0.475*44/12</f>
        <v>2.0732363242386636</v>
      </c>
      <c r="CM75" s="21">
        <f>EXP(-LN(2)/2)*CM74+(1-EXP(-LN(2)/2))/(LN(2)/2)*CG75*CJ75*VLOOKUP('Données projet'!$B$12,Paramètres!$A$1:$I$89,3,0)*0.475*44/12</f>
        <v>3.7779014137630299E-6</v>
      </c>
      <c r="CN75" s="22">
        <f t="shared" si="66"/>
        <v>5.3285836820409136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1.1368683772161603E-13</v>
      </c>
      <c r="CU75" s="17">
        <f>CT75*VLOOKUP('Données projet'!$B$13,Paramètres!$A$1:$I$89,3,0)*VLOOKUP('Données projet'!$B$13,Paramètres!$A$1:$I$89,5,0)</f>
        <v>6.7984728957526396E-14</v>
      </c>
      <c r="CV75" s="13">
        <f t="shared" si="95"/>
        <v>1.0682447123141398E-12</v>
      </c>
      <c r="CW75" s="20">
        <f t="shared" si="67"/>
        <v>1.978932943548152E-12</v>
      </c>
      <c r="CX75" s="59">
        <f t="shared" si="68"/>
        <v>277.47234568488983</v>
      </c>
      <c r="CY75" s="59">
        <f ca="1">AVERAGE(OFFSET($CX$3,0,0,'Données projet'!$E$13+1,1))-AVERAGE(OFFSET($H$3,0,0,'Données projet'!$E$13+1,1))</f>
        <v>317.12995176362455</v>
      </c>
      <c r="CZ75" s="59">
        <f t="shared" si="96"/>
        <v>328.11301015275262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7.8586676231197883</v>
      </c>
      <c r="DG75" s="21">
        <f>EXP(-LN(2)/25)*DG74+(1-EXP(-LN(2)/25))/(LN(2)/25)*Calculateur!DB75*Calculateur!DD75*VLOOKUP('Données projet'!$B$13,Paramètres!$A$1:$I$89,3,0)*0.475*44/12</f>
        <v>5.0326499568995402</v>
      </c>
      <c r="DH75" s="21">
        <f>EXP(-LN(2)/2)*DH74+(1-EXP(-LN(2)/2))/(LN(2)/2)*DB75*DE75*VLOOKUP('Données projet'!$B$13,Paramètres!$A$1:$I$89,3,0)*0.475*44/12</f>
        <v>2.7377050800981583E-6</v>
      </c>
      <c r="DI75" s="22">
        <f t="shared" si="69"/>
        <v>12.891320317724409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</v>
      </c>
      <c r="DO75" s="12">
        <f>IF('Données projet'!$A$166&gt;35,DO74+DN75-DW74,IF(A75&lt;'Données projet'!$A$166,$DL$205^A75,IF(A75='Données projet'!$A$166,'Données projet'!$B$166,DO74+DN75-DW74)))</f>
        <v>217.99999999999994</v>
      </c>
      <c r="DP75" s="17">
        <f>DO75*VLOOKUP('Données projet'!$B$14,Paramètres!$A$1:$I$89,3,0)*VLOOKUP('Données projet'!$B$14,Paramètres!$A$1:$I$89,5,0)</f>
        <v>190.44479999999999</v>
      </c>
      <c r="DQ75" s="13">
        <f t="shared" si="97"/>
        <v>47.638278428909231</v>
      </c>
      <c r="DR75" s="20">
        <f t="shared" si="70"/>
        <v>414.66136159701688</v>
      </c>
      <c r="DS75" s="59">
        <f t="shared" si="71"/>
        <v>692.13370728190466</v>
      </c>
      <c r="DT75" s="59">
        <f ca="1">AVERAGE(OFFSET($DS$3,0,0,'Données projet'!$E$14+1,1))-AVERAGE(OFFSET($H$3,0,0,'Données projet'!$E$14+1,1))</f>
        <v>325.5873213944476</v>
      </c>
      <c r="DU75" s="59">
        <f t="shared" si="98"/>
        <v>347.9042278368363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1.2745411081104996</v>
      </c>
      <c r="EB75" s="21">
        <f>EXP(-LN(2)/25)*EB74+(1-EXP(-LN(2)/25))/(LN(2)/25)*Calculateur!DW75*Calculateur!DY75*VLOOKUP('Données projet'!$B$14,Paramètres!$A$1:$I$89,3,0)*0.475*44/12</f>
        <v>2.7536142428197854</v>
      </c>
      <c r="EC75" s="21">
        <f>EXP(-LN(2)/2)*EC74+(1-EXP(-LN(2)/2))/(LN(2)/2)*DW75*DZ75*VLOOKUP('Données projet'!$B$14,Paramètres!$A$1:$I$89,3,0)*0.475*44/12</f>
        <v>5.6981185132710754E-6</v>
      </c>
      <c r="ED75" s="22">
        <f t="shared" si="72"/>
        <v>4.0281610490487978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205.5480000480477</v>
      </c>
      <c r="EP75" s="59">
        <f t="shared" si="100"/>
        <v>229.86812144828366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3.2015939584414848</v>
      </c>
      <c r="EW75" s="21">
        <f>EXP(-LN(2)/25)*EW74+(1-EXP(-LN(2)/25))/(LN(2)/25)*Calculateur!ER75*Calculateur!ET75*VLOOKUP('Données projet'!$B$15,Paramètres!$A$1:$I$89,3,0)*0.475*44/12</f>
        <v>1.8795294578925426</v>
      </c>
      <c r="EX75" s="21">
        <f>EXP(-LN(2)/2)*EX74+(1-EXP(-LN(2)/2))/(LN(2)/2)*ER75*EU75*VLOOKUP('Données projet'!$B$15,Paramètres!$A$1:$I$89,3,0)*0.475*44/12</f>
        <v>1.4104705000837392E-6</v>
      </c>
      <c r="EY75" s="22">
        <f t="shared" si="75"/>
        <v>5.0811248268045279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3.05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12.75456000000001</v>
      </c>
      <c r="D76" s="11">
        <f t="shared" si="86"/>
        <v>4.3703687689433925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49.906245099425107</v>
      </c>
      <c r="H76" s="67">
        <f t="shared" si="56"/>
        <v>241.75925093924306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-3.4106051316484809E-13</v>
      </c>
      <c r="O76" s="13">
        <f>N76*VLOOKUP('Données projet'!$B$9,Paramètres!$A$1:$I$89,3,0)*VLOOKUP('Données projet'!$B$9,Paramètres!$A$1:$I$89,5,0)</f>
        <v>-1.9065282685915009E-13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542.23071537860039</v>
      </c>
      <c r="T76" s="59">
        <f t="shared" si="88"/>
        <v>667.26143680054633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3.1328421055859557</v>
      </c>
      <c r="AA76" s="21">
        <f>EXP(-LN(2)/25)*AA75+(1-EXP(-LN(2)/25))/(LN(2)/25)*Calculateur!V76*Calculateur!X76*VLOOKUP('Données projet'!$B$9,Paramètres!$A$1:$I$89,3,0)*0.475*44/12</f>
        <v>12.934885972266093</v>
      </c>
      <c r="AB76" s="21">
        <f>EXP(-LN(2)/2)*AB75+(1-EXP(-LN(2)/2))/(LN(2)/2)*V76*Y76*VLOOKUP('Données projet'!$B$9,Paramètres!$A$1:$I$89,3,0)*0.475*44/12</f>
        <v>4.8613718539749256E-6</v>
      </c>
      <c r="AC76" s="22">
        <f t="shared" si="57"/>
        <v>16.067732939223902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-2.2737367544323206E-13</v>
      </c>
      <c r="AJ76" s="13">
        <f>AI76*VLOOKUP('Données projet'!$B$10,Paramètres!$A$1:$I$89,3,0)*VLOOKUP('Données projet'!$B$10,Paramètres!$A$1:$I$89,5,0)</f>
        <v>-1.2710188457276673E-13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427.83834708696861</v>
      </c>
      <c r="AO76" s="59">
        <f t="shared" si="90"/>
        <v>545.63950537101903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1.8797052633515743</v>
      </c>
      <c r="AV76" s="21">
        <f>EXP(-LN(2)/25)*AV75+(1-EXP(-LN(2)/25))/(LN(2)/25)*Calculateur!AQ76*Calculateur!AS76*VLOOKUP('Données projet'!$B$10,Paramètres!$A$1:$I$89,3,0)*0.475*44/12</f>
        <v>7.4736432901710952</v>
      </c>
      <c r="AW76" s="21">
        <f>EXP(-LN(2)/2)*AW75+(1-EXP(-LN(2)/2))/(LN(2)/2)*AQ76*AT76*VLOOKUP('Données projet'!$B$10,Paramètres!$A$1:$I$89,3,0)*0.475*44/12</f>
        <v>3.1196192165623286E-6</v>
      </c>
      <c r="AX76" s="21">
        <f t="shared" si="60"/>
        <v>9.3533516731418871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7.7</v>
      </c>
      <c r="BD76" s="12">
        <f>IF('Données projet'!$A$88&gt;35,BD75+BC76-BL75,IF(A76&lt;'Données projet'!$A$88,$BA$205^A76,IF(A76='Données projet'!$A$88,'Données projet'!$B$88,BD75+BC76-BL75)))</f>
        <v>211.09999999999991</v>
      </c>
      <c r="BE76" s="13">
        <f>BD76*VLOOKUP('Données projet'!$B$11,Paramètres!$A$1:$I$89,3,0)*VLOOKUP('Données projet'!$B$11,Paramètres!$A$1:$I$89,5,0)</f>
        <v>98.794799999999967</v>
      </c>
      <c r="BF76" s="13">
        <f t="shared" si="91"/>
        <v>26.674672963454121</v>
      </c>
      <c r="BG76" s="20">
        <f t="shared" si="61"/>
        <v>218.52599874468251</v>
      </c>
      <c r="BH76" s="59">
        <f t="shared" si="62"/>
        <v>496.27349710541478</v>
      </c>
      <c r="BI76" s="59">
        <f ca="1">AVERAGE(OFFSET($BH$3,0,0,'Données projet'!$E$11+1,1))-AVERAGE(OFFSET($H$3,0,0,'Données projet'!$E$11+1,1))</f>
        <v>210.62109466714364</v>
      </c>
      <c r="BJ76" s="59">
        <f t="shared" si="92"/>
        <v>193.35729443770401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2.7855961813231072</v>
      </c>
      <c r="BQ76" s="21">
        <f>EXP(-LN(2)/25)*BQ75+(1-EXP(-LN(2)/25))/(LN(2)/25)*Calculateur!BL76*Calculateur!BN76*VLOOKUP('Données projet'!$B$11,Paramètres!$A$1:$I$89,3,0)*0.475*44/12</f>
        <v>2.4321175469209688</v>
      </c>
      <c r="BR76" s="21">
        <f>EXP(-LN(2)/2)*BR75+(1-EXP(-LN(2)/2))/(LN(2)/2)*BL76*BO76*VLOOKUP('Données projet'!$B$11,Paramètres!$A$1:$I$89,3,0)*0.475*44/12</f>
        <v>2.6690691753115867E-6</v>
      </c>
      <c r="BS76" s="22">
        <f t="shared" si="63"/>
        <v>5.2177163973132519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12.875</v>
      </c>
      <c r="BY76" s="12">
        <f>IF('Données projet'!$A$114&gt;35,BY75+BX76-CG75,IF(A76&lt;'Données projet'!$A$114,$BV$205^A76,IF(A76='Données projet'!$A$114,'Données projet'!$B$114,BY75+BX76-CG75)))</f>
        <v>520.125</v>
      </c>
      <c r="BZ76" s="13">
        <f>BY76*VLOOKUP('Données projet'!$B$12,Paramètres!$A$1:$I$89,3,0)*VLOOKUP('Données projet'!$B$12,Paramètres!$A$1:$I$89,5,0)</f>
        <v>311.03475000000003</v>
      </c>
      <c r="CA76" s="13">
        <f t="shared" si="93"/>
        <v>73.484885227728896</v>
      </c>
      <c r="CB76" s="20">
        <f t="shared" si="64"/>
        <v>669.70503135496119</v>
      </c>
      <c r="CC76" s="59">
        <f t="shared" si="65"/>
        <v>947.45252971569346</v>
      </c>
      <c r="CD76" s="59">
        <f ca="1">AVERAGE(OFFSET($CC$3,0,0,'Données projet'!$E$12+1,1))-AVERAGE(OFFSET($H$3,0,0,'Données projet'!$E$12+1,1))</f>
        <v>368.16165268258442</v>
      </c>
      <c r="CE76" s="59">
        <f t="shared" si="94"/>
        <v>291.32219253157041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3.1915082778625061</v>
      </c>
      <c r="CL76" s="21">
        <f>EXP(-LN(2)/25)*CL75+(1-EXP(-LN(2)/25))/(LN(2)/25)*Calculateur!CG76*Calculateur!CI76*VLOOKUP('Données projet'!$B$12,Paramètres!$A$1:$I$89,3,0)*0.475*44/12</f>
        <v>2.0165435679255976</v>
      </c>
      <c r="CM76" s="21">
        <f>EXP(-LN(2)/2)*CM75+(1-EXP(-LN(2)/2))/(LN(2)/2)*CG76*CJ76*VLOOKUP('Données projet'!$B$12,Paramètres!$A$1:$I$89,3,0)*0.475*44/12</f>
        <v>2.6713797083260836E-6</v>
      </c>
      <c r="CN76" s="22">
        <f t="shared" si="66"/>
        <v>5.2080545171678123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1.1368683772161603E-13</v>
      </c>
      <c r="CU76" s="17">
        <f>CT76*VLOOKUP('Données projet'!$B$13,Paramètres!$A$1:$I$89,3,0)*VLOOKUP('Données projet'!$B$13,Paramètres!$A$1:$I$89,5,0)</f>
        <v>6.7984728957526396E-14</v>
      </c>
      <c r="CV76" s="13">
        <f t="shared" si="95"/>
        <v>1.0682447123141398E-12</v>
      </c>
      <c r="CW76" s="20">
        <f t="shared" si="67"/>
        <v>1.978932943548152E-12</v>
      </c>
      <c r="CX76" s="59">
        <f t="shared" si="68"/>
        <v>277.74749836073426</v>
      </c>
      <c r="CY76" s="59">
        <f ca="1">AVERAGE(OFFSET($CX$3,0,0,'Données projet'!$E$13+1,1))-AVERAGE(OFFSET($H$3,0,0,'Données projet'!$E$13+1,1))</f>
        <v>317.12995176362455</v>
      </c>
      <c r="CZ76" s="59">
        <f t="shared" si="96"/>
        <v>328.11301015275262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7.7045639443443585</v>
      </c>
      <c r="DG76" s="21">
        <f>EXP(-LN(2)/25)*DG75+(1-EXP(-LN(2)/25))/(LN(2)/25)*Calculateur!DB76*Calculateur!DD76*VLOOKUP('Données projet'!$B$13,Paramètres!$A$1:$I$89,3,0)*0.475*44/12</f>
        <v>4.8950318791725635</v>
      </c>
      <c r="DH76" s="21">
        <f>EXP(-LN(2)/2)*DH75+(1-EXP(-LN(2)/2))/(LN(2)/2)*DB76*DE76*VLOOKUP('Données projet'!$B$13,Paramètres!$A$1:$I$89,3,0)*0.475*44/12</f>
        <v>1.9358498270262679E-6</v>
      </c>
      <c r="DI76" s="22">
        <f t="shared" si="69"/>
        <v>12.599597759366748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</v>
      </c>
      <c r="DO76" s="12">
        <f>IF('Données projet'!$A$166&gt;35,DO75+DN76-DW75,IF(A76&lt;'Données projet'!$A$166,$DL$205^A76,IF(A76='Données projet'!$A$166,'Données projet'!$B$166,DO75+DN76-DW75)))</f>
        <v>221.99999999999994</v>
      </c>
      <c r="DP76" s="17">
        <f>DO76*VLOOKUP('Données projet'!$B$14,Paramètres!$A$1:$I$89,3,0)*VLOOKUP('Données projet'!$B$14,Paramètres!$A$1:$I$89,5,0)</f>
        <v>193.93919999999997</v>
      </c>
      <c r="DQ76" s="13">
        <f t="shared" si="97"/>
        <v>48.409811198069342</v>
      </c>
      <c r="DR76" s="20">
        <f t="shared" si="70"/>
        <v>422.091194503304</v>
      </c>
      <c r="DS76" s="59">
        <f t="shared" si="71"/>
        <v>699.83869286403626</v>
      </c>
      <c r="DT76" s="59">
        <f ca="1">AVERAGE(OFFSET($DS$3,0,0,'Données projet'!$E$14+1,1))-AVERAGE(OFFSET($H$3,0,0,'Données projet'!$E$14+1,1))</f>
        <v>325.5873213944476</v>
      </c>
      <c r="DU76" s="59">
        <f t="shared" si="98"/>
        <v>347.9042278368363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1.2495481343737673</v>
      </c>
      <c r="EB76" s="21">
        <f>EXP(-LN(2)/25)*EB75+(1-EXP(-LN(2)/25))/(LN(2)/25)*Calculateur!DW76*Calculateur!DY76*VLOOKUP('Données projet'!$B$14,Paramètres!$A$1:$I$89,3,0)*0.475*44/12</f>
        <v>2.6783165165435987</v>
      </c>
      <c r="EC76" s="21">
        <f>EXP(-LN(2)/2)*EC75+(1-EXP(-LN(2)/2))/(LN(2)/2)*DW76*DZ76*VLOOKUP('Données projet'!$B$14,Paramètres!$A$1:$I$89,3,0)*0.475*44/12</f>
        <v>4.0291782407385858E-6</v>
      </c>
      <c r="ED76" s="22">
        <f t="shared" si="72"/>
        <v>3.9278686800956066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205.5480000480477</v>
      </c>
      <c r="EP76" s="59">
        <f t="shared" si="100"/>
        <v>229.86812144828366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3.1388126536959411</v>
      </c>
      <c r="EW76" s="21">
        <f>EXP(-LN(2)/25)*EW75+(1-EXP(-LN(2)/25))/(LN(2)/25)*Calculateur!ER76*Calculateur!ET76*VLOOKUP('Données projet'!$B$15,Paramètres!$A$1:$I$89,3,0)*0.475*44/12</f>
        <v>1.8281336260263126</v>
      </c>
      <c r="EX76" s="21">
        <f>EXP(-LN(2)/2)*EX75+(1-EXP(-LN(2)/2))/(LN(2)/2)*ER76*EU76*VLOOKUP('Données projet'!$B$15,Paramètres!$A$1:$I$89,3,0)*0.475*44/12</f>
        <v>9.9735325527279281E-7</v>
      </c>
      <c r="EY76" s="22">
        <f t="shared" si="75"/>
        <v>4.9669472770755085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3.05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12.929280000000011</v>
      </c>
      <c r="D77" s="11">
        <f t="shared" si="86"/>
        <v>4.4232262303082388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50.4684013548667</v>
      </c>
      <c r="H77" s="67">
        <f t="shared" si="56"/>
        <v>242.15561501778683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-3.4106051316484809E-13</v>
      </c>
      <c r="O77" s="13">
        <f>N77*VLOOKUP('Données projet'!$B$9,Paramètres!$A$1:$I$89,3,0)*VLOOKUP('Données projet'!$B$9,Paramètres!$A$1:$I$89,5,0)</f>
        <v>-1.9065282685915009E-13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542.23071537860039</v>
      </c>
      <c r="T77" s="59">
        <f t="shared" si="88"/>
        <v>667.26143680054633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3.0714089827404192</v>
      </c>
      <c r="AA77" s="21">
        <f>EXP(-LN(2)/25)*AA76+(1-EXP(-LN(2)/25))/(LN(2)/25)*Calculateur!V77*Calculateur!X77*VLOOKUP('Données projet'!$B$9,Paramètres!$A$1:$I$89,3,0)*0.475*44/12</f>
        <v>12.581180835138387</v>
      </c>
      <c r="AB77" s="21">
        <f>EXP(-LN(2)/2)*AB76+(1-EXP(-LN(2)/2))/(LN(2)/2)*V77*Y77*VLOOKUP('Données projet'!$B$9,Paramètres!$A$1:$I$89,3,0)*0.475*44/12</f>
        <v>3.4375090038150886E-6</v>
      </c>
      <c r="AC77" s="22">
        <f t="shared" si="57"/>
        <v>15.65259325538781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-2.2737367544323206E-13</v>
      </c>
      <c r="AJ77" s="13">
        <f>AI77*VLOOKUP('Données projet'!$B$10,Paramètres!$A$1:$I$89,3,0)*VLOOKUP('Données projet'!$B$10,Paramètres!$A$1:$I$89,5,0)</f>
        <v>-1.2710188457276673E-13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427.83834708696861</v>
      </c>
      <c r="AO77" s="59">
        <f t="shared" si="90"/>
        <v>545.63950537101903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1.8428453896442525</v>
      </c>
      <c r="AV77" s="21">
        <f>EXP(-LN(2)/25)*AV76+(1-EXP(-LN(2)/25))/(LN(2)/25)*Calculateur!AQ77*Calculateur!AS77*VLOOKUP('Données projet'!$B$10,Paramètres!$A$1:$I$89,3,0)*0.475*44/12</f>
        <v>7.2692761213795469</v>
      </c>
      <c r="AW77" s="21">
        <f>EXP(-LN(2)/2)*AW76+(1-EXP(-LN(2)/2))/(LN(2)/2)*AQ77*AT77*VLOOKUP('Données projet'!$B$10,Paramètres!$A$1:$I$89,3,0)*0.475*44/12</f>
        <v>2.2059039027510873E-6</v>
      </c>
      <c r="AX77" s="21">
        <f t="shared" si="60"/>
        <v>9.1121237169277016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7.7</v>
      </c>
      <c r="BD77" s="12">
        <f>IF('Données projet'!$A$88&gt;35,BD76+BC77-BL76,IF(A77&lt;'Données projet'!$A$88,$BA$205^A77,IF(A77='Données projet'!$A$88,'Données projet'!$B$88,BD76+BC77-BL76)))</f>
        <v>218.7999999999999</v>
      </c>
      <c r="BE77" s="13">
        <f>BD77*VLOOKUP('Données projet'!$B$11,Paramètres!$A$1:$I$89,3,0)*VLOOKUP('Données projet'!$B$11,Paramètres!$A$1:$I$89,5,0)</f>
        <v>102.39839999999995</v>
      </c>
      <c r="BF77" s="13">
        <f t="shared" si="91"/>
        <v>27.532592725302155</v>
      </c>
      <c r="BG77" s="20">
        <f t="shared" si="61"/>
        <v>226.2964789965678</v>
      </c>
      <c r="BH77" s="59">
        <f t="shared" si="62"/>
        <v>504.31435674936779</v>
      </c>
      <c r="BI77" s="59">
        <f ca="1">AVERAGE(OFFSET($BH$3,0,0,'Données projet'!$E$11+1,1))-AVERAGE(OFFSET($H$3,0,0,'Données projet'!$E$11+1,1))</f>
        <v>210.62109466714364</v>
      </c>
      <c r="BJ77" s="59">
        <f t="shared" si="92"/>
        <v>193.35729443770401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2.730972339253265</v>
      </c>
      <c r="BQ77" s="21">
        <f>EXP(-LN(2)/25)*BQ76+(1-EXP(-LN(2)/25))/(LN(2)/25)*Calculateur!BL77*Calculateur!BN77*VLOOKUP('Données projet'!$B$11,Paramètres!$A$1:$I$89,3,0)*0.475*44/12</f>
        <v>2.3656111647009119</v>
      </c>
      <c r="BR77" s="21">
        <f>EXP(-LN(2)/2)*BR76+(1-EXP(-LN(2)/2))/(LN(2)/2)*BL77*BO77*VLOOKUP('Données projet'!$B$11,Paramètres!$A$1:$I$89,3,0)*0.475*44/12</f>
        <v>1.8873169133188092E-6</v>
      </c>
      <c r="BS77" s="22">
        <f t="shared" si="63"/>
        <v>5.0965853912710903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533</v>
      </c>
      <c r="BW77" s="12">
        <f>VLOOKUP(A77,'Données projet'!$A$113:$I$133,9,0)</f>
        <v>12.875</v>
      </c>
      <c r="BX77" s="12">
        <f t="array" ref="BX77">INDEX(BW:BW,MIN(IF(ISNUMBER(BW77:BW273),ROW(BW77:BW273),"")))</f>
        <v>12.875</v>
      </c>
      <c r="BY77" s="12">
        <f>IF('Données projet'!$A$114&gt;35,BY76+BX77-CG76,IF(A77&lt;'Données projet'!$A$114,$BV$205^A77,IF(A77='Données projet'!$A$114,'Données projet'!$B$114,BY76+BX77-CG76)))</f>
        <v>533</v>
      </c>
      <c r="BZ77" s="13">
        <f>BY77*VLOOKUP('Données projet'!$B$12,Paramètres!$A$1:$I$89,3,0)*VLOOKUP('Données projet'!$B$12,Paramètres!$A$1:$I$89,5,0)</f>
        <v>318.73400000000004</v>
      </c>
      <c r="CA77" s="13">
        <f t="shared" si="93"/>
        <v>75.089876999925679</v>
      </c>
      <c r="CB77" s="20">
        <f t="shared" si="64"/>
        <v>685.90991910820378</v>
      </c>
      <c r="CC77" s="59">
        <f t="shared" si="65"/>
        <v>963.9277968610038</v>
      </c>
      <c r="CD77" s="59">
        <f ca="1">AVERAGE(OFFSET($CC$3,0,0,'Données projet'!$E$12+1,1))-AVERAGE(OFFSET($H$3,0,0,'Données projet'!$E$12+1,1))</f>
        <v>368.16165268258442</v>
      </c>
      <c r="CE77" s="59">
        <f t="shared" si="94"/>
        <v>291.32219253157041</v>
      </c>
      <c r="CF77" s="15">
        <f>IF(ISNA(VLOOKUP(A77,'Données projet'!$A$113:$I$133,3,0)),0,VLOOKUP(A77,'Données projet'!$A$113:$I$133,3,0))</f>
        <v>10</v>
      </c>
      <c r="CG77" s="15">
        <f>IF(ISNA(VLOOKUP(A77,'Données projet'!$A$113:$I$133,4,0)),0,VLOOKUP(A77,'Données projet'!$A$113:$I$133,4,0))</f>
        <v>37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3.1289247471614585</v>
      </c>
      <c r="CL77" s="21">
        <f>EXP(-LN(2)/25)*CL76+(1-EXP(-LN(2)/25))/(LN(2)/25)*Calculateur!CG77*Calculateur!CI77*VLOOKUP('Données projet'!$B$12,Paramètres!$A$1:$I$89,3,0)*0.475*44/12</f>
        <v>1.9614010780152549</v>
      </c>
      <c r="CM77" s="21">
        <f>EXP(-LN(2)/2)*CM76+(1-EXP(-LN(2)/2))/(LN(2)/2)*CG77*CJ77*VLOOKUP('Données projet'!$B$12,Paramètres!$A$1:$I$89,3,0)*0.475*44/12</f>
        <v>1.8889507068815152E-6</v>
      </c>
      <c r="CN77" s="22">
        <f t="shared" si="66"/>
        <v>5.0903277141274206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1.1368683772161603E-13</v>
      </c>
      <c r="CU77" s="17">
        <f>CT77*VLOOKUP('Données projet'!$B$13,Paramètres!$A$1:$I$89,3,0)*VLOOKUP('Données projet'!$B$13,Paramètres!$A$1:$I$89,5,0)</f>
        <v>6.7984728957526396E-14</v>
      </c>
      <c r="CV77" s="13">
        <f t="shared" si="95"/>
        <v>1.0682447123141398E-12</v>
      </c>
      <c r="CW77" s="20">
        <f t="shared" si="67"/>
        <v>1.978932943548152E-12</v>
      </c>
      <c r="CX77" s="59">
        <f t="shared" si="68"/>
        <v>278.01787775280201</v>
      </c>
      <c r="CY77" s="59">
        <f ca="1">AVERAGE(OFFSET($CX$3,0,0,'Données projet'!$E$13+1,1))-AVERAGE(OFFSET($H$3,0,0,'Données projet'!$E$13+1,1))</f>
        <v>317.12995176362455</v>
      </c>
      <c r="CZ77" s="59">
        <f t="shared" si="96"/>
        <v>328.11301015275262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7.5534821447157521</v>
      </c>
      <c r="DG77" s="21">
        <f>EXP(-LN(2)/25)*DG76+(1-EXP(-LN(2)/25))/(LN(2)/25)*Calculateur!DB77*Calculateur!DD77*VLOOKUP('Données projet'!$B$13,Paramètres!$A$1:$I$89,3,0)*0.475*44/12</f>
        <v>4.761176975018051</v>
      </c>
      <c r="DH77" s="21">
        <f>EXP(-LN(2)/2)*DH76+(1-EXP(-LN(2)/2))/(LN(2)/2)*DB77*DE77*VLOOKUP('Données projet'!$B$13,Paramètres!$A$1:$I$89,3,0)*0.475*44/12</f>
        <v>1.3688525400490791E-6</v>
      </c>
      <c r="DI77" s="22">
        <f t="shared" si="69"/>
        <v>12.314660488586345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</v>
      </c>
      <c r="DO77" s="12">
        <f>IF('Données projet'!$A$166&gt;35,DO76+DN77-DW76,IF(A77&lt;'Données projet'!$A$166,$DL$205^A77,IF(A77='Données projet'!$A$166,'Données projet'!$B$166,DO76+DN77-DW76)))</f>
        <v>225.99999999999994</v>
      </c>
      <c r="DP77" s="17">
        <f>DO77*VLOOKUP('Données projet'!$B$14,Paramètres!$A$1:$I$89,3,0)*VLOOKUP('Données projet'!$B$14,Paramètres!$A$1:$I$89,5,0)</f>
        <v>197.43359999999996</v>
      </c>
      <c r="DQ77" s="13">
        <f t="shared" si="97"/>
        <v>49.179727436837609</v>
      </c>
      <c r="DR77" s="20">
        <f t="shared" si="70"/>
        <v>429.51821195249204</v>
      </c>
      <c r="DS77" s="59">
        <f t="shared" si="71"/>
        <v>707.53608970529206</v>
      </c>
      <c r="DT77" s="59">
        <f ca="1">AVERAGE(OFFSET($DS$3,0,0,'Données projet'!$E$14+1,1))-AVERAGE(OFFSET($H$3,0,0,'Données projet'!$E$14+1,1))</f>
        <v>325.5873213944476</v>
      </c>
      <c r="DU77" s="59">
        <f t="shared" si="98"/>
        <v>347.9042278368363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1.2250452576078037</v>
      </c>
      <c r="EB77" s="21">
        <f>EXP(-LN(2)/25)*EB76+(1-EXP(-LN(2)/25))/(LN(2)/25)*Calculateur!DW77*Calculateur!DY77*VLOOKUP('Données projet'!$B$14,Paramètres!$A$1:$I$89,3,0)*0.475*44/12</f>
        <v>2.6050778105521699</v>
      </c>
      <c r="EC77" s="21">
        <f>EXP(-LN(2)/2)*EC76+(1-EXP(-LN(2)/2))/(LN(2)/2)*DW77*DZ77*VLOOKUP('Données projet'!$B$14,Paramètres!$A$1:$I$89,3,0)*0.475*44/12</f>
        <v>2.8490592566355377E-6</v>
      </c>
      <c r="ED77" s="22">
        <f t="shared" si="72"/>
        <v>3.8301259172192301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205.5480000480477</v>
      </c>
      <c r="EP77" s="59">
        <f t="shared" si="100"/>
        <v>229.86812144828366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3.0772624520436427</v>
      </c>
      <c r="EW77" s="21">
        <f>EXP(-LN(2)/25)*EW76+(1-EXP(-LN(2)/25))/(LN(2)/25)*Calculateur!ER77*Calculateur!ET77*VLOOKUP('Données projet'!$B$15,Paramètres!$A$1:$I$89,3,0)*0.475*44/12</f>
        <v>1.7781432158852539</v>
      </c>
      <c r="EX77" s="21">
        <f>EXP(-LN(2)/2)*EX76+(1-EXP(-LN(2)/2))/(LN(2)/2)*ER77*EU77*VLOOKUP('Données projet'!$B$15,Paramètres!$A$1:$I$89,3,0)*0.475*44/12</f>
        <v>7.0523525004186959E-7</v>
      </c>
      <c r="EY77" s="22">
        <f t="shared" si="75"/>
        <v>4.8554063731641461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3.05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13.104000000000012</v>
      </c>
      <c r="D78" s="11">
        <f t="shared" si="86"/>
        <v>4.4760006109979829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51.030352386465225</v>
      </c>
      <c r="H78" s="67">
        <f t="shared" si="56"/>
        <v>242.55183439748816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-3.4106051316484809E-13</v>
      </c>
      <c r="O78" s="13">
        <f>N78*VLOOKUP('Données projet'!$B$9,Paramètres!$A$1:$I$89,3,0)*VLOOKUP('Données projet'!$B$9,Paramètres!$A$1:$I$89,5,0)</f>
        <v>-1.9065282685915009E-13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542.23071537860039</v>
      </c>
      <c r="T78" s="59">
        <f t="shared" si="88"/>
        <v>667.26143680054633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3.0111805259633786</v>
      </c>
      <c r="AA78" s="21">
        <f>EXP(-LN(2)/25)*AA77+(1-EXP(-LN(2)/25))/(LN(2)/25)*Calculateur!V78*Calculateur!X78*VLOOKUP('Données projet'!$B$9,Paramètres!$A$1:$I$89,3,0)*0.475*44/12</f>
        <v>12.237147783585982</v>
      </c>
      <c r="AB78" s="21">
        <f>EXP(-LN(2)/2)*AB77+(1-EXP(-LN(2)/2))/(LN(2)/2)*V78*Y78*VLOOKUP('Données projet'!$B$9,Paramètres!$A$1:$I$89,3,0)*0.475*44/12</f>
        <v>2.4306859269874628E-6</v>
      </c>
      <c r="AC78" s="22">
        <f t="shared" si="57"/>
        <v>15.248330740235287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-2.2737367544323206E-13</v>
      </c>
      <c r="AJ78" s="13">
        <f>AI78*VLOOKUP('Données projet'!$B$10,Paramètres!$A$1:$I$89,3,0)*VLOOKUP('Données projet'!$B$10,Paramètres!$A$1:$I$89,5,0)</f>
        <v>-1.2710188457276673E-13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427.83834708696861</v>
      </c>
      <c r="AO78" s="59">
        <f t="shared" si="90"/>
        <v>545.63950537101903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1.8067083155780281</v>
      </c>
      <c r="AV78" s="21">
        <f>EXP(-LN(2)/25)*AV77+(1-EXP(-LN(2)/25))/(LN(2)/25)*Calculateur!AQ78*Calculateur!AS78*VLOOKUP('Données projet'!$B$10,Paramètres!$A$1:$I$89,3,0)*0.475*44/12</f>
        <v>7.0704973835658063</v>
      </c>
      <c r="AW78" s="21">
        <f>EXP(-LN(2)/2)*AW77+(1-EXP(-LN(2)/2))/(LN(2)/2)*AQ78*AT78*VLOOKUP('Données projet'!$B$10,Paramètres!$A$1:$I$89,3,0)*0.475*44/12</f>
        <v>1.5598096082811643E-6</v>
      </c>
      <c r="AX78" s="21">
        <f t="shared" si="60"/>
        <v>8.8772072589534421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7.7</v>
      </c>
      <c r="BD78" s="12">
        <f>IF('Données projet'!$A$88&gt;35,BD77+BC78-BL77,IF(A78&lt;'Données projet'!$A$88,$BA$205^A78,IF(A78='Données projet'!$A$88,'Données projet'!$B$88,BD77+BC78-BL77)))</f>
        <v>226.49999999999989</v>
      </c>
      <c r="BE78" s="13">
        <f>BD78*VLOOKUP('Données projet'!$B$11,Paramètres!$A$1:$I$89,3,0)*VLOOKUP('Données projet'!$B$11,Paramètres!$A$1:$I$89,5,0)</f>
        <v>106.00199999999994</v>
      </c>
      <c r="BF78" s="13">
        <f t="shared" si="91"/>
        <v>28.387004576208209</v>
      </c>
      <c r="BG78" s="20">
        <f t="shared" si="61"/>
        <v>234.06084963689582</v>
      </c>
      <c r="BH78" s="59">
        <f t="shared" si="62"/>
        <v>512.34441630378899</v>
      </c>
      <c r="BI78" s="59">
        <f ca="1">AVERAGE(OFFSET($BH$3,0,0,'Données projet'!$E$11+1,1))-AVERAGE(OFFSET($H$3,0,0,'Données projet'!$E$11+1,1))</f>
        <v>210.62109466714364</v>
      </c>
      <c r="BJ78" s="59">
        <f t="shared" si="92"/>
        <v>193.35729443770401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2.6774196374091583</v>
      </c>
      <c r="BQ78" s="21">
        <f>EXP(-LN(2)/25)*BQ77+(1-EXP(-LN(2)/25))/(LN(2)/25)*Calculateur!BL78*Calculateur!BN78*VLOOKUP('Données projet'!$B$11,Paramètres!$A$1:$I$89,3,0)*0.475*44/12</f>
        <v>2.3009234030000809</v>
      </c>
      <c r="BR78" s="21">
        <f>EXP(-LN(2)/2)*BR77+(1-EXP(-LN(2)/2))/(LN(2)/2)*BL78*BO78*VLOOKUP('Données projet'!$B$11,Paramètres!$A$1:$I$89,3,0)*0.475*44/12</f>
        <v>1.3345345876557935E-6</v>
      </c>
      <c r="BS78" s="22">
        <f t="shared" si="63"/>
        <v>4.978344374943827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8.875</v>
      </c>
      <c r="BY78" s="12">
        <f>IF('Données projet'!$A$114&gt;35,BY77+BX78-CG77,IF(A78&lt;'Données projet'!$A$114,$BV$205^A78,IF(A78='Données projet'!$A$114,'Données projet'!$B$114,BY77+BX78-CG77)))</f>
        <v>504.875</v>
      </c>
      <c r="BZ78" s="13">
        <f>BY78*VLOOKUP('Données projet'!$B$12,Paramètres!$A$1:$I$89,3,0)*VLOOKUP('Données projet'!$B$12,Paramètres!$A$1:$I$89,5,0)</f>
        <v>301.91525000000001</v>
      </c>
      <c r="CA78" s="13">
        <f t="shared" si="93"/>
        <v>71.577824610045951</v>
      </c>
      <c r="CB78" s="20">
        <f t="shared" si="64"/>
        <v>650.50043827916329</v>
      </c>
      <c r="CC78" s="59">
        <f t="shared" si="65"/>
        <v>928.78400494605648</v>
      </c>
      <c r="CD78" s="59">
        <f ca="1">AVERAGE(OFFSET($CC$3,0,0,'Données projet'!$E$12+1,1))-AVERAGE(OFFSET($H$3,0,0,'Données projet'!$E$12+1,1))</f>
        <v>368.16165268258442</v>
      </c>
      <c r="CE78" s="59">
        <f t="shared" si="94"/>
        <v>291.32219253157041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3.0675684413252737</v>
      </c>
      <c r="CL78" s="21">
        <f>EXP(-LN(2)/25)*CL77+(1-EXP(-LN(2)/25))/(LN(2)/25)*Calculateur!CG78*Calculateur!CI78*VLOOKUP('Données projet'!$B$12,Paramètres!$A$1:$I$89,3,0)*0.475*44/12</f>
        <v>1.907766462391328</v>
      </c>
      <c r="CM78" s="21">
        <f>EXP(-LN(2)/2)*CM77+(1-EXP(-LN(2)/2))/(LN(2)/2)*CG78*CJ78*VLOOKUP('Données projet'!$B$12,Paramètres!$A$1:$I$89,3,0)*0.475*44/12</f>
        <v>1.335689854163042E-6</v>
      </c>
      <c r="CN78" s="22">
        <f t="shared" si="66"/>
        <v>4.975336239406456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1.1368683772161603E-13</v>
      </c>
      <c r="CU78" s="17">
        <f>CT78*VLOOKUP('Données projet'!$B$13,Paramètres!$A$1:$I$89,3,0)*VLOOKUP('Données projet'!$B$13,Paramètres!$A$1:$I$89,5,0)</f>
        <v>6.7984728957526396E-14</v>
      </c>
      <c r="CV78" s="13">
        <f t="shared" si="95"/>
        <v>1.0682447123141398E-12</v>
      </c>
      <c r="CW78" s="20">
        <f t="shared" si="67"/>
        <v>1.978932943548152E-12</v>
      </c>
      <c r="CX78" s="59">
        <f t="shared" si="68"/>
        <v>278.28356666689513</v>
      </c>
      <c r="CY78" s="59">
        <f ca="1">AVERAGE(OFFSET($CX$3,0,0,'Données projet'!$E$13+1,1))-AVERAGE(OFFSET($H$3,0,0,'Données projet'!$E$13+1,1))</f>
        <v>317.12995176362455</v>
      </c>
      <c r="CZ78" s="59">
        <f t="shared" si="96"/>
        <v>328.11301015275262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7.405362967027064</v>
      </c>
      <c r="DG78" s="21">
        <f>EXP(-LN(2)/25)*DG77+(1-EXP(-LN(2)/25))/(LN(2)/25)*Calculateur!DB78*Calculateur!DD78*VLOOKUP('Données projet'!$B$13,Paramètres!$A$1:$I$89,3,0)*0.475*44/12</f>
        <v>4.6309823402567671</v>
      </c>
      <c r="DH78" s="21">
        <f>EXP(-LN(2)/2)*DH77+(1-EXP(-LN(2)/2))/(LN(2)/2)*DB78*DE78*VLOOKUP('Données projet'!$B$13,Paramètres!$A$1:$I$89,3,0)*0.475*44/12</f>
        <v>9.6792491351313397E-7</v>
      </c>
      <c r="DI78" s="22">
        <f t="shared" si="69"/>
        <v>12.036346275208745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230</v>
      </c>
      <c r="DM78" s="12">
        <f>VLOOKUP(A78,'Données projet'!$A$165:$I$185,9,0)</f>
        <v>4</v>
      </c>
      <c r="DN78" s="12">
        <f t="array" ref="DN78">INDEX(DM:DM,MIN(IF(ISNUMBER(DM78:DM274),ROW(DM78:DM274),"")))</f>
        <v>4</v>
      </c>
      <c r="DO78" s="12">
        <f>IF('Données projet'!$A$166&gt;35,DO77+DN78-DW77,IF(A78&lt;'Données projet'!$A$166,$DL$205^A78,IF(A78='Données projet'!$A$166,'Données projet'!$B$166,DO77+DN78-DW77)))</f>
        <v>229.99999999999994</v>
      </c>
      <c r="DP78" s="17">
        <f>DO78*VLOOKUP('Données projet'!$B$14,Paramètres!$A$1:$I$89,3,0)*VLOOKUP('Données projet'!$B$14,Paramètres!$A$1:$I$89,5,0)</f>
        <v>200.92799999999997</v>
      </c>
      <c r="DQ78" s="13">
        <f t="shared" si="97"/>
        <v>49.948059057189042</v>
      </c>
      <c r="DR78" s="20">
        <f t="shared" si="70"/>
        <v>436.94246952460418</v>
      </c>
      <c r="DS78" s="59">
        <f t="shared" si="71"/>
        <v>715.22603619149731</v>
      </c>
      <c r="DT78" s="59">
        <f ca="1">AVERAGE(OFFSET($DS$3,0,0,'Données projet'!$E$14+1,1))-AVERAGE(OFFSET($H$3,0,0,'Données projet'!$E$14+1,1))</f>
        <v>325.5873213944476</v>
      </c>
      <c r="DU78" s="59">
        <f t="shared" si="98"/>
        <v>347.9042278368363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15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1.2010228673099415</v>
      </c>
      <c r="EB78" s="21">
        <f>EXP(-LN(2)/25)*EB77+(1-EXP(-LN(2)/25))/(LN(2)/25)*Calculateur!DW78*Calculateur!DY78*VLOOKUP('Données projet'!$B$14,Paramètres!$A$1:$I$89,3,0)*0.475*44/12</f>
        <v>2.5338418208275328</v>
      </c>
      <c r="EC78" s="21">
        <f>EXP(-LN(2)/2)*EC77+(1-EXP(-LN(2)/2))/(LN(2)/2)*DW78*DZ78*VLOOKUP('Données projet'!$B$14,Paramètres!$A$1:$I$89,3,0)*0.475*44/12</f>
        <v>2.0145891203692929E-6</v>
      </c>
      <c r="ED78" s="22">
        <f t="shared" si="72"/>
        <v>3.7348667027265945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205.5480000480477</v>
      </c>
      <c r="EP78" s="59">
        <f t="shared" si="100"/>
        <v>229.86812144828366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3.0169192123038298</v>
      </c>
      <c r="EW78" s="21">
        <f>EXP(-LN(2)/25)*EW77+(1-EXP(-LN(2)/25))/(LN(2)/25)*Calculateur!ER78*Calculateur!ET78*VLOOKUP('Données projet'!$B$15,Paramètres!$A$1:$I$89,3,0)*0.475*44/12</f>
        <v>1.7295197961383839</v>
      </c>
      <c r="EX78" s="21">
        <f>EXP(-LN(2)/2)*EX77+(1-EXP(-LN(2)/2))/(LN(2)/2)*ER78*EU78*VLOOKUP('Données projet'!$B$15,Paramètres!$A$1:$I$89,3,0)*0.475*44/12</f>
        <v>4.986766276363964E-7</v>
      </c>
      <c r="EY78" s="22">
        <f t="shared" si="75"/>
        <v>4.7464395071188417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3.05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13.278720000000012</v>
      </c>
      <c r="D79" s="11">
        <f t="shared" si="86"/>
        <v>4.5286931468106681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51.592101246858675</v>
      </c>
      <c r="H79" s="67">
        <f t="shared" si="56"/>
        <v>242.94791123069524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-3.4106051316484809E-13</v>
      </c>
      <c r="O79" s="13">
        <f>N79*VLOOKUP('Données projet'!$B$9,Paramètres!$A$1:$I$89,3,0)*VLOOKUP('Données projet'!$B$9,Paramètres!$A$1:$I$89,5,0)</f>
        <v>-1.9065282685915009E-13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542.23071537860039</v>
      </c>
      <c r="T79" s="59">
        <f t="shared" si="88"/>
        <v>667.26143680054633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2.9521331124880046</v>
      </c>
      <c r="AA79" s="21">
        <f>EXP(-LN(2)/25)*AA78+(1-EXP(-LN(2)/25))/(LN(2)/25)*Calculateur!V79*Calculateur!X79*VLOOKUP('Données projet'!$B$9,Paramètres!$A$1:$I$89,3,0)*0.475*44/12</f>
        <v>11.90252233392019</v>
      </c>
      <c r="AB79" s="21">
        <f>EXP(-LN(2)/2)*AB78+(1-EXP(-LN(2)/2))/(LN(2)/2)*V79*Y79*VLOOKUP('Données projet'!$B$9,Paramètres!$A$1:$I$89,3,0)*0.475*44/12</f>
        <v>1.7187545019075443E-6</v>
      </c>
      <c r="AC79" s="22">
        <f t="shared" si="57"/>
        <v>14.854657165162697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-2.2737367544323206E-13</v>
      </c>
      <c r="AJ79" s="13">
        <f>AI79*VLOOKUP('Données projet'!$B$10,Paramètres!$A$1:$I$89,3,0)*VLOOKUP('Données projet'!$B$10,Paramètres!$A$1:$I$89,5,0)</f>
        <v>-1.2710188457276673E-13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427.83834708696861</v>
      </c>
      <c r="AO79" s="59">
        <f t="shared" si="90"/>
        <v>545.63950537101903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1.7712798674928036</v>
      </c>
      <c r="AV79" s="21">
        <f>EXP(-LN(2)/25)*AV78+(1-EXP(-LN(2)/25))/(LN(2)/25)*Calculateur!AQ79*Calculateur!AS79*VLOOKUP('Données projet'!$B$10,Paramètres!$A$1:$I$89,3,0)*0.475*44/12</f>
        <v>6.8771542607909018</v>
      </c>
      <c r="AW79" s="21">
        <f>EXP(-LN(2)/2)*AW78+(1-EXP(-LN(2)/2))/(LN(2)/2)*AQ79*AT79*VLOOKUP('Données projet'!$B$10,Paramètres!$A$1:$I$89,3,0)*0.475*44/12</f>
        <v>1.1029519513755436E-6</v>
      </c>
      <c r="AX79" s="21">
        <f t="shared" si="60"/>
        <v>8.6484352312356574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7.7</v>
      </c>
      <c r="BD79" s="12">
        <f>IF('Données projet'!$A$88&gt;35,BD78+BC79-BL78,IF(A79&lt;'Données projet'!$A$88,$BA$205^A79,IF(A79='Données projet'!$A$88,'Données projet'!$B$88,BD78+BC79-BL78)))</f>
        <v>234.19999999999987</v>
      </c>
      <c r="BE79" s="13">
        <f>BD79*VLOOKUP('Données projet'!$B$11,Paramètres!$A$1:$I$89,3,0)*VLOOKUP('Données projet'!$B$11,Paramètres!$A$1:$I$89,5,0)</f>
        <v>109.60559999999994</v>
      </c>
      <c r="BF79" s="13">
        <f t="shared" si="91"/>
        <v>29.238041439718181</v>
      </c>
      <c r="BG79" s="20">
        <f t="shared" si="61"/>
        <v>241.81934217417572</v>
      </c>
      <c r="BH79" s="59">
        <f t="shared" si="62"/>
        <v>520.36398864649391</v>
      </c>
      <c r="BI79" s="59">
        <f ca="1">AVERAGE(OFFSET($BH$3,0,0,'Données projet'!$E$11+1,1))-AVERAGE(OFFSET($H$3,0,0,'Données projet'!$E$11+1,1))</f>
        <v>210.62109466714364</v>
      </c>
      <c r="BJ79" s="59">
        <f t="shared" si="92"/>
        <v>193.35729443770401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2.6249170713842918</v>
      </c>
      <c r="BQ79" s="21">
        <f>EXP(-LN(2)/25)*BQ78+(1-EXP(-LN(2)/25))/(LN(2)/25)*Calculateur!BL79*Calculateur!BN79*VLOOKUP('Données projet'!$B$11,Paramètres!$A$1:$I$89,3,0)*0.475*44/12</f>
        <v>2.2380045315447408</v>
      </c>
      <c r="BR79" s="21">
        <f>EXP(-LN(2)/2)*BR78+(1-EXP(-LN(2)/2))/(LN(2)/2)*BL79*BO79*VLOOKUP('Données projet'!$B$11,Paramètres!$A$1:$I$89,3,0)*0.475*44/12</f>
        <v>9.436584566594047E-7</v>
      </c>
      <c r="BS79" s="22">
        <f t="shared" si="63"/>
        <v>4.8629225465874892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8.875</v>
      </c>
      <c r="BY79" s="12">
        <f>IF('Données projet'!$A$114&gt;35,BY78+BX79-CG78,IF(A79&lt;'Données projet'!$A$114,$BV$205^A79,IF(A79='Données projet'!$A$114,'Données projet'!$B$114,BY78+BX79-CG78)))</f>
        <v>513.75</v>
      </c>
      <c r="BZ79" s="13">
        <f>BY79*VLOOKUP('Données projet'!$B$12,Paramètres!$A$1:$I$89,3,0)*VLOOKUP('Données projet'!$B$12,Paramètres!$A$1:$I$89,5,0)</f>
        <v>307.22250000000003</v>
      </c>
      <c r="CA79" s="13">
        <f t="shared" si="93"/>
        <v>72.68847414066191</v>
      </c>
      <c r="CB79" s="20">
        <f t="shared" si="64"/>
        <v>661.67827996165295</v>
      </c>
      <c r="CC79" s="59">
        <f t="shared" si="65"/>
        <v>940.22292643397111</v>
      </c>
      <c r="CD79" s="59">
        <f ca="1">AVERAGE(OFFSET($CC$3,0,0,'Données projet'!$E$12+1,1))-AVERAGE(OFFSET($H$3,0,0,'Données projet'!$E$12+1,1))</f>
        <v>368.16165268258442</v>
      </c>
      <c r="CE79" s="59">
        <f t="shared" si="94"/>
        <v>291.32219253157041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3.0074152952228852</v>
      </c>
      <c r="CL79" s="21">
        <f>EXP(-LN(2)/25)*CL78+(1-EXP(-LN(2)/25))/(LN(2)/25)*Calculateur!CG79*Calculateur!CI79*VLOOKUP('Données projet'!$B$12,Paramètres!$A$1:$I$89,3,0)*0.475*44/12</f>
        <v>1.855598488152159</v>
      </c>
      <c r="CM79" s="21">
        <f>EXP(-LN(2)/2)*CM78+(1-EXP(-LN(2)/2))/(LN(2)/2)*CG79*CJ79*VLOOKUP('Données projet'!$B$12,Paramètres!$A$1:$I$89,3,0)*0.475*44/12</f>
        <v>9.444753534407578E-7</v>
      </c>
      <c r="CN79" s="22">
        <f t="shared" si="66"/>
        <v>4.8630147278503975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1.1368683772161603E-13</v>
      </c>
      <c r="CU79" s="17">
        <f>CT79*VLOOKUP('Données projet'!$B$13,Paramètres!$A$1:$I$89,3,0)*VLOOKUP('Données projet'!$B$13,Paramètres!$A$1:$I$89,5,0)</f>
        <v>6.7984728957526396E-14</v>
      </c>
      <c r="CV79" s="13">
        <f t="shared" si="95"/>
        <v>1.0682447123141398E-12</v>
      </c>
      <c r="CW79" s="20">
        <f t="shared" si="67"/>
        <v>1.978932943548152E-12</v>
      </c>
      <c r="CX79" s="59">
        <f t="shared" si="68"/>
        <v>278.54464647232015</v>
      </c>
      <c r="CY79" s="59">
        <f ca="1">AVERAGE(OFFSET($CX$3,0,0,'Données projet'!$E$13+1,1))-AVERAGE(OFFSET($H$3,0,0,'Données projet'!$E$13+1,1))</f>
        <v>317.12995176362455</v>
      </c>
      <c r="CZ79" s="59">
        <f t="shared" si="96"/>
        <v>328.11301015275262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7.2601483160690741</v>
      </c>
      <c r="DG79" s="21">
        <f>EXP(-LN(2)/25)*DG78+(1-EXP(-LN(2)/25))/(LN(2)/25)*Calculateur!DB79*Calculateur!DD79*VLOOKUP('Données projet'!$B$13,Paramètres!$A$1:$I$89,3,0)*0.475*44/12</f>
        <v>4.5043478846296692</v>
      </c>
      <c r="DH79" s="21">
        <f>EXP(-LN(2)/2)*DH78+(1-EXP(-LN(2)/2))/(LN(2)/2)*DB79*DE79*VLOOKUP('Données projet'!$B$13,Paramètres!$A$1:$I$89,3,0)*0.475*44/12</f>
        <v>6.8442627002453957E-7</v>
      </c>
      <c r="DI79" s="22">
        <f t="shared" si="69"/>
        <v>11.764496885125014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3.4</v>
      </c>
      <c r="DO79" s="12">
        <f>IF('Données projet'!$A$166&gt;35,DO78+DN79-DW78,IF(A79&lt;'Données projet'!$A$166,$DL$205^A79,IF(A79='Données projet'!$A$166,'Données projet'!$B$166,DO78+DN79-DW78)))</f>
        <v>218.39999999999995</v>
      </c>
      <c r="DP79" s="17">
        <f>DO79*VLOOKUP('Données projet'!$B$14,Paramètres!$A$1:$I$89,3,0)*VLOOKUP('Données projet'!$B$14,Paramètres!$A$1:$I$89,5,0)</f>
        <v>190.79423999999997</v>
      </c>
      <c r="DQ79" s="13">
        <f t="shared" si="97"/>
        <v>47.715505384501107</v>
      </c>
      <c r="DR79" s="20">
        <f t="shared" si="70"/>
        <v>415.40447321133934</v>
      </c>
      <c r="DS79" s="59">
        <f t="shared" si="71"/>
        <v>693.9491196836575</v>
      </c>
      <c r="DT79" s="59">
        <f ca="1">AVERAGE(OFFSET($DS$3,0,0,'Données projet'!$E$14+1,1))-AVERAGE(OFFSET($H$3,0,0,'Données projet'!$E$14+1,1))</f>
        <v>325.5873213944476</v>
      </c>
      <c r="DU79" s="59">
        <f t="shared" si="98"/>
        <v>347.9042278368363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1.177471541433609</v>
      </c>
      <c r="EB79" s="21">
        <f>EXP(-LN(2)/25)*EB78+(1-EXP(-LN(2)/25))/(LN(2)/25)*Calculateur!DW79*Calculateur!DY79*VLOOKUP('Données projet'!$B$14,Paramètres!$A$1:$I$89,3,0)*0.475*44/12</f>
        <v>2.4645537829880539</v>
      </c>
      <c r="EC79" s="21">
        <f>EXP(-LN(2)/2)*EC78+(1-EXP(-LN(2)/2))/(LN(2)/2)*DW79*DZ79*VLOOKUP('Données projet'!$B$14,Paramètres!$A$1:$I$89,3,0)*0.475*44/12</f>
        <v>1.4245296283177688E-6</v>
      </c>
      <c r="ED79" s="22">
        <f t="shared" si="72"/>
        <v>3.6420267489512916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205.5480000480477</v>
      </c>
      <c r="EP79" s="59">
        <f t="shared" si="100"/>
        <v>229.86812144828366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2.9577592666895725</v>
      </c>
      <c r="EW79" s="21">
        <f>EXP(-LN(2)/25)*EW78+(1-EXP(-LN(2)/25))/(LN(2)/25)*Calculateur!ER79*Calculateur!ET79*VLOOKUP('Données projet'!$B$15,Paramètres!$A$1:$I$89,3,0)*0.475*44/12</f>
        <v>1.6822259863614866</v>
      </c>
      <c r="EX79" s="21">
        <f>EXP(-LN(2)/2)*EX78+(1-EXP(-LN(2)/2))/(LN(2)/2)*ER79*EU79*VLOOKUP('Données projet'!$B$15,Paramètres!$A$1:$I$89,3,0)*0.475*44/12</f>
        <v>3.5261762502093479E-7</v>
      </c>
      <c r="EY79" s="22">
        <f t="shared" si="75"/>
        <v>4.6399856056686835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3.05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13.453440000000013</v>
      </c>
      <c r="D80" s="11">
        <f t="shared" si="86"/>
        <v>4.5813050391540013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52.153650903734835</v>
      </c>
      <c r="H80" s="67">
        <f t="shared" si="56"/>
        <v>243.34384760985989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-3.4106051316484809E-13</v>
      </c>
      <c r="O80" s="13">
        <f>N80*VLOOKUP('Données projet'!$B$9,Paramètres!$A$1:$I$89,3,0)*VLOOKUP('Données projet'!$B$9,Paramètres!$A$1:$I$89,5,0)</f>
        <v>-1.9065282685915009E-13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542.23071537860039</v>
      </c>
      <c r="T80" s="59">
        <f t="shared" si="88"/>
        <v>667.26143680054633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2.8942435827755166</v>
      </c>
      <c r="AA80" s="21">
        <f>EXP(-LN(2)/25)*AA79+(1-EXP(-LN(2)/25))/(LN(2)/25)*Calculateur!V80*Calculateur!X80*VLOOKUP('Données projet'!$B$9,Paramètres!$A$1:$I$89,3,0)*0.475*44/12</f>
        <v>11.577047234772698</v>
      </c>
      <c r="AB80" s="21">
        <f>EXP(-LN(2)/2)*AB79+(1-EXP(-LN(2)/2))/(LN(2)/2)*V80*Y80*VLOOKUP('Données projet'!$B$9,Paramètres!$A$1:$I$89,3,0)*0.475*44/12</f>
        <v>1.2153429634937314E-6</v>
      </c>
      <c r="AC80" s="22">
        <f t="shared" si="57"/>
        <v>14.471292032891178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-2.2737367544323206E-13</v>
      </c>
      <c r="AJ80" s="13">
        <f>AI80*VLOOKUP('Données projet'!$B$10,Paramètres!$A$1:$I$89,3,0)*VLOOKUP('Données projet'!$B$10,Paramètres!$A$1:$I$89,5,0)</f>
        <v>-1.2710188457276673E-13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427.83834708696861</v>
      </c>
      <c r="AO80" s="59">
        <f t="shared" si="90"/>
        <v>545.63950537101903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1.736546149665311</v>
      </c>
      <c r="AV80" s="21">
        <f>EXP(-LN(2)/25)*AV79+(1-EXP(-LN(2)/25))/(LN(2)/25)*Calculateur!AQ80*Calculateur!AS80*VLOOKUP('Données projet'!$B$10,Paramètres!$A$1:$I$89,3,0)*0.475*44/12</f>
        <v>6.6890981158757503</v>
      </c>
      <c r="AW80" s="21">
        <f>EXP(-LN(2)/2)*AW79+(1-EXP(-LN(2)/2))/(LN(2)/2)*AQ80*AT80*VLOOKUP('Données projet'!$B$10,Paramètres!$A$1:$I$89,3,0)*0.475*44/12</f>
        <v>7.7990480414058216E-7</v>
      </c>
      <c r="AX80" s="21">
        <f t="shared" si="60"/>
        <v>8.4256450454458651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7.7</v>
      </c>
      <c r="BD80" s="12">
        <f>IF('Données projet'!$A$88&gt;35,BD79+BC80-BL79,IF(A80&lt;'Données projet'!$A$88,$BA$205^A80,IF(A80='Données projet'!$A$88,'Données projet'!$B$88,BD79+BC80-BL79)))</f>
        <v>241.89999999999986</v>
      </c>
      <c r="BE80" s="13">
        <f>BD80*VLOOKUP('Données projet'!$B$11,Paramètres!$A$1:$I$89,3,0)*VLOOKUP('Données projet'!$B$11,Paramètres!$A$1:$I$89,5,0)</f>
        <v>113.20919999999994</v>
      </c>
      <c r="BF80" s="13">
        <f t="shared" si="91"/>
        <v>30.085827002810241</v>
      </c>
      <c r="BG80" s="20">
        <f t="shared" si="61"/>
        <v>249.5721720298944</v>
      </c>
      <c r="BH80" s="59">
        <f t="shared" si="62"/>
        <v>528.37336915670051</v>
      </c>
      <c r="BI80" s="59">
        <f ca="1">AVERAGE(OFFSET($BH$3,0,0,'Données projet'!$E$11+1,1))-AVERAGE(OFFSET($H$3,0,0,'Données projet'!$E$11+1,1))</f>
        <v>210.62109466714364</v>
      </c>
      <c r="BJ80" s="59">
        <f t="shared" si="92"/>
        <v>193.35729443770401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2.5734440486557695</v>
      </c>
      <c r="BQ80" s="21">
        <f>EXP(-LN(2)/25)*BQ79+(1-EXP(-LN(2)/25))/(LN(2)/25)*Calculateur!BL80*Calculateur!BN80*VLOOKUP('Données projet'!$B$11,Paramètres!$A$1:$I$89,3,0)*0.475*44/12</f>
        <v>2.1768061799381067</v>
      </c>
      <c r="BR80" s="21">
        <f>EXP(-LN(2)/2)*BR79+(1-EXP(-LN(2)/2))/(LN(2)/2)*BL80*BO80*VLOOKUP('Données projet'!$B$11,Paramètres!$A$1:$I$89,3,0)*0.475*44/12</f>
        <v>6.6726729382789688E-7</v>
      </c>
      <c r="BS80" s="22">
        <f t="shared" si="63"/>
        <v>4.7502508958611696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8.875</v>
      </c>
      <c r="BY80" s="12">
        <f>IF('Données projet'!$A$114&gt;35,BY79+BX80-CG79,IF(A80&lt;'Données projet'!$A$114,$BV$205^A80,IF(A80='Données projet'!$A$114,'Données projet'!$B$114,BY79+BX80-CG79)))</f>
        <v>522.625</v>
      </c>
      <c r="BZ80" s="13">
        <f>BY80*VLOOKUP('Données projet'!$B$12,Paramètres!$A$1:$I$89,3,0)*VLOOKUP('Données projet'!$B$12,Paramètres!$A$1:$I$89,5,0)</f>
        <v>312.52975000000004</v>
      </c>
      <c r="CA80" s="13">
        <f t="shared" si="93"/>
        <v>73.796892500493684</v>
      </c>
      <c r="CB80" s="20">
        <f t="shared" si="64"/>
        <v>672.85223568835988</v>
      </c>
      <c r="CC80" s="59">
        <f t="shared" si="65"/>
        <v>951.65343281516596</v>
      </c>
      <c r="CD80" s="59">
        <f ca="1">AVERAGE(OFFSET($CC$3,0,0,'Données projet'!$E$12+1,1))-AVERAGE(OFFSET($H$3,0,0,'Données projet'!$E$12+1,1))</f>
        <v>368.16165268258442</v>
      </c>
      <c r="CE80" s="59">
        <f t="shared" si="94"/>
        <v>291.32219253157041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2.9484417156257683</v>
      </c>
      <c r="CL80" s="21">
        <f>EXP(-LN(2)/25)*CL79+(1-EXP(-LN(2)/25))/(LN(2)/25)*Calculateur!CG80*Calculateur!CI80*VLOOKUP('Données projet'!$B$12,Paramètres!$A$1:$I$89,3,0)*0.475*44/12</f>
        <v>1.8048570499119547</v>
      </c>
      <c r="CM80" s="21">
        <f>EXP(-LN(2)/2)*CM79+(1-EXP(-LN(2)/2))/(LN(2)/2)*CG80*CJ80*VLOOKUP('Données projet'!$B$12,Paramètres!$A$1:$I$89,3,0)*0.475*44/12</f>
        <v>6.6784492708152111E-7</v>
      </c>
      <c r="CN80" s="22">
        <f t="shared" si="66"/>
        <v>4.7532994333826499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1.1368683772161603E-13</v>
      </c>
      <c r="CU80" s="17">
        <f>CT80*VLOOKUP('Données projet'!$B$13,Paramètres!$A$1:$I$89,3,0)*VLOOKUP('Données projet'!$B$13,Paramètres!$A$1:$I$89,5,0)</f>
        <v>6.7984728957526396E-14</v>
      </c>
      <c r="CV80" s="13">
        <f t="shared" si="95"/>
        <v>1.0682447123141398E-12</v>
      </c>
      <c r="CW80" s="20">
        <f t="shared" si="67"/>
        <v>1.978932943548152E-12</v>
      </c>
      <c r="CX80" s="59">
        <f t="shared" si="68"/>
        <v>278.80119712680806</v>
      </c>
      <c r="CY80" s="59">
        <f ca="1">AVERAGE(OFFSET($CX$3,0,0,'Données projet'!$E$13+1,1))-AVERAGE(OFFSET($H$3,0,0,'Données projet'!$E$13+1,1))</f>
        <v>317.12995176362455</v>
      </c>
      <c r="CZ80" s="59">
        <f t="shared" si="96"/>
        <v>328.11301015275262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7.1177812358441788</v>
      </c>
      <c r="DG80" s="21">
        <f>EXP(-LN(2)/25)*DG79+(1-EXP(-LN(2)/25))/(LN(2)/25)*Calculateur!DB80*Calculateur!DD80*VLOOKUP('Données projet'!$B$13,Paramètres!$A$1:$I$89,3,0)*0.475*44/12</f>
        <v>4.3811762548511108</v>
      </c>
      <c r="DH80" s="21">
        <f>EXP(-LN(2)/2)*DH79+(1-EXP(-LN(2)/2))/(LN(2)/2)*DB80*DE80*VLOOKUP('Données projet'!$B$13,Paramètres!$A$1:$I$89,3,0)*0.475*44/12</f>
        <v>4.8396245675656699E-7</v>
      </c>
      <c r="DI80" s="22">
        <f t="shared" si="69"/>
        <v>11.498957974657745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3.4</v>
      </c>
      <c r="DO80" s="12">
        <f>IF('Données projet'!$A$166&gt;35,DO79+DN80-DW79,IF(A80&lt;'Données projet'!$A$166,$DL$205^A80,IF(A80='Données projet'!$A$166,'Données projet'!$B$166,DO79+DN80-DW79)))</f>
        <v>221.79999999999995</v>
      </c>
      <c r="DP80" s="17">
        <f>DO80*VLOOKUP('Données projet'!$B$14,Paramètres!$A$1:$I$89,3,0)*VLOOKUP('Données projet'!$B$14,Paramètres!$A$1:$I$89,5,0)</f>
        <v>193.76447999999999</v>
      </c>
      <c r="DQ80" s="13">
        <f t="shared" si="97"/>
        <v>48.371273222646451</v>
      </c>
      <c r="DR80" s="20">
        <f t="shared" si="70"/>
        <v>421.71977019610921</v>
      </c>
      <c r="DS80" s="59">
        <f t="shared" si="71"/>
        <v>700.52096732291534</v>
      </c>
      <c r="DT80" s="59">
        <f ca="1">AVERAGE(OFFSET($DS$3,0,0,'Données projet'!$E$14+1,1))-AVERAGE(OFFSET($H$3,0,0,'Données projet'!$E$14+1,1))</f>
        <v>325.5873213944476</v>
      </c>
      <c r="DU80" s="59">
        <f t="shared" si="98"/>
        <v>347.9042278368363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1.1543820426928211</v>
      </c>
      <c r="EB80" s="21">
        <f>EXP(-LN(2)/25)*EB79+(1-EXP(-LN(2)/25))/(LN(2)/25)*Calculateur!DW80*Calculateur!DY80*VLOOKUP('Données projet'!$B$14,Paramètres!$A$1:$I$89,3,0)*0.475*44/12</f>
        <v>2.3971604301869949</v>
      </c>
      <c r="EC80" s="21">
        <f>EXP(-LN(2)/2)*EC79+(1-EXP(-LN(2)/2))/(LN(2)/2)*DW80*DZ80*VLOOKUP('Données projet'!$B$14,Paramètres!$A$1:$I$89,3,0)*0.475*44/12</f>
        <v>1.0072945601846464E-6</v>
      </c>
      <c r="ED80" s="22">
        <f t="shared" si="72"/>
        <v>3.5515434801743759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205.5480000480477</v>
      </c>
      <c r="EP80" s="59">
        <f t="shared" si="100"/>
        <v>229.86812144828366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2.8997594115248071</v>
      </c>
      <c r="EW80" s="21">
        <f>EXP(-LN(2)/25)*EW79+(1-EXP(-LN(2)/25))/(LN(2)/25)*Calculateur!ER80*Calculateur!ET80*VLOOKUP('Données projet'!$B$15,Paramètres!$A$1:$I$89,3,0)*0.475*44/12</f>
        <v>1.6362254283000119</v>
      </c>
      <c r="EX80" s="21">
        <f>EXP(-LN(2)/2)*EX79+(1-EXP(-LN(2)/2))/(LN(2)/2)*ER80*EU80*VLOOKUP('Données projet'!$B$15,Paramètres!$A$1:$I$89,3,0)*0.475*44/12</f>
        <v>2.493383138181982E-7</v>
      </c>
      <c r="EY80" s="22">
        <f t="shared" si="75"/>
        <v>4.5359850891631321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3.05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13.628160000000014</v>
      </c>
      <c r="D81" s="11">
        <f t="shared" si="86"/>
        <v>4.6338374564363214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52.715004243267302</v>
      </c>
      <c r="H81" s="67">
        <f t="shared" si="56"/>
        <v>243.73964556995992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-3.4106051316484809E-13</v>
      </c>
      <c r="O81" s="13">
        <f>N81*VLOOKUP('Données projet'!$B$9,Paramètres!$A$1:$I$89,3,0)*VLOOKUP('Données projet'!$B$9,Paramètres!$A$1:$I$89,5,0)</f>
        <v>-1.9065282685915009E-13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542.23071537860039</v>
      </c>
      <c r="T81" s="59">
        <f t="shared" si="88"/>
        <v>667.26143680054633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2.8374892314315638</v>
      </c>
      <c r="AA81" s="21">
        <f>EXP(-LN(2)/25)*AA80+(1-EXP(-LN(2)/25))/(LN(2)/25)*Calculateur!V81*Calculateur!X81*VLOOKUP('Données projet'!$B$9,Paramètres!$A$1:$I$89,3,0)*0.475*44/12</f>
        <v>11.260472269327384</v>
      </c>
      <c r="AB81" s="21">
        <f>EXP(-LN(2)/2)*AB80+(1-EXP(-LN(2)/2))/(LN(2)/2)*V81*Y81*VLOOKUP('Données projet'!$B$9,Paramètres!$A$1:$I$89,3,0)*0.475*44/12</f>
        <v>8.5937725095377216E-7</v>
      </c>
      <c r="AC81" s="22">
        <f t="shared" si="57"/>
        <v>14.097962360136197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-2.2737367544323206E-13</v>
      </c>
      <c r="AJ81" s="13">
        <f>AI81*VLOOKUP('Données projet'!$B$10,Paramètres!$A$1:$I$89,3,0)*VLOOKUP('Données projet'!$B$10,Paramètres!$A$1:$I$89,5,0)</f>
        <v>-1.2710188457276673E-13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427.83834708696861</v>
      </c>
      <c r="AO81" s="59">
        <f t="shared" si="90"/>
        <v>545.63950537101903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1.7024935388589393</v>
      </c>
      <c r="AV81" s="21">
        <f>EXP(-LN(2)/25)*AV80+(1-EXP(-LN(2)/25))/(LN(2)/25)*Calculateur!AQ81*Calculateur!AS81*VLOOKUP('Données projet'!$B$10,Paramètres!$A$1:$I$89,3,0)*0.475*44/12</f>
        <v>6.5061843761327465</v>
      </c>
      <c r="AW81" s="21">
        <f>EXP(-LN(2)/2)*AW80+(1-EXP(-LN(2)/2))/(LN(2)/2)*AQ81*AT81*VLOOKUP('Données projet'!$B$10,Paramètres!$A$1:$I$89,3,0)*0.475*44/12</f>
        <v>5.5147597568777182E-7</v>
      </c>
      <c r="AX81" s="21">
        <f t="shared" si="60"/>
        <v>8.2086784664676617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7.7</v>
      </c>
      <c r="BD81" s="12">
        <f>IF('Données projet'!$A$88&gt;35,BD80+BC81-BL80,IF(A81&lt;'Données projet'!$A$88,$BA$205^A81,IF(A81='Données projet'!$A$88,'Données projet'!$B$88,BD80+BC81-BL80)))</f>
        <v>249.59999999999985</v>
      </c>
      <c r="BE81" s="13">
        <f>BD81*VLOOKUP('Données projet'!$B$11,Paramètres!$A$1:$I$89,3,0)*VLOOKUP('Données projet'!$B$11,Paramètres!$A$1:$I$89,5,0)</f>
        <v>116.81279999999992</v>
      </c>
      <c r="BF81" s="13">
        <f t="shared" si="91"/>
        <v>30.930476631089455</v>
      </c>
      <c r="BG81" s="20">
        <f t="shared" si="61"/>
        <v>257.31954013248065</v>
      </c>
      <c r="BH81" s="59">
        <f t="shared" si="62"/>
        <v>536.37283733348067</v>
      </c>
      <c r="BI81" s="59">
        <f ca="1">AVERAGE(OFFSET($BH$3,0,0,'Données projet'!$E$11+1,1))-AVERAGE(OFFSET($H$3,0,0,'Données projet'!$E$11+1,1))</f>
        <v>210.62109466714364</v>
      </c>
      <c r="BJ81" s="59">
        <f t="shared" si="92"/>
        <v>193.35729443770401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2.5229803805075099</v>
      </c>
      <c r="BQ81" s="21">
        <f>EXP(-LN(2)/25)*BQ80+(1-EXP(-LN(2)/25))/(LN(2)/25)*Calculateur!BL81*Calculateur!BN81*VLOOKUP('Données projet'!$B$11,Paramètres!$A$1:$I$89,3,0)*0.475*44/12</f>
        <v>2.1172813004744371</v>
      </c>
      <c r="BR81" s="21">
        <f>EXP(-LN(2)/2)*BR80+(1-EXP(-LN(2)/2))/(LN(2)/2)*BL81*BO81*VLOOKUP('Données projet'!$B$11,Paramètres!$A$1:$I$89,3,0)*0.475*44/12</f>
        <v>4.718292283297024E-7</v>
      </c>
      <c r="BS81" s="22">
        <f t="shared" si="63"/>
        <v>4.6402621528111752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8.875</v>
      </c>
      <c r="BY81" s="12">
        <f>IF('Données projet'!$A$114&gt;35,BY80+BX81-CG80,IF(A81&lt;'Données projet'!$A$114,$BV$205^A81,IF(A81='Données projet'!$A$114,'Données projet'!$B$114,BY80+BX81-CG80)))</f>
        <v>531.5</v>
      </c>
      <c r="BZ81" s="13">
        <f>BY81*VLOOKUP('Données projet'!$B$12,Paramètres!$A$1:$I$89,3,0)*VLOOKUP('Données projet'!$B$12,Paramètres!$A$1:$I$89,5,0)</f>
        <v>317.83700000000005</v>
      </c>
      <c r="CA81" s="13">
        <f t="shared" si="93"/>
        <v>74.903121950927684</v>
      </c>
      <c r="CB81" s="20">
        <f t="shared" si="64"/>
        <v>684.0223790645324</v>
      </c>
      <c r="CC81" s="59">
        <f t="shared" si="65"/>
        <v>963.07567626553237</v>
      </c>
      <c r="CD81" s="59">
        <f ca="1">AVERAGE(OFFSET($CC$3,0,0,'Données projet'!$E$12+1,1))-AVERAGE(OFFSET($H$3,0,0,'Données projet'!$E$12+1,1))</f>
        <v>368.16165268258442</v>
      </c>
      <c r="CE81" s="59">
        <f t="shared" si="94"/>
        <v>291.32219253157041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2.890624571954219</v>
      </c>
      <c r="CL81" s="21">
        <f>EXP(-LN(2)/25)*CL80+(1-EXP(-LN(2)/25))/(LN(2)/25)*Calculateur!CG81*Calculateur!CI81*VLOOKUP('Données projet'!$B$12,Paramètres!$A$1:$I$89,3,0)*0.475*44/12</f>
        <v>1.7555031389688052</v>
      </c>
      <c r="CM81" s="21">
        <f>EXP(-LN(2)/2)*CM80+(1-EXP(-LN(2)/2))/(LN(2)/2)*CG81*CJ81*VLOOKUP('Données projet'!$B$12,Paramètres!$A$1:$I$89,3,0)*0.475*44/12</f>
        <v>4.7223767672037896E-7</v>
      </c>
      <c r="CN81" s="22">
        <f t="shared" si="66"/>
        <v>4.6461281831607009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1.1368683772161603E-13</v>
      </c>
      <c r="CU81" s="17">
        <f>CT81*VLOOKUP('Données projet'!$B$13,Paramètres!$A$1:$I$89,3,0)*VLOOKUP('Données projet'!$B$13,Paramètres!$A$1:$I$89,5,0)</f>
        <v>6.7984728957526396E-14</v>
      </c>
      <c r="CV81" s="13">
        <f t="shared" si="95"/>
        <v>1.0682447123141398E-12</v>
      </c>
      <c r="CW81" s="20">
        <f t="shared" si="67"/>
        <v>1.978932943548152E-12</v>
      </c>
      <c r="CX81" s="59">
        <f t="shared" si="68"/>
        <v>279.05329720100201</v>
      </c>
      <c r="CY81" s="59">
        <f ca="1">AVERAGE(OFFSET($CX$3,0,0,'Données projet'!$E$13+1,1))-AVERAGE(OFFSET($H$3,0,0,'Données projet'!$E$13+1,1))</f>
        <v>317.12995176362455</v>
      </c>
      <c r="CZ81" s="59">
        <f t="shared" si="96"/>
        <v>328.11301015275262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6.9782058872271486</v>
      </c>
      <c r="DG81" s="21">
        <f>EXP(-LN(2)/25)*DG80+(1-EXP(-LN(2)/25))/(LN(2)/25)*Calculateur!DB81*Calculateur!DD81*VLOOKUP('Données projet'!$B$13,Paramètres!$A$1:$I$89,3,0)*0.475*44/12</f>
        <v>4.2613727597661617</v>
      </c>
      <c r="DH81" s="21">
        <f>EXP(-LN(2)/2)*DH80+(1-EXP(-LN(2)/2))/(LN(2)/2)*DB81*DE81*VLOOKUP('Données projet'!$B$13,Paramètres!$A$1:$I$89,3,0)*0.475*44/12</f>
        <v>3.4221313501226978E-7</v>
      </c>
      <c r="DI81" s="22">
        <f t="shared" si="69"/>
        <v>11.239578989206445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3.4</v>
      </c>
      <c r="DO81" s="12">
        <f>IF('Données projet'!$A$166&gt;35,DO80+DN81-DW80,IF(A81&lt;'Données projet'!$A$166,$DL$205^A81,IF(A81='Données projet'!$A$166,'Données projet'!$B$166,DO80+DN81-DW80)))</f>
        <v>225.19999999999996</v>
      </c>
      <c r="DP81" s="17">
        <f>DO81*VLOOKUP('Données projet'!$B$14,Paramètres!$A$1:$I$89,3,0)*VLOOKUP('Données projet'!$B$14,Paramètres!$A$1:$I$89,5,0)</f>
        <v>196.73472000000001</v>
      </c>
      <c r="DQ81" s="13">
        <f t="shared" si="97"/>
        <v>49.025871962429896</v>
      </c>
      <c r="DR81" s="20">
        <f t="shared" si="70"/>
        <v>428.03303100123208</v>
      </c>
      <c r="DS81" s="59">
        <f t="shared" si="71"/>
        <v>707.08632820223215</v>
      </c>
      <c r="DT81" s="59">
        <f ca="1">AVERAGE(OFFSET($DS$3,0,0,'Données projet'!$E$14+1,1))-AVERAGE(OFFSET($H$3,0,0,'Données projet'!$E$14+1,1))</f>
        <v>325.5873213944476</v>
      </c>
      <c r="DU81" s="59">
        <f t="shared" si="98"/>
        <v>347.9042278368363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1.1317453149391365</v>
      </c>
      <c r="EB81" s="21">
        <f>EXP(-LN(2)/25)*EB80+(1-EXP(-LN(2)/25))/(LN(2)/25)*Calculateur!DW81*Calculateur!DY81*VLOOKUP('Données projet'!$B$14,Paramètres!$A$1:$I$89,3,0)*0.475*44/12</f>
        <v>2.3316099521623435</v>
      </c>
      <c r="EC81" s="21">
        <f>EXP(-LN(2)/2)*EC80+(1-EXP(-LN(2)/2))/(LN(2)/2)*DW81*DZ81*VLOOKUP('Données projet'!$B$14,Paramètres!$A$1:$I$89,3,0)*0.475*44/12</f>
        <v>7.1226481415888442E-7</v>
      </c>
      <c r="ED81" s="22">
        <f t="shared" si="72"/>
        <v>3.4633559793662942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205.5480000480477</v>
      </c>
      <c r="EP81" s="59">
        <f t="shared" si="100"/>
        <v>229.86812144828366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2.8428968981434042</v>
      </c>
      <c r="EW81" s="21">
        <f>EXP(-LN(2)/25)*EW80+(1-EXP(-LN(2)/25))/(LN(2)/25)*Calculateur!ER81*Calculateur!ET81*VLOOKUP('Données projet'!$B$15,Paramètres!$A$1:$I$89,3,0)*0.475*44/12</f>
        <v>1.5914827579177926</v>
      </c>
      <c r="EX81" s="21">
        <f>EXP(-LN(2)/2)*EX80+(1-EXP(-LN(2)/2))/(LN(2)/2)*ER81*EU81*VLOOKUP('Données projet'!$B$15,Paramètres!$A$1:$I$89,3,0)*0.475*44/12</f>
        <v>1.763088125104674E-7</v>
      </c>
      <c r="EY81" s="22">
        <f t="shared" si="75"/>
        <v>4.4343798323700092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3.05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13.802880000000014</v>
      </c>
      <c r="D82" s="11">
        <f t="shared" si="86"/>
        <v>4.6862915353842149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53.276164073370175</v>
      </c>
      <c r="H82" s="67">
        <f t="shared" si="56"/>
        <v>244.13530709079419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-3.4106051316484809E-13</v>
      </c>
      <c r="O82" s="13">
        <f>N82*VLOOKUP('Données projet'!$B$9,Paramètres!$A$1:$I$89,3,0)*VLOOKUP('Données projet'!$B$9,Paramètres!$A$1:$I$89,5,0)</f>
        <v>-1.9065282685915009E-13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542.23071537860039</v>
      </c>
      <c r="T82" s="59">
        <f t="shared" si="88"/>
        <v>667.26143680054633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2.7818477983007299</v>
      </c>
      <c r="AA82" s="21">
        <f>EXP(-LN(2)/25)*AA81+(1-EXP(-LN(2)/25))/(LN(2)/25)*Calculateur!V82*Calculateur!X82*VLOOKUP('Données projet'!$B$9,Paramètres!$A$1:$I$89,3,0)*0.475*44/12</f>
        <v>10.952554062960125</v>
      </c>
      <c r="AB82" s="21">
        <f>EXP(-LN(2)/2)*AB81+(1-EXP(-LN(2)/2))/(LN(2)/2)*V82*Y82*VLOOKUP('Données projet'!$B$9,Paramètres!$A$1:$I$89,3,0)*0.475*44/12</f>
        <v>6.076714817468657E-7</v>
      </c>
      <c r="AC82" s="22">
        <f t="shared" si="57"/>
        <v>13.734402468932336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-2.2737367544323206E-13</v>
      </c>
      <c r="AJ82" s="13">
        <f>AI82*VLOOKUP('Données projet'!$B$10,Paramètres!$A$1:$I$89,3,0)*VLOOKUP('Données projet'!$B$10,Paramètres!$A$1:$I$89,5,0)</f>
        <v>-1.2710188457276673E-13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427.83834708696861</v>
      </c>
      <c r="AO82" s="59">
        <f t="shared" si="90"/>
        <v>545.63950537101903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1.6691086789804388</v>
      </c>
      <c r="AV82" s="21">
        <f>EXP(-LN(2)/25)*AV81+(1-EXP(-LN(2)/25))/(LN(2)/25)*Calculateur!AQ82*Calculateur!AS82*VLOOKUP('Données projet'!$B$10,Paramètres!$A$1:$I$89,3,0)*0.475*44/12</f>
        <v>6.3282724222220299</v>
      </c>
      <c r="AW82" s="21">
        <f>EXP(-LN(2)/2)*AW81+(1-EXP(-LN(2)/2))/(LN(2)/2)*AQ82*AT82*VLOOKUP('Données projet'!$B$10,Paramètres!$A$1:$I$89,3,0)*0.475*44/12</f>
        <v>3.8995240207029108E-7</v>
      </c>
      <c r="AX82" s="21">
        <f t="shared" si="60"/>
        <v>7.9973814911548704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7.7</v>
      </c>
      <c r="BD82" s="12">
        <f>IF('Données projet'!$A$88&gt;35,BD81+BC82-BL81,IF(A82&lt;'Données projet'!$A$88,$BA$205^A82,IF(A82='Données projet'!$A$88,'Données projet'!$B$88,BD81+BC82-BL81)))</f>
        <v>257.29999999999984</v>
      </c>
      <c r="BE82" s="13">
        <f>BD82*VLOOKUP('Données projet'!$B$11,Paramètres!$A$1:$I$89,3,0)*VLOOKUP('Données projet'!$B$11,Paramètres!$A$1:$I$89,5,0)</f>
        <v>120.41639999999992</v>
      </c>
      <c r="BF82" s="13">
        <f t="shared" si="91"/>
        <v>31.772098167877392</v>
      </c>
      <c r="BG82" s="20">
        <f t="shared" si="61"/>
        <v>265.06163430905303</v>
      </c>
      <c r="BH82" s="59">
        <f t="shared" si="62"/>
        <v>544.36265821157099</v>
      </c>
      <c r="BI82" s="59">
        <f ca="1">AVERAGE(OFFSET($BH$3,0,0,'Données projet'!$E$11+1,1))-AVERAGE(OFFSET($H$3,0,0,'Données projet'!$E$11+1,1))</f>
        <v>210.62109466714364</v>
      </c>
      <c r="BJ82" s="59">
        <f t="shared" si="92"/>
        <v>193.35729443770401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2.4735062741118394</v>
      </c>
      <c r="BQ82" s="21">
        <f>EXP(-LN(2)/25)*BQ81+(1-EXP(-LN(2)/25))/(LN(2)/25)*Calculateur!BL82*Calculateur!BN82*VLOOKUP('Données projet'!$B$11,Paramètres!$A$1:$I$89,3,0)*0.475*44/12</f>
        <v>2.059384131969979</v>
      </c>
      <c r="BR82" s="21">
        <f>EXP(-LN(2)/2)*BR81+(1-EXP(-LN(2)/2))/(LN(2)/2)*BL82*BO82*VLOOKUP('Données projet'!$B$11,Paramètres!$A$1:$I$89,3,0)*0.475*44/12</f>
        <v>3.3363364691394849E-7</v>
      </c>
      <c r="BS82" s="22">
        <f t="shared" si="63"/>
        <v>4.5328907397154659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8.875</v>
      </c>
      <c r="BY82" s="12">
        <f>IF('Données projet'!$A$114&gt;35,BY81+BX82-CG81,IF(A82&lt;'Données projet'!$A$114,$BV$205^A82,IF(A82='Données projet'!$A$114,'Données projet'!$B$114,BY81+BX82-CG81)))</f>
        <v>540.375</v>
      </c>
      <c r="BZ82" s="13">
        <f>BY82*VLOOKUP('Données projet'!$B$12,Paramètres!$A$1:$I$89,3,0)*VLOOKUP('Données projet'!$B$12,Paramètres!$A$1:$I$89,5,0)</f>
        <v>323.14425000000006</v>
      </c>
      <c r="CA82" s="13">
        <f t="shared" si="93"/>
        <v>76.007203261088534</v>
      </c>
      <c r="CB82" s="20">
        <f t="shared" si="64"/>
        <v>695.18878109639593</v>
      </c>
      <c r="CC82" s="59">
        <f t="shared" si="65"/>
        <v>974.48980499891388</v>
      </c>
      <c r="CD82" s="59">
        <f ca="1">AVERAGE(OFFSET($CC$3,0,0,'Données projet'!$E$12+1,1))-AVERAGE(OFFSET($H$3,0,0,'Données projet'!$E$12+1,1))</f>
        <v>368.16165268258442</v>
      </c>
      <c r="CE82" s="59">
        <f t="shared" si="94"/>
        <v>291.32219253157041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2.8339411872050935</v>
      </c>
      <c r="CL82" s="21">
        <f>EXP(-LN(2)/25)*CL81+(1-EXP(-LN(2)/25))/(LN(2)/25)*Calculateur!CG82*Calculateur!CI82*VLOOKUP('Données projet'!$B$12,Paramètres!$A$1:$I$89,3,0)*0.475*44/12</f>
        <v>1.7074988133158053</v>
      </c>
      <c r="CM82" s="21">
        <f>EXP(-LN(2)/2)*CM81+(1-EXP(-LN(2)/2))/(LN(2)/2)*CG82*CJ82*VLOOKUP('Données projet'!$B$12,Paramètres!$A$1:$I$89,3,0)*0.475*44/12</f>
        <v>3.3392246354076061E-7</v>
      </c>
      <c r="CN82" s="22">
        <f t="shared" si="66"/>
        <v>4.5414403344433625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1.1368683772161603E-13</v>
      </c>
      <c r="CU82" s="17">
        <f>CT82*VLOOKUP('Données projet'!$B$13,Paramètres!$A$1:$I$89,3,0)*VLOOKUP('Données projet'!$B$13,Paramètres!$A$1:$I$89,5,0)</f>
        <v>6.7984728957526396E-14</v>
      </c>
      <c r="CV82" s="13">
        <f t="shared" si="95"/>
        <v>1.0682447123141398E-12</v>
      </c>
      <c r="CW82" s="20">
        <f t="shared" si="67"/>
        <v>1.978932943548152E-12</v>
      </c>
      <c r="CX82" s="59">
        <f t="shared" si="68"/>
        <v>279.30102390251994</v>
      </c>
      <c r="CY82" s="59">
        <f ca="1">AVERAGE(OFFSET($CX$3,0,0,'Données projet'!$E$13+1,1))-AVERAGE(OFFSET($H$3,0,0,'Données projet'!$E$13+1,1))</f>
        <v>317.12995176362455</v>
      </c>
      <c r="CZ82" s="59">
        <f t="shared" si="96"/>
        <v>328.11301015275262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6.8413675260639426</v>
      </c>
      <c r="DG82" s="21">
        <f>EXP(-LN(2)/25)*DG81+(1-EXP(-LN(2)/25))/(LN(2)/25)*Calculateur!DB82*Calculateur!DD82*VLOOKUP('Données projet'!$B$13,Paramètres!$A$1:$I$89,3,0)*0.475*44/12</f>
        <v>4.144845297554502</v>
      </c>
      <c r="DH82" s="21">
        <f>EXP(-LN(2)/2)*DH81+(1-EXP(-LN(2)/2))/(LN(2)/2)*DB82*DE82*VLOOKUP('Données projet'!$B$13,Paramètres!$A$1:$I$89,3,0)*0.475*44/12</f>
        <v>2.4198122837828349E-7</v>
      </c>
      <c r="DI82" s="22">
        <f t="shared" si="69"/>
        <v>10.986213065599673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3.4</v>
      </c>
      <c r="DO82" s="12">
        <f>IF('Données projet'!$A$166&gt;35,DO81+DN82-DW81,IF(A82&lt;'Données projet'!$A$166,$DL$205^A82,IF(A82='Données projet'!$A$166,'Données projet'!$B$166,DO81+DN82-DW81)))</f>
        <v>228.59999999999997</v>
      </c>
      <c r="DP82" s="17">
        <f>DO82*VLOOKUP('Données projet'!$B$14,Paramètres!$A$1:$I$89,3,0)*VLOOKUP('Données projet'!$B$14,Paramètres!$A$1:$I$89,5,0)</f>
        <v>199.70496</v>
      </c>
      <c r="DQ82" s="13">
        <f t="shared" si="97"/>
        <v>49.679321293278612</v>
      </c>
      <c r="DR82" s="20">
        <f t="shared" si="70"/>
        <v>434.34428991912688</v>
      </c>
      <c r="DS82" s="59">
        <f t="shared" si="71"/>
        <v>713.64531382164478</v>
      </c>
      <c r="DT82" s="59">
        <f ca="1">AVERAGE(OFFSET($DS$3,0,0,'Données projet'!$E$14+1,1))-AVERAGE(OFFSET($H$3,0,0,'Données projet'!$E$14+1,1))</f>
        <v>325.5873213944476</v>
      </c>
      <c r="DU82" s="59">
        <f t="shared" si="98"/>
        <v>347.9042278368363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1.109552479609661</v>
      </c>
      <c r="EB82" s="21">
        <f>EXP(-LN(2)/25)*EB81+(1-EXP(-LN(2)/25))/(LN(2)/25)*Calculateur!DW82*Calculateur!DY82*VLOOKUP('Données projet'!$B$14,Paramètres!$A$1:$I$89,3,0)*0.475*44/12</f>
        <v>2.2678519554064258</v>
      </c>
      <c r="EC82" s="21">
        <f>EXP(-LN(2)/2)*EC81+(1-EXP(-LN(2)/2))/(LN(2)/2)*DW82*DZ82*VLOOKUP('Données projet'!$B$14,Paramètres!$A$1:$I$89,3,0)*0.475*44/12</f>
        <v>5.0364728009232322E-7</v>
      </c>
      <c r="ED82" s="22">
        <f t="shared" si="72"/>
        <v>3.3774049386633664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205.5480000480477</v>
      </c>
      <c r="EP82" s="59">
        <f t="shared" si="100"/>
        <v>229.86812144828366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2.7871494239667021</v>
      </c>
      <c r="EW82" s="21">
        <f>EXP(-LN(2)/25)*EW81+(1-EXP(-LN(2)/25))/(LN(2)/25)*Calculateur!ER82*Calculateur!ET82*VLOOKUP('Données projet'!$B$15,Paramètres!$A$1:$I$89,3,0)*0.475*44/12</f>
        <v>1.5479635782100898</v>
      </c>
      <c r="EX82" s="21">
        <f>EXP(-LN(2)/2)*EX81+(1-EXP(-LN(2)/2))/(LN(2)/2)*ER82*EU82*VLOOKUP('Données projet'!$B$15,Paramètres!$A$1:$I$89,3,0)*0.475*44/12</f>
        <v>1.246691569090991E-7</v>
      </c>
      <c r="EY82" s="22">
        <f t="shared" si="75"/>
        <v>4.3351131268459486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3.05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13.977600000000015</v>
      </c>
      <c r="D83" s="11">
        <f t="shared" si="86"/>
        <v>4.7386683822915057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53.837133126783264</v>
      </c>
      <c r="H83" s="67">
        <f t="shared" si="56"/>
        <v>244.53083409915772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-3.4106051316484809E-13</v>
      </c>
      <c r="O83" s="13">
        <f>N83*VLOOKUP('Données projet'!$B$9,Paramètres!$A$1:$I$89,3,0)*VLOOKUP('Données projet'!$B$9,Paramètres!$A$1:$I$89,5,0)</f>
        <v>-1.9065282685915009E-13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542.23071537860039</v>
      </c>
      <c r="T83" s="59">
        <f t="shared" si="88"/>
        <v>667.26143680054633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2.7272974597356683</v>
      </c>
      <c r="AA83" s="21">
        <f>EXP(-LN(2)/25)*AA82+(1-EXP(-LN(2)/25))/(LN(2)/25)*Calculateur!V83*Calculateur!X83*VLOOKUP('Données projet'!$B$9,Paramètres!$A$1:$I$89,3,0)*0.475*44/12</f>
        <v>10.653055896138694</v>
      </c>
      <c r="AB83" s="21">
        <f>EXP(-LN(2)/2)*AB82+(1-EXP(-LN(2)/2))/(LN(2)/2)*V83*Y83*VLOOKUP('Données projet'!$B$9,Paramètres!$A$1:$I$89,3,0)*0.475*44/12</f>
        <v>4.2968862547688608E-7</v>
      </c>
      <c r="AC83" s="22">
        <f t="shared" si="57"/>
        <v>13.380353785562988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-2.2737367544323206E-13</v>
      </c>
      <c r="AJ83" s="13">
        <f>AI83*VLOOKUP('Données projet'!$B$10,Paramètres!$A$1:$I$89,3,0)*VLOOKUP('Données projet'!$B$10,Paramètres!$A$1:$I$89,5,0)</f>
        <v>-1.2710188457276673E-13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427.83834708696861</v>
      </c>
      <c r="AO83" s="59">
        <f t="shared" si="90"/>
        <v>545.63950537101903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1.6363784758414019</v>
      </c>
      <c r="AV83" s="21">
        <f>EXP(-LN(2)/25)*AV82+(1-EXP(-LN(2)/25))/(LN(2)/25)*Calculateur!AQ83*Calculateur!AS83*VLOOKUP('Données projet'!$B$10,Paramètres!$A$1:$I$89,3,0)*0.475*44/12</f>
        <v>6.155225480046985</v>
      </c>
      <c r="AW83" s="21">
        <f>EXP(-LN(2)/2)*AW82+(1-EXP(-LN(2)/2))/(LN(2)/2)*AQ83*AT83*VLOOKUP('Données projet'!$B$10,Paramètres!$A$1:$I$89,3,0)*0.475*44/12</f>
        <v>2.7573798784388591E-7</v>
      </c>
      <c r="AX83" s="21">
        <f t="shared" si="60"/>
        <v>7.7916042316263754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265</v>
      </c>
      <c r="BB83" s="12">
        <f>VLOOKUP(A83,'Données projet'!$A$87:$I$107,9,0)</f>
        <v>7.7</v>
      </c>
      <c r="BC83" s="12">
        <f t="array" ref="BC83">INDEX(BB:BB,MIN(IF(ISNUMBER(BB83:BB279),ROW(BB83:BB279),"")))</f>
        <v>7.7</v>
      </c>
      <c r="BD83" s="12">
        <f>IF('Données projet'!$A$88&gt;35,BD82+BC83-BL82,IF(A83&lt;'Données projet'!$A$88,$BA$205^A83,IF(A83='Données projet'!$A$88,'Données projet'!$B$88,BD82+BC83-BL82)))</f>
        <v>264.99999999999983</v>
      </c>
      <c r="BE83" s="13">
        <f>BD83*VLOOKUP('Données projet'!$B$11,Paramètres!$A$1:$I$89,3,0)*VLOOKUP('Données projet'!$B$11,Paramètres!$A$1:$I$89,5,0)</f>
        <v>124.01999999999992</v>
      </c>
      <c r="BF83" s="13">
        <f t="shared" si="91"/>
        <v>32.610792634958898</v>
      </c>
      <c r="BG83" s="20">
        <f t="shared" si="61"/>
        <v>272.79863050588659</v>
      </c>
      <c r="BH83" s="59">
        <f t="shared" si="62"/>
        <v>552.34308360548516</v>
      </c>
      <c r="BI83" s="59">
        <f ca="1">AVERAGE(OFFSET($BH$3,0,0,'Données projet'!$E$11+1,1))-AVERAGE(OFFSET($H$3,0,0,'Données projet'!$E$11+1,1))</f>
        <v>210.62109466714364</v>
      </c>
      <c r="BJ83" s="59">
        <f t="shared" si="92"/>
        <v>193.35729443770401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55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2.4250023247663628</v>
      </c>
      <c r="BQ83" s="21">
        <f>EXP(-LN(2)/25)*BQ82+(1-EXP(-LN(2)/25))/(LN(2)/25)*Calculateur!BL83*Calculateur!BN83*VLOOKUP('Données projet'!$B$11,Paramètres!$A$1:$I$89,3,0)*0.475*44/12</f>
        <v>2.0030701645829554</v>
      </c>
      <c r="BR83" s="21">
        <f>EXP(-LN(2)/2)*BR82+(1-EXP(-LN(2)/2))/(LN(2)/2)*BL83*BO83*VLOOKUP('Données projet'!$B$11,Paramètres!$A$1:$I$89,3,0)*0.475*44/12</f>
        <v>2.3591461416485125E-7</v>
      </c>
      <c r="BS83" s="22">
        <f t="shared" si="63"/>
        <v>4.4280727252639327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8.875</v>
      </c>
      <c r="BY83" s="12">
        <f>IF('Données projet'!$A$114&gt;35,BY82+BX83-CG82,IF(A83&lt;'Données projet'!$A$114,$BV$205^A83,IF(A83='Données projet'!$A$114,'Données projet'!$B$114,BY82+BX83-CG82)))</f>
        <v>549.25</v>
      </c>
      <c r="BZ83" s="13">
        <f>BY83*VLOOKUP('Données projet'!$B$12,Paramètres!$A$1:$I$89,3,0)*VLOOKUP('Données projet'!$B$12,Paramètres!$A$1:$I$89,5,0)</f>
        <v>328.45150000000001</v>
      </c>
      <c r="CA83" s="13">
        <f t="shared" si="93"/>
        <v>77.109175784158708</v>
      </c>
      <c r="CB83" s="20">
        <f t="shared" si="64"/>
        <v>706.35151032407646</v>
      </c>
      <c r="CC83" s="59">
        <f t="shared" si="65"/>
        <v>985.89596342367497</v>
      </c>
      <c r="CD83" s="59">
        <f ca="1">AVERAGE(OFFSET($CC$3,0,0,'Données projet'!$E$12+1,1))-AVERAGE(OFFSET($H$3,0,0,'Données projet'!$E$12+1,1))</f>
        <v>368.16165268258442</v>
      </c>
      <c r="CE83" s="59">
        <f t="shared" si="94"/>
        <v>291.32219253157041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2.7783693290574472</v>
      </c>
      <c r="CL83" s="21">
        <f>EXP(-LN(2)/25)*CL82+(1-EXP(-LN(2)/25))/(LN(2)/25)*Calculateur!CG83*Calculateur!CI83*VLOOKUP('Données projet'!$B$12,Paramètres!$A$1:$I$89,3,0)*0.475*44/12</f>
        <v>1.6608071684722245</v>
      </c>
      <c r="CM83" s="21">
        <f>EXP(-LN(2)/2)*CM82+(1-EXP(-LN(2)/2))/(LN(2)/2)*CG83*CJ83*VLOOKUP('Données projet'!$B$12,Paramètres!$A$1:$I$89,3,0)*0.475*44/12</f>
        <v>2.3611883836018953E-7</v>
      </c>
      <c r="CN83" s="22">
        <f t="shared" si="66"/>
        <v>4.4391767336485097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1.1368683772161603E-13</v>
      </c>
      <c r="CU83" s="17">
        <f>CT83*VLOOKUP('Données projet'!$B$13,Paramètres!$A$1:$I$89,3,0)*VLOOKUP('Données projet'!$B$13,Paramètres!$A$1:$I$89,5,0)</f>
        <v>6.7984728957526396E-14</v>
      </c>
      <c r="CV83" s="13">
        <f t="shared" si="95"/>
        <v>1.0682447123141398E-12</v>
      </c>
      <c r="CW83" s="20">
        <f t="shared" si="67"/>
        <v>1.978932943548152E-12</v>
      </c>
      <c r="CX83" s="59">
        <f t="shared" si="68"/>
        <v>279.5444530996005</v>
      </c>
      <c r="CY83" s="59">
        <f ca="1">AVERAGE(OFFSET($CX$3,0,0,'Données projet'!$E$13+1,1))-AVERAGE(OFFSET($H$3,0,0,'Données projet'!$E$13+1,1))</f>
        <v>317.12995176362455</v>
      </c>
      <c r="CZ83" s="59">
        <f t="shared" si="96"/>
        <v>328.11301015275262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6.7072124816999876</v>
      </c>
      <c r="DG83" s="21">
        <f>EXP(-LN(2)/25)*DG82+(1-EXP(-LN(2)/25))/(LN(2)/25)*Calculateur!DB83*Calculateur!DD83*VLOOKUP('Données projet'!$B$13,Paramètres!$A$1:$I$89,3,0)*0.475*44/12</f>
        <v>4.0315042849249334</v>
      </c>
      <c r="DH83" s="21">
        <f>EXP(-LN(2)/2)*DH82+(1-EXP(-LN(2)/2))/(LN(2)/2)*DB83*DE83*VLOOKUP('Données projet'!$B$13,Paramètres!$A$1:$I$89,3,0)*0.475*44/12</f>
        <v>1.7110656750613489E-7</v>
      </c>
      <c r="DI83" s="22">
        <f t="shared" si="69"/>
        <v>10.738716937731489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232</v>
      </c>
      <c r="DM83" s="12">
        <f>VLOOKUP(A83,'Données projet'!$A$165:$I$185,9,0)</f>
        <v>3.4</v>
      </c>
      <c r="DN83" s="12">
        <f t="array" ref="DN83">INDEX(DM:DM,MIN(IF(ISNUMBER(DM83:DM279),ROW(DM83:DM279),"")))</f>
        <v>3.4</v>
      </c>
      <c r="DO83" s="12">
        <f>IF('Données projet'!$A$166&gt;35,DO82+DN83-DW82,IF(A83&lt;'Données projet'!$A$166,$DL$205^A83,IF(A83='Données projet'!$A$166,'Données projet'!$B$166,DO82+DN83-DW82)))</f>
        <v>231.99999999999997</v>
      </c>
      <c r="DP83" s="17">
        <f>DO83*VLOOKUP('Données projet'!$B$14,Paramètres!$A$1:$I$89,3,0)*VLOOKUP('Données projet'!$B$14,Paramètres!$A$1:$I$89,5,0)</f>
        <v>202.67519999999999</v>
      </c>
      <c r="DQ83" s="13">
        <f t="shared" si="97"/>
        <v>50.33164028531364</v>
      </c>
      <c r="DR83" s="20">
        <f t="shared" si="70"/>
        <v>440.65358016358783</v>
      </c>
      <c r="DS83" s="59">
        <f t="shared" si="71"/>
        <v>720.19803326318629</v>
      </c>
      <c r="DT83" s="59">
        <f ca="1">AVERAGE(OFFSET($DS$3,0,0,'Données projet'!$E$14+1,1))-AVERAGE(OFFSET($H$3,0,0,'Données projet'!$E$14+1,1))</f>
        <v>325.5873213944476</v>
      </c>
      <c r="DU83" s="59">
        <f t="shared" si="98"/>
        <v>347.9042278368363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13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1.0877948322447035</v>
      </c>
      <c r="EB83" s="21">
        <f>EXP(-LN(2)/25)*EB82+(1-EXP(-LN(2)/25))/(LN(2)/25)*Calculateur!DW83*Calculateur!DY83*VLOOKUP('Données projet'!$B$14,Paramètres!$A$1:$I$89,3,0)*0.475*44/12</f>
        <v>2.2058374244246859</v>
      </c>
      <c r="EC83" s="21">
        <f>EXP(-LN(2)/2)*EC82+(1-EXP(-LN(2)/2))/(LN(2)/2)*DW83*DZ83*VLOOKUP('Données projet'!$B$14,Paramètres!$A$1:$I$89,3,0)*0.475*44/12</f>
        <v>3.5613240707944221E-7</v>
      </c>
      <c r="ED83" s="22">
        <f t="shared" si="72"/>
        <v>3.2936326128017965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205.5480000480477</v>
      </c>
      <c r="EP83" s="59">
        <f t="shared" si="100"/>
        <v>229.86812144828366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2.7324951237560033</v>
      </c>
      <c r="EW83" s="21">
        <f>EXP(-LN(2)/25)*EW82+(1-EXP(-LN(2)/25))/(LN(2)/25)*Calculateur!ER83*Calculateur!ET83*VLOOKUP('Données projet'!$B$15,Paramètres!$A$1:$I$89,3,0)*0.475*44/12</f>
        <v>1.5056344327600681</v>
      </c>
      <c r="EX83" s="21">
        <f>EXP(-LN(2)/2)*EX82+(1-EXP(-LN(2)/2))/(LN(2)/2)*ER83*EU83*VLOOKUP('Données projet'!$B$15,Paramètres!$A$1:$I$89,3,0)*0.475*44/12</f>
        <v>8.8154406255233699E-8</v>
      </c>
      <c r="EY83" s="22">
        <f t="shared" si="75"/>
        <v>4.2381296446704777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3.05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14.152320000000016</v>
      </c>
      <c r="D84" s="11">
        <f t="shared" si="86"/>
        <v>4.7909690742040389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54.397914063998783</v>
      </c>
      <c r="H84" s="67">
        <f t="shared" si="56"/>
        <v>244.92622847090536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-3.4106051316484809E-13</v>
      </c>
      <c r="O84" s="13">
        <f>N84*VLOOKUP('Données projet'!$B$9,Paramètres!$A$1:$I$89,3,0)*VLOOKUP('Données projet'!$B$9,Paramètres!$A$1:$I$89,5,0)</f>
        <v>-1.9065282685915009E-13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542.23071537860039</v>
      </c>
      <c r="T84" s="59">
        <f t="shared" si="88"/>
        <v>667.26143680054633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2.6738168200374464</v>
      </c>
      <c r="AA84" s="21">
        <f>EXP(-LN(2)/25)*AA83+(1-EXP(-LN(2)/25))/(LN(2)/25)*Calculateur!V84*Calculateur!X84*VLOOKUP('Données projet'!$B$9,Paramètres!$A$1:$I$89,3,0)*0.475*44/12</f>
        <v>10.36174752243892</v>
      </c>
      <c r="AB84" s="21">
        <f>EXP(-LN(2)/2)*AB83+(1-EXP(-LN(2)/2))/(LN(2)/2)*V84*Y84*VLOOKUP('Données projet'!$B$9,Paramètres!$A$1:$I$89,3,0)*0.475*44/12</f>
        <v>3.0383574087343285E-7</v>
      </c>
      <c r="AC84" s="22">
        <f t="shared" si="57"/>
        <v>13.035564646312107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-1.2710188457276673E-13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427.83834708696861</v>
      </c>
      <c r="AO84" s="59">
        <f t="shared" si="90"/>
        <v>545.63950537101903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1.604290092022469</v>
      </c>
      <c r="AV84" s="21">
        <f>EXP(-LN(2)/25)*AV83+(1-EXP(-LN(2)/25))/(LN(2)/25)*Calculateur!AQ84*Calculateur!AS84*VLOOKUP('Données projet'!$B$10,Paramètres!$A$1:$I$89,3,0)*0.475*44/12</f>
        <v>5.9869105156058602</v>
      </c>
      <c r="AW84" s="21">
        <f>EXP(-LN(2)/2)*AW83+(1-EXP(-LN(2)/2))/(LN(2)/2)*AQ84*AT84*VLOOKUP('Données projet'!$B$10,Paramètres!$A$1:$I$89,3,0)*0.475*44/12</f>
        <v>1.9497620103514554E-7</v>
      </c>
      <c r="AX84" s="21">
        <f t="shared" si="60"/>
        <v>7.5912008026045301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8.3000000000000007</v>
      </c>
      <c r="BD84" s="12">
        <f>IF('Données projet'!$A$88&gt;35,BD83+BC84-BL83,IF(A84&lt;'Données projet'!$A$88,$BA$205^A84,IF(A84='Données projet'!$A$88,'Données projet'!$B$88,BD83+BC84-BL83)))</f>
        <v>218.29999999999984</v>
      </c>
      <c r="BE84" s="13">
        <f>BD84*VLOOKUP('Données projet'!$B$11,Paramètres!$A$1:$I$89,3,0)*VLOOKUP('Données projet'!$B$11,Paramètres!$A$1:$I$89,5,0)</f>
        <v>102.16439999999992</v>
      </c>
      <c r="BF84" s="13">
        <f t="shared" si="91"/>
        <v>27.476991634717848</v>
      </c>
      <c r="BG84" s="20">
        <f t="shared" si="61"/>
        <v>225.79209043046674</v>
      </c>
      <c r="BH84" s="59">
        <f t="shared" si="62"/>
        <v>505.5757497748026</v>
      </c>
      <c r="BI84" s="59">
        <f ca="1">AVERAGE(OFFSET($BH$3,0,0,'Données projet'!$E$11+1,1))-AVERAGE(OFFSET($H$3,0,0,'Données projet'!$E$11+1,1))</f>
        <v>210.62109466714364</v>
      </c>
      <c r="BJ84" s="59">
        <f t="shared" si="92"/>
        <v>193.35729443770401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2.3774495082830631</v>
      </c>
      <c r="BQ84" s="21">
        <f>EXP(-LN(2)/25)*BQ83+(1-EXP(-LN(2)/25))/(LN(2)/25)*Calculateur!BL84*Calculateur!BN84*VLOOKUP('Données projet'!$B$11,Paramètres!$A$1:$I$89,3,0)*0.475*44/12</f>
        <v>1.9482961055955526</v>
      </c>
      <c r="BR84" s="21">
        <f>EXP(-LN(2)/2)*BR83+(1-EXP(-LN(2)/2))/(LN(2)/2)*BL84*BO84*VLOOKUP('Données projet'!$B$11,Paramètres!$A$1:$I$89,3,0)*0.475*44/12</f>
        <v>1.6681682345697427E-7</v>
      </c>
      <c r="BS84" s="22">
        <f t="shared" si="63"/>
        <v>4.3257457806954394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8.875</v>
      </c>
      <c r="BY84" s="12">
        <f>IF('Données projet'!$A$114&gt;35,BY83+BX84-CG83,IF(A84&lt;'Données projet'!$A$114,$BV$205^A84,IF(A84='Données projet'!$A$114,'Données projet'!$B$114,BY83+BX84-CG83)))</f>
        <v>558.125</v>
      </c>
      <c r="BZ84" s="13">
        <f>BY84*VLOOKUP('Données projet'!$B$12,Paramètres!$A$1:$I$89,3,0)*VLOOKUP('Données projet'!$B$12,Paramètres!$A$1:$I$89,5,0)</f>
        <v>333.75875000000002</v>
      </c>
      <c r="CA84" s="13">
        <f t="shared" si="93"/>
        <v>78.209077528625059</v>
      </c>
      <c r="CB84" s="20">
        <f t="shared" si="64"/>
        <v>717.5106329456886</v>
      </c>
      <c r="CC84" s="59">
        <f t="shared" si="65"/>
        <v>997.29429229002449</v>
      </c>
      <c r="CD84" s="59">
        <f ca="1">AVERAGE(OFFSET($CC$3,0,0,'Données projet'!$E$12+1,1))-AVERAGE(OFFSET($H$3,0,0,'Données projet'!$E$12+1,1))</f>
        <v>368.16165268258442</v>
      </c>
      <c r="CE84" s="59">
        <f t="shared" si="94"/>
        <v>291.32219253157041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2.7238872011525896</v>
      </c>
      <c r="CL84" s="21">
        <f>EXP(-LN(2)/25)*CL83+(1-EXP(-LN(2)/25))/(LN(2)/25)*Calculateur!CG84*Calculateur!CI84*VLOOKUP('Données projet'!$B$12,Paramètres!$A$1:$I$89,3,0)*0.475*44/12</f>
        <v>1.6153923091122984</v>
      </c>
      <c r="CM84" s="21">
        <f>EXP(-LN(2)/2)*CM83+(1-EXP(-LN(2)/2))/(LN(2)/2)*CG84*CJ84*VLOOKUP('Données projet'!$B$12,Paramètres!$A$1:$I$89,3,0)*0.475*44/12</f>
        <v>1.6696123177038033E-7</v>
      </c>
      <c r="CN84" s="22">
        <f t="shared" si="66"/>
        <v>4.3392796772261191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1.1368683772161603E-13</v>
      </c>
      <c r="CU84" s="17">
        <f>CT84*VLOOKUP('Données projet'!$B$13,Paramètres!$A$1:$I$89,3,0)*VLOOKUP('Données projet'!$B$13,Paramètres!$A$1:$I$89,5,0)</f>
        <v>6.7984728957526396E-14</v>
      </c>
      <c r="CV84" s="13">
        <f t="shared" si="95"/>
        <v>1.0682447123141398E-12</v>
      </c>
      <c r="CW84" s="20">
        <f t="shared" si="67"/>
        <v>1.978932943548152E-12</v>
      </c>
      <c r="CX84" s="59">
        <f t="shared" si="68"/>
        <v>279.78365934433788</v>
      </c>
      <c r="CY84" s="59">
        <f ca="1">AVERAGE(OFFSET($CX$3,0,0,'Données projet'!$E$13+1,1))-AVERAGE(OFFSET($H$3,0,0,'Données projet'!$E$13+1,1))</f>
        <v>317.12995176362455</v>
      </c>
      <c r="CZ84" s="59">
        <f t="shared" si="96"/>
        <v>328.11301015275262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6.5756881359295125</v>
      </c>
      <c r="DG84" s="21">
        <f>EXP(-LN(2)/25)*DG83+(1-EXP(-LN(2)/25))/(LN(2)/25)*Calculateur!DB84*Calculateur!DD84*VLOOKUP('Données projet'!$B$13,Paramètres!$A$1:$I$89,3,0)*0.475*44/12</f>
        <v>3.9212625882460648</v>
      </c>
      <c r="DH84" s="21">
        <f>EXP(-LN(2)/2)*DH83+(1-EXP(-LN(2)/2))/(LN(2)/2)*DB84*DE84*VLOOKUP('Données projet'!$B$13,Paramètres!$A$1:$I$89,3,0)*0.475*44/12</f>
        <v>1.2099061418914175E-7</v>
      </c>
      <c r="DI84" s="22">
        <f t="shared" si="69"/>
        <v>10.496950845166191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3</v>
      </c>
      <c r="DO84" s="12">
        <f>IF('Données projet'!$A$166&gt;35,DO83+DN84-DW83,IF(A84&lt;'Données projet'!$A$166,$DL$205^A84,IF(A84='Données projet'!$A$166,'Données projet'!$B$166,DO83+DN84-DW83)))</f>
        <v>221.99999999999997</v>
      </c>
      <c r="DP84" s="17">
        <f>DO84*VLOOKUP('Données projet'!$B$14,Paramètres!$A$1:$I$89,3,0)*VLOOKUP('Données projet'!$B$14,Paramètres!$A$1:$I$89,5,0)</f>
        <v>193.9392</v>
      </c>
      <c r="DQ84" s="13">
        <f t="shared" si="97"/>
        <v>48.409811198069384</v>
      </c>
      <c r="DR84" s="20">
        <f t="shared" si="70"/>
        <v>422.09119450330417</v>
      </c>
      <c r="DS84" s="59">
        <f t="shared" si="71"/>
        <v>701.87485384764</v>
      </c>
      <c r="DT84" s="59">
        <f ca="1">AVERAGE(OFFSET($DS$3,0,0,'Données projet'!$E$14+1,1))-AVERAGE(OFFSET($H$3,0,0,'Données projet'!$E$14+1,1))</f>
        <v>325.5873213944476</v>
      </c>
      <c r="DU84" s="59">
        <f t="shared" si="98"/>
        <v>347.9042278368363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1.0664638390737184</v>
      </c>
      <c r="EB84" s="21">
        <f>EXP(-LN(2)/25)*EB83+(1-EXP(-LN(2)/25))/(LN(2)/25)*Calculateur!DW84*Calculateur!DY84*VLOOKUP('Données projet'!$B$14,Paramètres!$A$1:$I$89,3,0)*0.475*44/12</f>
        <v>2.1455186840538443</v>
      </c>
      <c r="EC84" s="21">
        <f>EXP(-LN(2)/2)*EC83+(1-EXP(-LN(2)/2))/(LN(2)/2)*DW84*DZ84*VLOOKUP('Données projet'!$B$14,Paramètres!$A$1:$I$89,3,0)*0.475*44/12</f>
        <v>2.5182364004616161E-7</v>
      </c>
      <c r="ED84" s="22">
        <f t="shared" si="72"/>
        <v>3.2119827749512027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205.5480000480477</v>
      </c>
      <c r="EP84" s="59">
        <f t="shared" si="100"/>
        <v>229.86812144828366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2.6789125610366047</v>
      </c>
      <c r="EW84" s="21">
        <f>EXP(-LN(2)/25)*EW83+(1-EXP(-LN(2)/25))/(LN(2)/25)*Calculateur!ER84*Calculateur!ET84*VLOOKUP('Données projet'!$B$15,Paramètres!$A$1:$I$89,3,0)*0.475*44/12</f>
        <v>1.4644627800183705</v>
      </c>
      <c r="EX84" s="21">
        <f>EXP(-LN(2)/2)*EX83+(1-EXP(-LN(2)/2))/(LN(2)/2)*ER84*EU84*VLOOKUP('Données projet'!$B$15,Paramètres!$A$1:$I$89,3,0)*0.475*44/12</f>
        <v>6.233457845454955E-8</v>
      </c>
      <c r="EY84" s="22">
        <f t="shared" si="75"/>
        <v>4.1433754033895536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3.05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14.327040000000016</v>
      </c>
      <c r="D85" s="11">
        <f t="shared" si="86"/>
        <v>4.8431946600442535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54.958509476039175</v>
      </c>
      <c r="H85" s="67">
        <f t="shared" si="56"/>
        <v>245.32149203291041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-3.4106051316484809E-13</v>
      </c>
      <c r="O85" s="13">
        <f>N85*VLOOKUP('Données projet'!$B$9,Paramètres!$A$1:$I$89,3,0)*VLOOKUP('Données projet'!$B$9,Paramètres!$A$1:$I$89,5,0)</f>
        <v>-1.9065282685915009E-13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542.23071537860039</v>
      </c>
      <c r="T85" s="59">
        <f t="shared" si="88"/>
        <v>667.26143680054633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2.6213849030637375</v>
      </c>
      <c r="AA85" s="21">
        <f>EXP(-LN(2)/25)*AA84+(1-EXP(-LN(2)/25))/(LN(2)/25)*Calculateur!V85*Calculateur!X85*VLOOKUP('Données projet'!$B$9,Paramètres!$A$1:$I$89,3,0)*0.475*44/12</f>
        <v>10.078404991537207</v>
      </c>
      <c r="AB85" s="21">
        <f>EXP(-LN(2)/2)*AB84+(1-EXP(-LN(2)/2))/(LN(2)/2)*V85*Y85*VLOOKUP('Données projet'!$B$9,Paramètres!$A$1:$I$89,3,0)*0.475*44/12</f>
        <v>2.1484431273844304E-7</v>
      </c>
      <c r="AC85" s="22">
        <f t="shared" si="57"/>
        <v>12.699790109445257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-1.2710188457276673E-13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427.83834708696861</v>
      </c>
      <c r="AO85" s="59">
        <f t="shared" si="90"/>
        <v>545.63950537101903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1.5728309418382436</v>
      </c>
      <c r="AV85" s="21">
        <f>EXP(-LN(2)/25)*AV84+(1-EXP(-LN(2)/25))/(LN(2)/25)*Calculateur!AQ85*Calculateur!AS85*VLOOKUP('Données projet'!$B$10,Paramètres!$A$1:$I$89,3,0)*0.475*44/12</f>
        <v>5.8231981327186775</v>
      </c>
      <c r="AW85" s="21">
        <f>EXP(-LN(2)/2)*AW84+(1-EXP(-LN(2)/2))/(LN(2)/2)*AQ85*AT85*VLOOKUP('Données projet'!$B$10,Paramètres!$A$1:$I$89,3,0)*0.475*44/12</f>
        <v>1.3786899392194296E-7</v>
      </c>
      <c r="AX85" s="21">
        <f t="shared" si="60"/>
        <v>7.3960292124259146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8.3000000000000007</v>
      </c>
      <c r="BD85" s="12">
        <f>IF('Données projet'!$A$88&gt;35,BD84+BC85-BL84,IF(A85&lt;'Données projet'!$A$88,$BA$205^A85,IF(A85='Données projet'!$A$88,'Données projet'!$B$88,BD84+BC85-BL84)))</f>
        <v>226.59999999999985</v>
      </c>
      <c r="BE85" s="13">
        <f>BD85*VLOOKUP('Données projet'!$B$11,Paramètres!$A$1:$I$89,3,0)*VLOOKUP('Données projet'!$B$11,Paramètres!$A$1:$I$89,5,0)</f>
        <v>106.04879999999994</v>
      </c>
      <c r="BF85" s="13">
        <f t="shared" si="91"/>
        <v>28.398078356711014</v>
      </c>
      <c r="BG85" s="20">
        <f t="shared" si="61"/>
        <v>234.16164647127155</v>
      </c>
      <c r="BH85" s="59">
        <f t="shared" si="62"/>
        <v>514.1803623667837</v>
      </c>
      <c r="BI85" s="59">
        <f ca="1">AVERAGE(OFFSET($BH$3,0,0,'Données projet'!$E$11+1,1))-AVERAGE(OFFSET($H$3,0,0,'Données projet'!$E$11+1,1))</f>
        <v>210.62109466714364</v>
      </c>
      <c r="BJ85" s="59">
        <f t="shared" si="92"/>
        <v>193.35729443770401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2.3308291735266469</v>
      </c>
      <c r="BQ85" s="21">
        <f>EXP(-LN(2)/25)*BQ84+(1-EXP(-LN(2)/25))/(LN(2)/25)*Calculateur!BL85*Calculateur!BN85*VLOOKUP('Données projet'!$B$11,Paramètres!$A$1:$I$89,3,0)*0.475*44/12</f>
        <v>1.8950198461316028</v>
      </c>
      <c r="BR85" s="21">
        <f>EXP(-LN(2)/2)*BR84+(1-EXP(-LN(2)/2))/(LN(2)/2)*BL85*BO85*VLOOKUP('Données projet'!$B$11,Paramètres!$A$1:$I$89,3,0)*0.475*44/12</f>
        <v>1.1795730708242564E-7</v>
      </c>
      <c r="BS85" s="22">
        <f t="shared" si="63"/>
        <v>4.2258491376155565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>
        <f>VLOOKUP(A85,'Données projet'!$A$113:$I$133,2,0)</f>
        <v>567</v>
      </c>
      <c r="BW85" s="12">
        <f>VLOOKUP(A85,'Données projet'!$A$113:$I$133,9,0)</f>
        <v>8.875</v>
      </c>
      <c r="BX85" s="12">
        <f t="array" ref="BX85">INDEX(BW:BW,MIN(IF(ISNUMBER(BW85:BW281),ROW(BW85:BW281),"")))</f>
        <v>8.875</v>
      </c>
      <c r="BY85" s="12">
        <f>IF('Données projet'!$A$114&gt;35,BY84+BX85-CG84,IF(A85&lt;'Données projet'!$A$114,$BV$205^A85,IF(A85='Données projet'!$A$114,'Données projet'!$B$114,BY84+BX85-CG84)))</f>
        <v>567</v>
      </c>
      <c r="BZ85" s="13">
        <f>BY85*VLOOKUP('Données projet'!$B$12,Paramètres!$A$1:$I$89,3,0)*VLOOKUP('Données projet'!$B$12,Paramètres!$A$1:$I$89,5,0)</f>
        <v>339.06600000000003</v>
      </c>
      <c r="CA85" s="13">
        <f t="shared" si="93"/>
        <v>79.30694522486489</v>
      </c>
      <c r="CB85" s="20">
        <f t="shared" si="64"/>
        <v>728.66621293330627</v>
      </c>
      <c r="CC85" s="59">
        <f t="shared" si="65"/>
        <v>1008.6849288288183</v>
      </c>
      <c r="CD85" s="59">
        <f ca="1">AVERAGE(OFFSET($CC$3,0,0,'Données projet'!$E$12+1,1))-AVERAGE(OFFSET($H$3,0,0,'Données projet'!$E$12+1,1))</f>
        <v>368.16165268258442</v>
      </c>
      <c r="CE85" s="59">
        <f t="shared" si="94"/>
        <v>291.32219253157041</v>
      </c>
      <c r="CF85" s="15">
        <f>IF(ISNA(VLOOKUP(A85,'Données projet'!$A$113:$I$133,3,0)),0,VLOOKUP(A85,'Données projet'!$A$113:$I$133,3,0))</f>
        <v>11</v>
      </c>
      <c r="CG85" s="15">
        <f>IF(ISNA(VLOOKUP(A85,'Données projet'!$A$113:$I$133,4,0)),0,VLOOKUP(A85,'Données projet'!$A$113:$I$133,4,0))</f>
        <v>567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2.6704734345451295</v>
      </c>
      <c r="CL85" s="21">
        <f>EXP(-LN(2)/25)*CL84+(1-EXP(-LN(2)/25))/(LN(2)/25)*Calculateur!CG85*Calculateur!CI85*VLOOKUP('Données projet'!$B$12,Paramètres!$A$1:$I$89,3,0)*0.475*44/12</f>
        <v>1.5712193214698331</v>
      </c>
      <c r="CM85" s="21">
        <f>EXP(-LN(2)/2)*CM84+(1-EXP(-LN(2)/2))/(LN(2)/2)*CG85*CJ85*VLOOKUP('Données projet'!$B$12,Paramètres!$A$1:$I$89,3,0)*0.475*44/12</f>
        <v>1.1805941918009478E-7</v>
      </c>
      <c r="CN85" s="22">
        <f t="shared" si="66"/>
        <v>4.2416928740743822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1.1368683772161603E-13</v>
      </c>
      <c r="CU85" s="17">
        <f>CT85*VLOOKUP('Données projet'!$B$13,Paramètres!$A$1:$I$89,3,0)*VLOOKUP('Données projet'!$B$13,Paramètres!$A$1:$I$89,5,0)</f>
        <v>6.7984728957526396E-14</v>
      </c>
      <c r="CV85" s="13">
        <f t="shared" si="95"/>
        <v>1.0682447123141398E-12</v>
      </c>
      <c r="CW85" s="20">
        <f t="shared" si="67"/>
        <v>1.978932943548152E-12</v>
      </c>
      <c r="CX85" s="59">
        <f t="shared" si="68"/>
        <v>280.01871589551411</v>
      </c>
      <c r="CY85" s="59">
        <f ca="1">AVERAGE(OFFSET($CX$3,0,0,'Données projet'!$E$13+1,1))-AVERAGE(OFFSET($H$3,0,0,'Données projet'!$E$13+1,1))</f>
        <v>317.12995176362455</v>
      </c>
      <c r="CZ85" s="59">
        <f t="shared" si="96"/>
        <v>328.11301015275262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6.4467429023576663</v>
      </c>
      <c r="DG85" s="21">
        <f>EXP(-LN(2)/25)*DG84+(1-EXP(-LN(2)/25))/(LN(2)/25)*Calculateur!DB85*Calculateur!DD85*VLOOKUP('Données projet'!$B$13,Paramètres!$A$1:$I$89,3,0)*0.475*44/12</f>
        <v>3.8140354565602386</v>
      </c>
      <c r="DH85" s="21">
        <f>EXP(-LN(2)/2)*DH84+(1-EXP(-LN(2)/2))/(LN(2)/2)*DB85*DE85*VLOOKUP('Données projet'!$B$13,Paramètres!$A$1:$I$89,3,0)*0.475*44/12</f>
        <v>8.5553283753067446E-8</v>
      </c>
      <c r="DI85" s="22">
        <f t="shared" si="69"/>
        <v>10.260778444471189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3</v>
      </c>
      <c r="DO85" s="12">
        <f>IF('Données projet'!$A$166&gt;35,DO84+DN85-DW84,IF(A85&lt;'Données projet'!$A$166,$DL$205^A85,IF(A85='Données projet'!$A$166,'Données projet'!$B$166,DO84+DN85-DW84)))</f>
        <v>224.99999999999997</v>
      </c>
      <c r="DP85" s="17">
        <f>DO85*VLOOKUP('Données projet'!$B$14,Paramètres!$A$1:$I$89,3,0)*VLOOKUP('Données projet'!$B$14,Paramètres!$A$1:$I$89,5,0)</f>
        <v>196.56</v>
      </c>
      <c r="DQ85" s="13">
        <f t="shared" si="97"/>
        <v>48.987398161128091</v>
      </c>
      <c r="DR85" s="20">
        <f t="shared" si="70"/>
        <v>427.66171846396475</v>
      </c>
      <c r="DS85" s="59">
        <f t="shared" si="71"/>
        <v>707.68043435947686</v>
      </c>
      <c r="DT85" s="59">
        <f ca="1">AVERAGE(OFFSET($DS$3,0,0,'Données projet'!$E$14+1,1))-AVERAGE(OFFSET($H$3,0,0,'Données projet'!$E$14+1,1))</f>
        <v>325.5873213944476</v>
      </c>
      <c r="DU85" s="59">
        <f t="shared" si="98"/>
        <v>347.9042278368363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1.0455511336681953</v>
      </c>
      <c r="EB85" s="21">
        <f>EXP(-LN(2)/25)*EB84+(1-EXP(-LN(2)/25))/(LN(2)/25)*Calculateur!DW85*Calculateur!DY85*VLOOKUP('Données projet'!$B$14,Paramètres!$A$1:$I$89,3,0)*0.475*44/12</f>
        <v>2.0868493628104678</v>
      </c>
      <c r="EC85" s="21">
        <f>EXP(-LN(2)/2)*EC84+(1-EXP(-LN(2)/2))/(LN(2)/2)*DW85*DZ85*VLOOKUP('Données projet'!$B$14,Paramètres!$A$1:$I$89,3,0)*0.475*44/12</f>
        <v>1.7806620353972111E-7</v>
      </c>
      <c r="ED85" s="22">
        <f t="shared" si="72"/>
        <v>3.1324006745448667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205.5480000480477</v>
      </c>
      <c r="EP85" s="59">
        <f t="shared" si="100"/>
        <v>229.86812144828366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2.6263807196899975</v>
      </c>
      <c r="EW85" s="21">
        <f>EXP(-LN(2)/25)*EW84+(1-EXP(-LN(2)/25))/(LN(2)/25)*Calculateur!ER85*Calculateur!ET85*VLOOKUP('Données projet'!$B$15,Paramètres!$A$1:$I$89,3,0)*0.475*44/12</f>
        <v>1.4244169682860177</v>
      </c>
      <c r="EX85" s="21">
        <f>EXP(-LN(2)/2)*EX84+(1-EXP(-LN(2)/2))/(LN(2)/2)*ER85*EU85*VLOOKUP('Données projet'!$B$15,Paramètres!$A$1:$I$89,3,0)*0.475*44/12</f>
        <v>4.4077203127616849E-8</v>
      </c>
      <c r="EY85" s="22">
        <f t="shared" si="75"/>
        <v>4.0507977320532182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3.05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14.501760000000017</v>
      </c>
      <c r="D86" s="11">
        <f t="shared" si="86"/>
        <v>4.8953461616793703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55.51892188709575</v>
      </c>
      <c r="H86" s="67">
        <f t="shared" si="56"/>
        <v>245.71662656492492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-3.4106051316484809E-13</v>
      </c>
      <c r="O86" s="13">
        <f>N86*VLOOKUP('Données projet'!$B$9,Paramètres!$A$1:$I$89,3,0)*VLOOKUP('Données projet'!$B$9,Paramètres!$A$1:$I$89,5,0)</f>
        <v>-1.9065282685915009E-13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542.23071537860039</v>
      </c>
      <c r="T86" s="59">
        <f t="shared" si="88"/>
        <v>667.26143680054633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2.5699811440015714</v>
      </c>
      <c r="AA86" s="21">
        <f>EXP(-LN(2)/25)*AA85+(1-EXP(-LN(2)/25))/(LN(2)/25)*Calculateur!V86*Calculateur!X86*VLOOKUP('Données projet'!$B$9,Paramètres!$A$1:$I$89,3,0)*0.475*44/12</f>
        <v>9.8028104770433373</v>
      </c>
      <c r="AB86" s="21">
        <f>EXP(-LN(2)/2)*AB85+(1-EXP(-LN(2)/2))/(LN(2)/2)*V86*Y86*VLOOKUP('Données projet'!$B$9,Paramètres!$A$1:$I$89,3,0)*0.475*44/12</f>
        <v>1.5191787043671643E-7</v>
      </c>
      <c r="AC86" s="22">
        <f t="shared" si="57"/>
        <v>12.372791772962779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-1.2710188457276673E-13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427.83834708696861</v>
      </c>
      <c r="AO86" s="59">
        <f t="shared" si="90"/>
        <v>545.63950537101903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1.541988686400944</v>
      </c>
      <c r="AV86" s="21">
        <f>EXP(-LN(2)/25)*AV85+(1-EXP(-LN(2)/25))/(LN(2)/25)*Calculateur!AQ86*Calculateur!AS86*VLOOKUP('Données projet'!$B$10,Paramètres!$A$1:$I$89,3,0)*0.475*44/12</f>
        <v>5.6639624735508045</v>
      </c>
      <c r="AW86" s="21">
        <f>EXP(-LN(2)/2)*AW85+(1-EXP(-LN(2)/2))/(LN(2)/2)*AQ86*AT86*VLOOKUP('Données projet'!$B$10,Paramètres!$A$1:$I$89,3,0)*0.475*44/12</f>
        <v>9.748810051757277E-8</v>
      </c>
      <c r="AX86" s="21">
        <f t="shared" si="60"/>
        <v>7.2059512574398488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8.3000000000000007</v>
      </c>
      <c r="BD86" s="12">
        <f>IF('Données projet'!$A$88&gt;35,BD85+BC86-BL85,IF(A86&lt;'Données projet'!$A$88,$BA$205^A86,IF(A86='Données projet'!$A$88,'Données projet'!$B$88,BD85+BC86-BL85)))</f>
        <v>234.89999999999986</v>
      </c>
      <c r="BE86" s="13">
        <f>BD86*VLOOKUP('Données projet'!$B$11,Paramètres!$A$1:$I$89,3,0)*VLOOKUP('Données projet'!$B$11,Paramètres!$A$1:$I$89,5,0)</f>
        <v>109.93319999999994</v>
      </c>
      <c r="BF86" s="13">
        <f t="shared" si="91"/>
        <v>29.315245415158849</v>
      </c>
      <c r="BG86" s="20">
        <f t="shared" si="61"/>
        <v>242.52437576473486</v>
      </c>
      <c r="BH86" s="59">
        <f t="shared" si="62"/>
        <v>522.77407050576801</v>
      </c>
      <c r="BI86" s="59">
        <f ca="1">AVERAGE(OFFSET($BH$3,0,0,'Données projet'!$E$11+1,1))-AVERAGE(OFFSET($H$3,0,0,'Données projet'!$E$11+1,1))</f>
        <v>210.62109466714364</v>
      </c>
      <c r="BJ86" s="59">
        <f t="shared" si="92"/>
        <v>193.35729443770401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2.2851230350992076</v>
      </c>
      <c r="BQ86" s="21">
        <f>EXP(-LN(2)/25)*BQ85+(1-EXP(-LN(2)/25))/(LN(2)/25)*Calculateur!BL86*Calculateur!BN86*VLOOKUP('Données projet'!$B$11,Paramètres!$A$1:$I$89,3,0)*0.475*44/12</f>
        <v>1.8432004287843715</v>
      </c>
      <c r="BR86" s="21">
        <f>EXP(-LN(2)/2)*BR85+(1-EXP(-LN(2)/2))/(LN(2)/2)*BL86*BO86*VLOOKUP('Données projet'!$B$11,Paramètres!$A$1:$I$89,3,0)*0.475*44/12</f>
        <v>8.3408411728487149E-8</v>
      </c>
      <c r="BS86" s="22">
        <f t="shared" si="63"/>
        <v>4.1283235472919904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368.16165268258442</v>
      </c>
      <c r="CE86" s="59">
        <f t="shared" si="94"/>
        <v>291.32219253157041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2.6181070793216614</v>
      </c>
      <c r="CL86" s="21">
        <f>EXP(-LN(2)/25)*CL85+(1-EXP(-LN(2)/25))/(LN(2)/25)*Calculateur!CG86*Calculateur!CI86*VLOOKUP('Données projet'!$B$12,Paramètres!$A$1:$I$89,3,0)*0.475*44/12</f>
        <v>1.5282542464974074</v>
      </c>
      <c r="CM86" s="21">
        <f>EXP(-LN(2)/2)*CM85+(1-EXP(-LN(2)/2))/(LN(2)/2)*CG86*CJ86*VLOOKUP('Données projet'!$B$12,Paramètres!$A$1:$I$89,3,0)*0.475*44/12</f>
        <v>8.3480615885190178E-8</v>
      </c>
      <c r="CN86" s="22">
        <f t="shared" si="66"/>
        <v>4.1463614092996846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1.1368683772161603E-13</v>
      </c>
      <c r="CU86" s="17">
        <f>CT86*VLOOKUP('Données projet'!$B$13,Paramètres!$A$1:$I$89,3,0)*VLOOKUP('Données projet'!$B$13,Paramètres!$A$1:$I$89,5,0)</f>
        <v>6.7984728957526396E-14</v>
      </c>
      <c r="CV86" s="13">
        <f t="shared" si="95"/>
        <v>1.0682447123141398E-12</v>
      </c>
      <c r="CW86" s="20">
        <f t="shared" si="67"/>
        <v>1.978932943548152E-12</v>
      </c>
      <c r="CX86" s="59">
        <f t="shared" si="68"/>
        <v>280.24969474103511</v>
      </c>
      <c r="CY86" s="59">
        <f ca="1">AVERAGE(OFFSET($CX$3,0,0,'Données projet'!$E$13+1,1))-AVERAGE(OFFSET($H$3,0,0,'Données projet'!$E$13+1,1))</f>
        <v>317.12995176362455</v>
      </c>
      <c r="CZ86" s="59">
        <f t="shared" si="96"/>
        <v>328.11301015275262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6.320326206167338</v>
      </c>
      <c r="DG86" s="21">
        <f>EXP(-LN(2)/25)*DG85+(1-EXP(-LN(2)/25))/(LN(2)/25)*Calculateur!DB86*Calculateur!DD86*VLOOKUP('Données projet'!$B$13,Paramètres!$A$1:$I$89,3,0)*0.475*44/12</f>
        <v>3.7097404564291914</v>
      </c>
      <c r="DH86" s="21">
        <f>EXP(-LN(2)/2)*DH85+(1-EXP(-LN(2)/2))/(LN(2)/2)*DB86*DE86*VLOOKUP('Données projet'!$B$13,Paramètres!$A$1:$I$89,3,0)*0.475*44/12</f>
        <v>6.0495307094570873E-8</v>
      </c>
      <c r="DI86" s="22">
        <f t="shared" si="69"/>
        <v>10.030066723091835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3</v>
      </c>
      <c r="DO86" s="12">
        <f>IF('Données projet'!$A$166&gt;35,DO85+DN86-DW85,IF(A86&lt;'Données projet'!$A$166,$DL$205^A86,IF(A86='Données projet'!$A$166,'Données projet'!$B$166,DO85+DN86-DW85)))</f>
        <v>227.99999999999997</v>
      </c>
      <c r="DP86" s="17">
        <f>DO86*VLOOKUP('Données projet'!$B$14,Paramètres!$A$1:$I$89,3,0)*VLOOKUP('Données projet'!$B$14,Paramètres!$A$1:$I$89,5,0)</f>
        <v>199.1808</v>
      </c>
      <c r="DQ86" s="13">
        <f t="shared" si="97"/>
        <v>49.564089376413683</v>
      </c>
      <c r="DR86" s="20">
        <f t="shared" si="70"/>
        <v>433.23068233058711</v>
      </c>
      <c r="DS86" s="59">
        <f t="shared" si="71"/>
        <v>713.4803770716203</v>
      </c>
      <c r="DT86" s="59">
        <f ca="1">AVERAGE(OFFSET($DS$3,0,0,'Données projet'!$E$14+1,1))-AVERAGE(OFFSET($H$3,0,0,'Données projet'!$E$14+1,1))</f>
        <v>325.5873213944476</v>
      </c>
      <c r="DU86" s="59">
        <f t="shared" si="98"/>
        <v>347.9042278368363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1.0250485136601837</v>
      </c>
      <c r="EB86" s="21">
        <f>EXP(-LN(2)/25)*EB85+(1-EXP(-LN(2)/25))/(LN(2)/25)*Calculateur!DW86*Calculateur!DY86*VLOOKUP('Données projet'!$B$14,Paramètres!$A$1:$I$89,3,0)*0.475*44/12</f>
        <v>2.0297843572417773</v>
      </c>
      <c r="EC86" s="21">
        <f>EXP(-LN(2)/2)*EC85+(1-EXP(-LN(2)/2))/(LN(2)/2)*DW86*DZ86*VLOOKUP('Données projet'!$B$14,Paramètres!$A$1:$I$89,3,0)*0.475*44/12</f>
        <v>1.2591182002308081E-7</v>
      </c>
      <c r="ED86" s="22">
        <f t="shared" si="72"/>
        <v>3.0548329968137811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205.5480000480477</v>
      </c>
      <c r="EP86" s="59">
        <f t="shared" si="100"/>
        <v>229.86812144828366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2.5748789957109377</v>
      </c>
      <c r="EW86" s="21">
        <f>EXP(-LN(2)/25)*EW85+(1-EXP(-LN(2)/25))/(LN(2)/25)*Calculateur!ER86*Calculateur!ET86*VLOOKUP('Données projet'!$B$15,Paramètres!$A$1:$I$89,3,0)*0.475*44/12</f>
        <v>1.3854662113814038</v>
      </c>
      <c r="EX86" s="21">
        <f>EXP(-LN(2)/2)*EX85+(1-EXP(-LN(2)/2))/(LN(2)/2)*ER86*EU86*VLOOKUP('Données projet'!$B$15,Paramètres!$A$1:$I$89,3,0)*0.475*44/12</f>
        <v>3.1167289227274775E-8</v>
      </c>
      <c r="EY86" s="22">
        <f t="shared" si="75"/>
        <v>3.9603452382596309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3.05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14.676480000000018</v>
      </c>
      <c r="D87" s="11">
        <f t="shared" si="86"/>
        <v>4.9474245749366172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56.079153757036458</v>
      </c>
      <c r="H87" s="67">
        <f t="shared" si="56"/>
        <v>246.11163380134795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-3.4106051316484809E-13</v>
      </c>
      <c r="O87" s="13">
        <f>N87*VLOOKUP('Données projet'!$B$9,Paramètres!$A$1:$I$89,3,0)*VLOOKUP('Données projet'!$B$9,Paramètres!$A$1:$I$89,5,0)</f>
        <v>-1.9065282685915009E-13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542.23071537860039</v>
      </c>
      <c r="T87" s="59">
        <f t="shared" si="88"/>
        <v>667.26143680054633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2.5195853813014173</v>
      </c>
      <c r="AA87" s="21">
        <f>EXP(-LN(2)/25)*AA86+(1-EXP(-LN(2)/25))/(LN(2)/25)*Calculateur!V87*Calculateur!X87*VLOOKUP('Données projet'!$B$9,Paramètres!$A$1:$I$89,3,0)*0.475*44/12</f>
        <v>9.5347521090411895</v>
      </c>
      <c r="AB87" s="21">
        <f>EXP(-LN(2)/2)*AB86+(1-EXP(-LN(2)/2))/(LN(2)/2)*V87*Y87*VLOOKUP('Données projet'!$B$9,Paramètres!$A$1:$I$89,3,0)*0.475*44/12</f>
        <v>1.0742215636922152E-7</v>
      </c>
      <c r="AC87" s="22">
        <f t="shared" si="57"/>
        <v>12.054337597764764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-1.2710188457276673E-13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427.83834708696861</v>
      </c>
      <c r="AO87" s="59">
        <f t="shared" si="90"/>
        <v>545.63950537101903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1.5117512287808514</v>
      </c>
      <c r="AV87" s="21">
        <f>EXP(-LN(2)/25)*AV86+(1-EXP(-LN(2)/25))/(LN(2)/25)*Calculateur!AQ87*Calculateur!AS87*VLOOKUP('Données projet'!$B$10,Paramètres!$A$1:$I$89,3,0)*0.475*44/12</f>
        <v>5.5090811218567168</v>
      </c>
      <c r="AW87" s="21">
        <f>EXP(-LN(2)/2)*AW86+(1-EXP(-LN(2)/2))/(LN(2)/2)*AQ87*AT87*VLOOKUP('Données projet'!$B$10,Paramètres!$A$1:$I$89,3,0)*0.475*44/12</f>
        <v>6.8934496960971478E-8</v>
      </c>
      <c r="AX87" s="21">
        <f t="shared" si="60"/>
        <v>7.0208324195720655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8.3000000000000007</v>
      </c>
      <c r="BD87" s="12">
        <f>IF('Données projet'!$A$88&gt;35,BD86+BC87-BL86,IF(A87&lt;'Données projet'!$A$88,$BA$205^A87,IF(A87='Données projet'!$A$88,'Données projet'!$B$88,BD86+BC87-BL86)))</f>
        <v>243.19999999999987</v>
      </c>
      <c r="BE87" s="13">
        <f>BD87*VLOOKUP('Données projet'!$B$11,Paramètres!$A$1:$I$89,3,0)*VLOOKUP('Données projet'!$B$11,Paramètres!$A$1:$I$89,5,0)</f>
        <v>113.81759999999994</v>
      </c>
      <c r="BF87" s="13">
        <f t="shared" si="91"/>
        <v>30.228647177134196</v>
      </c>
      <c r="BG87" s="20">
        <f t="shared" si="61"/>
        <v>250.88054716684198</v>
      </c>
      <c r="BH87" s="59">
        <f t="shared" si="62"/>
        <v>531.35721378681762</v>
      </c>
      <c r="BI87" s="59">
        <f ca="1">AVERAGE(OFFSET($BH$3,0,0,'Données projet'!$E$11+1,1))-AVERAGE(OFFSET($H$3,0,0,'Données projet'!$E$11+1,1))</f>
        <v>210.62109466714364</v>
      </c>
      <c r="BJ87" s="59">
        <f t="shared" si="92"/>
        <v>193.35729443770401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2.2403131661683386</v>
      </c>
      <c r="BQ87" s="21">
        <f>EXP(-LN(2)/25)*BQ86+(1-EXP(-LN(2)/25))/(LN(2)/25)*Calculateur!BL87*Calculateur!BN87*VLOOKUP('Données projet'!$B$11,Paramètres!$A$1:$I$89,3,0)*0.475*44/12</f>
        <v>1.7927980161295649</v>
      </c>
      <c r="BR87" s="21">
        <f>EXP(-LN(2)/2)*BR86+(1-EXP(-LN(2)/2))/(LN(2)/2)*BL87*BO87*VLOOKUP('Données projet'!$B$11,Paramètres!$A$1:$I$89,3,0)*0.475*44/12</f>
        <v>5.8978653541212833E-8</v>
      </c>
      <c r="BS87" s="22">
        <f t="shared" si="63"/>
        <v>4.0331112412765577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368.16165268258442</v>
      </c>
      <c r="CE87" s="59">
        <f t="shared" si="94"/>
        <v>291.32219253157041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2.5667675963838024</v>
      </c>
      <c r="CL87" s="21">
        <f>EXP(-LN(2)/25)*CL86+(1-EXP(-LN(2)/25))/(LN(2)/25)*Calculateur!CG87*Calculateur!CI87*VLOOKUP('Données projet'!$B$12,Paramètres!$A$1:$I$89,3,0)*0.475*44/12</f>
        <v>1.4864640537595377</v>
      </c>
      <c r="CM87" s="21">
        <f>EXP(-LN(2)/2)*CM86+(1-EXP(-LN(2)/2))/(LN(2)/2)*CG87*CJ87*VLOOKUP('Données projet'!$B$12,Paramètres!$A$1:$I$89,3,0)*0.475*44/12</f>
        <v>5.9029709590047396E-8</v>
      </c>
      <c r="CN87" s="22">
        <f t="shared" si="66"/>
        <v>4.0532317091730503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1.1368683772161603E-13</v>
      </c>
      <c r="CU87" s="17">
        <f>CT87*VLOOKUP('Données projet'!$B$13,Paramètres!$A$1:$I$89,3,0)*VLOOKUP('Données projet'!$B$13,Paramètres!$A$1:$I$89,5,0)</f>
        <v>6.7984728957526396E-14</v>
      </c>
      <c r="CV87" s="13">
        <f t="shared" si="95"/>
        <v>1.0682447123141398E-12</v>
      </c>
      <c r="CW87" s="20">
        <f t="shared" si="67"/>
        <v>1.978932943548152E-12</v>
      </c>
      <c r="CX87" s="59">
        <f t="shared" si="68"/>
        <v>280.47666661997766</v>
      </c>
      <c r="CY87" s="59">
        <f ca="1">AVERAGE(OFFSET($CX$3,0,0,'Données projet'!$E$13+1,1))-AVERAGE(OFFSET($H$3,0,0,'Données projet'!$E$13+1,1))</f>
        <v>317.12995176362455</v>
      </c>
      <c r="CZ87" s="59">
        <f t="shared" si="96"/>
        <v>328.11301015275262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6.1963884642827312</v>
      </c>
      <c r="DG87" s="21">
        <f>EXP(-LN(2)/25)*DG86+(1-EXP(-LN(2)/25))/(LN(2)/25)*Calculateur!DB87*Calculateur!DD87*VLOOKUP('Données projet'!$B$13,Paramètres!$A$1:$I$89,3,0)*0.475*44/12</f>
        <v>3.6082974085613633</v>
      </c>
      <c r="DH87" s="21">
        <f>EXP(-LN(2)/2)*DH86+(1-EXP(-LN(2)/2))/(LN(2)/2)*DB87*DE87*VLOOKUP('Données projet'!$B$13,Paramètres!$A$1:$I$89,3,0)*0.475*44/12</f>
        <v>4.2776641876533723E-8</v>
      </c>
      <c r="DI87" s="22">
        <f t="shared" si="69"/>
        <v>9.8046859156207375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3</v>
      </c>
      <c r="DO87" s="12">
        <f>IF('Données projet'!$A$166&gt;35,DO86+DN87-DW86,IF(A87&lt;'Données projet'!$A$166,$DL$205^A87,IF(A87='Données projet'!$A$166,'Données projet'!$B$166,DO86+DN87-DW86)))</f>
        <v>230.99999999999997</v>
      </c>
      <c r="DP87" s="17">
        <f>DO87*VLOOKUP('Données projet'!$B$14,Paramètres!$A$1:$I$89,3,0)*VLOOKUP('Données projet'!$B$14,Paramètres!$A$1:$I$89,5,0)</f>
        <v>201.80159999999998</v>
      </c>
      <c r="DQ87" s="13">
        <f t="shared" si="97"/>
        <v>50.139897992681668</v>
      </c>
      <c r="DR87" s="20">
        <f t="shared" si="70"/>
        <v>438.7981090039205</v>
      </c>
      <c r="DS87" s="59">
        <f t="shared" si="71"/>
        <v>719.27477562389618</v>
      </c>
      <c r="DT87" s="59">
        <f ca="1">AVERAGE(OFFSET($DS$3,0,0,'Données projet'!$E$14+1,1))-AVERAGE(OFFSET($H$3,0,0,'Données projet'!$E$14+1,1))</f>
        <v>325.5873213944476</v>
      </c>
      <c r="DU87" s="59">
        <f t="shared" si="98"/>
        <v>347.9042278368363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1.0049479375251658</v>
      </c>
      <c r="EB87" s="21">
        <f>EXP(-LN(2)/25)*EB86+(1-EXP(-LN(2)/25))/(LN(2)/25)*Calculateur!DW87*Calculateur!DY87*VLOOKUP('Données projet'!$B$14,Paramètres!$A$1:$I$89,3,0)*0.475*44/12</f>
        <v>1.9742797972512807</v>
      </c>
      <c r="EC87" s="21">
        <f>EXP(-LN(2)/2)*EC86+(1-EXP(-LN(2)/2))/(LN(2)/2)*DW87*DZ87*VLOOKUP('Données projet'!$B$14,Paramètres!$A$1:$I$89,3,0)*0.475*44/12</f>
        <v>8.9033101769860553E-8</v>
      </c>
      <c r="ED87" s="22">
        <f t="shared" si="72"/>
        <v>2.9792278238095484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205.5480000480477</v>
      </c>
      <c r="EP87" s="59">
        <f t="shared" si="100"/>
        <v>229.86812144828366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2.5243871891261573</v>
      </c>
      <c r="EW87" s="21">
        <f>EXP(-LN(2)/25)*EW86+(1-EXP(-LN(2)/25))/(LN(2)/25)*Calculateur!ER87*Calculateur!ET87*VLOOKUP('Données projet'!$B$15,Paramètres!$A$1:$I$89,3,0)*0.475*44/12</f>
        <v>1.3475805649726778</v>
      </c>
      <c r="EX87" s="21">
        <f>EXP(-LN(2)/2)*EX86+(1-EXP(-LN(2)/2))/(LN(2)/2)*ER87*EU87*VLOOKUP('Données projet'!$B$15,Paramètres!$A$1:$I$89,3,0)*0.475*44/12</f>
        <v>2.2038601563808425E-8</v>
      </c>
      <c r="EY87" s="22">
        <f t="shared" si="75"/>
        <v>3.8719677761374367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3.05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14.851200000000018</v>
      </c>
      <c r="D88" s="11">
        <f t="shared" si="86"/>
        <v>4.9994308705687249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56.639207483790869</v>
      </c>
      <c r="H88" s="67">
        <f t="shared" si="56"/>
        <v>246.50651543290721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-3.4106051316484809E-13</v>
      </c>
      <c r="O88" s="13">
        <f>N88*VLOOKUP('Données projet'!$B$9,Paramètres!$A$1:$I$89,3,0)*VLOOKUP('Données projet'!$B$9,Paramètres!$A$1:$I$89,5,0)</f>
        <v>-1.9065282685915009E-13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542.23071537860039</v>
      </c>
      <c r="T88" s="59">
        <f t="shared" si="88"/>
        <v>667.26143680054633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2.470177848769433</v>
      </c>
      <c r="AA88" s="21">
        <f>EXP(-LN(2)/25)*AA87+(1-EXP(-LN(2)/25))/(LN(2)/25)*Calculateur!V88*Calculateur!X88*VLOOKUP('Données projet'!$B$9,Paramètres!$A$1:$I$89,3,0)*0.475*44/12</f>
        <v>9.2740238112086359</v>
      </c>
      <c r="AB88" s="21">
        <f>EXP(-LN(2)/2)*AB87+(1-EXP(-LN(2)/2))/(LN(2)/2)*V88*Y88*VLOOKUP('Données projet'!$B$9,Paramètres!$A$1:$I$89,3,0)*0.475*44/12</f>
        <v>7.5958935218358213E-8</v>
      </c>
      <c r="AC88" s="22">
        <f t="shared" si="57"/>
        <v>11.744201735937004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-1.2710188457276673E-13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427.83834708696861</v>
      </c>
      <c r="AO88" s="59">
        <f t="shared" si="90"/>
        <v>545.63950537101903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1.4821067092616609</v>
      </c>
      <c r="AV88" s="21">
        <f>EXP(-LN(2)/25)*AV87+(1-EXP(-LN(2)/25))/(LN(2)/25)*Calculateur!AQ88*Calculateur!AS88*VLOOKUP('Données projet'!$B$10,Paramètres!$A$1:$I$89,3,0)*0.475*44/12</f>
        <v>5.3584350088695603</v>
      </c>
      <c r="AW88" s="21">
        <f>EXP(-LN(2)/2)*AW87+(1-EXP(-LN(2)/2))/(LN(2)/2)*AQ88*AT88*VLOOKUP('Données projet'!$B$10,Paramètres!$A$1:$I$89,3,0)*0.475*44/12</f>
        <v>4.8744050258786385E-8</v>
      </c>
      <c r="AX88" s="21">
        <f t="shared" si="60"/>
        <v>6.8405417668752717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8.3000000000000007</v>
      </c>
      <c r="BD88" s="12">
        <f>IF('Données projet'!$A$88&gt;35,BD87+BC88-BL87,IF(A88&lt;'Données projet'!$A$88,$BA$205^A88,IF(A88='Données projet'!$A$88,'Données projet'!$B$88,BD87+BC88-BL87)))</f>
        <v>251.49999999999989</v>
      </c>
      <c r="BE88" s="13">
        <f>BD88*VLOOKUP('Données projet'!$B$11,Paramètres!$A$1:$I$89,3,0)*VLOOKUP('Données projet'!$B$11,Paramètres!$A$1:$I$89,5,0)</f>
        <v>117.70199999999994</v>
      </c>
      <c r="BF88" s="13">
        <f t="shared" si="91"/>
        <v>31.138426875452435</v>
      </c>
      <c r="BG88" s="20">
        <f t="shared" si="61"/>
        <v>259.23041014141285</v>
      </c>
      <c r="BH88" s="59">
        <f t="shared" si="62"/>
        <v>539.9301111856646</v>
      </c>
      <c r="BI88" s="59">
        <f ca="1">AVERAGE(OFFSET($BH$3,0,0,'Données projet'!$E$11+1,1))-AVERAGE(OFFSET($H$3,0,0,'Données projet'!$E$11+1,1))</f>
        <v>210.62109466714364</v>
      </c>
      <c r="BJ88" s="59">
        <f t="shared" si="92"/>
        <v>193.35729443770401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2.1963819914358824</v>
      </c>
      <c r="BQ88" s="21">
        <f>EXP(-LN(2)/25)*BQ87+(1-EXP(-LN(2)/25))/(LN(2)/25)*Calculateur!BL88*Calculateur!BN88*VLOOKUP('Données projet'!$B$11,Paramètres!$A$1:$I$89,3,0)*0.475*44/12</f>
        <v>1.7437738600993518</v>
      </c>
      <c r="BR88" s="21">
        <f>EXP(-LN(2)/2)*BR87+(1-EXP(-LN(2)/2))/(LN(2)/2)*BL88*BO88*VLOOKUP('Données projet'!$B$11,Paramètres!$A$1:$I$89,3,0)*0.475*44/12</f>
        <v>4.1704205864243581E-8</v>
      </c>
      <c r="BS88" s="22">
        <f t="shared" si="63"/>
        <v>3.94015589323944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368.16165268258442</v>
      </c>
      <c r="CE88" s="59">
        <f t="shared" si="94"/>
        <v>291.32219253157041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2.5164348493923621</v>
      </c>
      <c r="CL88" s="21">
        <f>EXP(-LN(2)/25)*CL87+(1-EXP(-LN(2)/25))/(LN(2)/25)*Calculateur!CG88*Calculateur!CI88*VLOOKUP('Données projet'!$B$12,Paramètres!$A$1:$I$89,3,0)*0.475*44/12</f>
        <v>1.4458166160397359</v>
      </c>
      <c r="CM88" s="21">
        <f>EXP(-LN(2)/2)*CM87+(1-EXP(-LN(2)/2))/(LN(2)/2)*CG88*CJ88*VLOOKUP('Données projet'!$B$12,Paramètres!$A$1:$I$89,3,0)*0.475*44/12</f>
        <v>4.1740307942595096E-8</v>
      </c>
      <c r="CN88" s="22">
        <f t="shared" si="66"/>
        <v>3.962251507172406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1.1368683772161603E-13</v>
      </c>
      <c r="CU88" s="17">
        <f>CT88*VLOOKUP('Données projet'!$B$13,Paramètres!$A$1:$I$89,3,0)*VLOOKUP('Données projet'!$B$13,Paramètres!$A$1:$I$89,5,0)</f>
        <v>6.7984728957526396E-14</v>
      </c>
      <c r="CV88" s="13">
        <f t="shared" si="95"/>
        <v>1.0682447123141398E-12</v>
      </c>
      <c r="CW88" s="20">
        <f t="shared" si="67"/>
        <v>1.978932943548152E-12</v>
      </c>
      <c r="CX88" s="59">
        <f t="shared" si="68"/>
        <v>280.69970104425374</v>
      </c>
      <c r="CY88" s="59">
        <f ca="1">AVERAGE(OFFSET($CX$3,0,0,'Données projet'!$E$13+1,1))-AVERAGE(OFFSET($H$3,0,0,'Données projet'!$E$13+1,1))</f>
        <v>317.12995176362455</v>
      </c>
      <c r="CZ88" s="59">
        <f t="shared" si="96"/>
        <v>328.11301015275262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6.0748810659219226</v>
      </c>
      <c r="DG88" s="21">
        <f>EXP(-LN(2)/25)*DG87+(1-EXP(-LN(2)/25))/(LN(2)/25)*Calculateur!DB88*Calculateur!DD88*VLOOKUP('Données projet'!$B$13,Paramètres!$A$1:$I$89,3,0)*0.475*44/12</f>
        <v>3.5096283261721388</v>
      </c>
      <c r="DH88" s="21">
        <f>EXP(-LN(2)/2)*DH87+(1-EXP(-LN(2)/2))/(LN(2)/2)*DB88*DE88*VLOOKUP('Données projet'!$B$13,Paramètres!$A$1:$I$89,3,0)*0.475*44/12</f>
        <v>3.0247653547285437E-8</v>
      </c>
      <c r="DI88" s="22">
        <f t="shared" si="69"/>
        <v>9.5845094223417142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234</v>
      </c>
      <c r="DM88" s="12">
        <f>VLOOKUP(A88,'Données projet'!$A$165:$I$185,9,0)</f>
        <v>3</v>
      </c>
      <c r="DN88" s="12">
        <f t="array" ref="DN88">INDEX(DM:DM,MIN(IF(ISNUMBER(DM88:DM284),ROW(DM88:DM284),"")))</f>
        <v>3</v>
      </c>
      <c r="DO88" s="12">
        <f>IF('Données projet'!$A$166&gt;35,DO87+DN88-DW87,IF(A88&lt;'Données projet'!$A$166,$DL$205^A88,IF(A88='Données projet'!$A$166,'Données projet'!$B$166,DO87+DN88-DW87)))</f>
        <v>233.99999999999997</v>
      </c>
      <c r="DP88" s="17">
        <f>DO88*VLOOKUP('Données projet'!$B$14,Paramètres!$A$1:$I$89,3,0)*VLOOKUP('Données projet'!$B$14,Paramètres!$A$1:$I$89,5,0)</f>
        <v>204.42239999999998</v>
      </c>
      <c r="DQ88" s="13">
        <f t="shared" si="97"/>
        <v>50.714836797527262</v>
      </c>
      <c r="DR88" s="20">
        <f t="shared" si="70"/>
        <v>444.36402075569328</v>
      </c>
      <c r="DS88" s="59">
        <f t="shared" si="71"/>
        <v>725.06372179994503</v>
      </c>
      <c r="DT88" s="59">
        <f ca="1">AVERAGE(OFFSET($DS$3,0,0,'Données projet'!$E$14+1,1))-AVERAGE(OFFSET($H$3,0,0,'Données projet'!$E$14+1,1))</f>
        <v>325.5873213944476</v>
      </c>
      <c r="DU88" s="59">
        <f t="shared" si="98"/>
        <v>347.9042278368363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12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0.98524152142801458</v>
      </c>
      <c r="EB88" s="21">
        <f>EXP(-LN(2)/25)*EB87+(1-EXP(-LN(2)/25))/(LN(2)/25)*Calculateur!DW88*Calculateur!DY88*VLOOKUP('Données projet'!$B$14,Paramètres!$A$1:$I$89,3,0)*0.475*44/12</f>
        <v>1.9202930123725821</v>
      </c>
      <c r="EC88" s="21">
        <f>EXP(-LN(2)/2)*EC87+(1-EXP(-LN(2)/2))/(LN(2)/2)*DW88*DZ88*VLOOKUP('Données projet'!$B$14,Paramètres!$A$1:$I$89,3,0)*0.475*44/12</f>
        <v>6.2955910011540403E-8</v>
      </c>
      <c r="ED88" s="22">
        <f t="shared" si="72"/>
        <v>2.9055345967565067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205.5480000480477</v>
      </c>
      <c r="EP88" s="59">
        <f t="shared" si="100"/>
        <v>229.86812144828366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2.4748854960715438</v>
      </c>
      <c r="EW88" s="21">
        <f>EXP(-LN(2)/25)*EW87+(1-EXP(-LN(2)/25))/(LN(2)/25)*Calculateur!ER88*Calculateur!ET88*VLOOKUP('Données projet'!$B$15,Paramètres!$A$1:$I$89,3,0)*0.475*44/12</f>
        <v>1.3107309035573178</v>
      </c>
      <c r="EX88" s="21">
        <f>EXP(-LN(2)/2)*EX87+(1-EXP(-LN(2)/2))/(LN(2)/2)*ER88*EU88*VLOOKUP('Données projet'!$B$15,Paramètres!$A$1:$I$89,3,0)*0.475*44/12</f>
        <v>1.5583644613637388E-8</v>
      </c>
      <c r="EY88" s="22">
        <f t="shared" si="75"/>
        <v>3.7856164152125062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3.05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15.025920000000019</v>
      </c>
      <c r="D89" s="11">
        <f t="shared" si="86"/>
        <v>5.0513659951727128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57.199085405619655</v>
      </c>
      <c r="H89" s="67">
        <f t="shared" si="56"/>
        <v>246.90127310825915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-3.4106051316484809E-13</v>
      </c>
      <c r="O89" s="13">
        <f>N89*VLOOKUP('Données projet'!$B$9,Paramètres!$A$1:$I$89,3,0)*VLOOKUP('Données projet'!$B$9,Paramètres!$A$1:$I$89,5,0)</f>
        <v>-1.9065282685915009E-13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542.23071537860039</v>
      </c>
      <c r="T89" s="59">
        <f t="shared" si="88"/>
        <v>667.26143680054633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2.4217391678147817</v>
      </c>
      <c r="AA89" s="21">
        <f>EXP(-LN(2)/25)*AA88+(1-EXP(-LN(2)/25))/(LN(2)/25)*Calculateur!V89*Calculateur!X89*VLOOKUP('Données projet'!$B$9,Paramètres!$A$1:$I$89,3,0)*0.475*44/12</f>
        <v>9.020425142391419</v>
      </c>
      <c r="AB89" s="21">
        <f>EXP(-LN(2)/2)*AB88+(1-EXP(-LN(2)/2))/(LN(2)/2)*V89*Y89*VLOOKUP('Données projet'!$B$9,Paramètres!$A$1:$I$89,3,0)*0.475*44/12</f>
        <v>5.371107818461076E-8</v>
      </c>
      <c r="AC89" s="22">
        <f t="shared" si="57"/>
        <v>11.442164363917279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-1.2710188457276673E-13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427.83834708696861</v>
      </c>
      <c r="AO89" s="59">
        <f t="shared" si="90"/>
        <v>545.63950537101903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1.4530435006888702</v>
      </c>
      <c r="AV89" s="21">
        <f>EXP(-LN(2)/25)*AV88+(1-EXP(-LN(2)/25))/(LN(2)/25)*Calculateur!AQ89*Calculateur!AS89*VLOOKUP('Données projet'!$B$10,Paramètres!$A$1:$I$89,3,0)*0.475*44/12</f>
        <v>5.211908321764172</v>
      </c>
      <c r="AW89" s="21">
        <f>EXP(-LN(2)/2)*AW88+(1-EXP(-LN(2)/2))/(LN(2)/2)*AQ89*AT89*VLOOKUP('Données projet'!$B$10,Paramètres!$A$1:$I$89,3,0)*0.475*44/12</f>
        <v>3.4467248480485739E-8</v>
      </c>
      <c r="AX89" s="21">
        <f t="shared" si="60"/>
        <v>6.6649518569202906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8.3000000000000007</v>
      </c>
      <c r="BD89" s="12">
        <f>IF('Données projet'!$A$88&gt;35,BD88+BC89-BL88,IF(A89&lt;'Données projet'!$A$88,$BA$205^A89,IF(A89='Données projet'!$A$88,'Données projet'!$B$88,BD88+BC89-BL88)))</f>
        <v>259.7999999999999</v>
      </c>
      <c r="BE89" s="13">
        <f>BD89*VLOOKUP('Données projet'!$B$11,Paramètres!$A$1:$I$89,3,0)*VLOOKUP('Données projet'!$B$11,Paramètres!$A$1:$I$89,5,0)</f>
        <v>121.58639999999995</v>
      </c>
      <c r="BF89" s="13">
        <f t="shared" si="91"/>
        <v>32.044717752452698</v>
      </c>
      <c r="BG89" s="20">
        <f t="shared" si="61"/>
        <v>267.57419675218836</v>
      </c>
      <c r="BH89" s="59">
        <f t="shared" si="62"/>
        <v>548.49306307208519</v>
      </c>
      <c r="BI89" s="59">
        <f ca="1">AVERAGE(OFFSET($BH$3,0,0,'Données projet'!$E$11+1,1))-AVERAGE(OFFSET($H$3,0,0,'Données projet'!$E$11+1,1))</f>
        <v>210.62109466714364</v>
      </c>
      <c r="BJ89" s="59">
        <f t="shared" si="92"/>
        <v>193.35729443770401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2.1533122802445592</v>
      </c>
      <c r="BQ89" s="21">
        <f>EXP(-LN(2)/25)*BQ88+(1-EXP(-LN(2)/25))/(LN(2)/25)*Calculateur!BL89*Calculateur!BN89*VLOOKUP('Données projet'!$B$11,Paramètres!$A$1:$I$89,3,0)*0.475*44/12</f>
        <v>1.6960902721938531</v>
      </c>
      <c r="BR89" s="21">
        <f>EXP(-LN(2)/2)*BR88+(1-EXP(-LN(2)/2))/(LN(2)/2)*BL89*BO89*VLOOKUP('Données projet'!$B$11,Paramètres!$A$1:$I$89,3,0)*0.475*44/12</f>
        <v>2.948932677060642E-8</v>
      </c>
      <c r="BS89" s="22">
        <f t="shared" si="63"/>
        <v>3.8494025819277393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368.16165268258442</v>
      </c>
      <c r="CE89" s="59">
        <f t="shared" si="94"/>
        <v>291.32219253157041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2.4670890968694796</v>
      </c>
      <c r="CL89" s="21">
        <f>EXP(-LN(2)/25)*CL88+(1-EXP(-LN(2)/25))/(LN(2)/25)*Calculateur!CG89*Calculateur!CI89*VLOOKUP('Données projet'!$B$12,Paramètres!$A$1:$I$89,3,0)*0.475*44/12</f>
        <v>1.406280684641938</v>
      </c>
      <c r="CM89" s="21">
        <f>EXP(-LN(2)/2)*CM88+(1-EXP(-LN(2)/2))/(LN(2)/2)*CG89*CJ89*VLOOKUP('Données projet'!$B$12,Paramètres!$A$1:$I$89,3,0)*0.475*44/12</f>
        <v>2.9514854795023705E-8</v>
      </c>
      <c r="CN89" s="22">
        <f t="shared" si="66"/>
        <v>3.8733698110262726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1.1368683772161603E-13</v>
      </c>
      <c r="CU89" s="17">
        <f>CT89*VLOOKUP('Données projet'!$B$13,Paramètres!$A$1:$I$89,3,0)*VLOOKUP('Données projet'!$B$13,Paramètres!$A$1:$I$89,5,0)</f>
        <v>6.7984728957526396E-14</v>
      </c>
      <c r="CV89" s="13">
        <f t="shared" si="95"/>
        <v>1.0682447123141398E-12</v>
      </c>
      <c r="CW89" s="20">
        <f t="shared" si="67"/>
        <v>1.978932943548152E-12</v>
      </c>
      <c r="CX89" s="59">
        <f t="shared" si="68"/>
        <v>280.91886631989883</v>
      </c>
      <c r="CY89" s="59">
        <f ca="1">AVERAGE(OFFSET($CX$3,0,0,'Données projet'!$E$13+1,1))-AVERAGE(OFFSET($H$3,0,0,'Données projet'!$E$13+1,1))</f>
        <v>317.12995176362455</v>
      </c>
      <c r="CZ89" s="59">
        <f t="shared" si="96"/>
        <v>328.11301015275262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5.9557563535307745</v>
      </c>
      <c r="DG89" s="21">
        <f>EXP(-LN(2)/25)*DG88+(1-EXP(-LN(2)/25))/(LN(2)/25)*Calculateur!DB89*Calculateur!DD89*VLOOKUP('Données projet'!$B$13,Paramètres!$A$1:$I$89,3,0)*0.475*44/12</f>
        <v>3.4136573550296294</v>
      </c>
      <c r="DH89" s="21">
        <f>EXP(-LN(2)/2)*DH88+(1-EXP(-LN(2)/2))/(LN(2)/2)*DB89*DE89*VLOOKUP('Données projet'!$B$13,Paramètres!$A$1:$I$89,3,0)*0.475*44/12</f>
        <v>2.1388320938266861E-8</v>
      </c>
      <c r="DI89" s="22">
        <f t="shared" si="69"/>
        <v>9.3694137299487252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2.8</v>
      </c>
      <c r="DO89" s="12">
        <f>IF('Données projet'!$A$166&gt;35,DO88+DN89-DW88,IF(A89&lt;'Données projet'!$A$166,$DL$205^A89,IF(A89='Données projet'!$A$166,'Données projet'!$B$166,DO88+DN89-DW88)))</f>
        <v>224.79999999999998</v>
      </c>
      <c r="DP89" s="17">
        <f>DO89*VLOOKUP('Données projet'!$B$14,Paramètres!$A$1:$I$89,3,0)*VLOOKUP('Données projet'!$B$14,Paramètres!$A$1:$I$89,5,0)</f>
        <v>196.38528000000002</v>
      </c>
      <c r="DQ89" s="13">
        <f t="shared" si="97"/>
        <v>48.948920378863868</v>
      </c>
      <c r="DR89" s="20">
        <f t="shared" si="70"/>
        <v>427.29039899318792</v>
      </c>
      <c r="DS89" s="59">
        <f t="shared" si="71"/>
        <v>708.20926531308476</v>
      </c>
      <c r="DT89" s="59">
        <f ca="1">AVERAGE(OFFSET($DS$3,0,0,'Données projet'!$E$14+1,1))-AVERAGE(OFFSET($H$3,0,0,'Données projet'!$E$14+1,1))</f>
        <v>325.5873213944476</v>
      </c>
      <c r="DU89" s="59">
        <f t="shared" si="98"/>
        <v>347.9042278368363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0.96592153613080156</v>
      </c>
      <c r="EB89" s="21">
        <f>EXP(-LN(2)/25)*EB88+(1-EXP(-LN(2)/25))/(LN(2)/25)*Calculateur!DW89*Calculateur!DY89*VLOOKUP('Données projet'!$B$14,Paramètres!$A$1:$I$89,3,0)*0.475*44/12</f>
        <v>1.8677824989654332</v>
      </c>
      <c r="EC89" s="21">
        <f>EXP(-LN(2)/2)*EC88+(1-EXP(-LN(2)/2))/(LN(2)/2)*DW89*DZ89*VLOOKUP('Données projet'!$B$14,Paramètres!$A$1:$I$89,3,0)*0.475*44/12</f>
        <v>4.4516550884930276E-8</v>
      </c>
      <c r="ED89" s="22">
        <f t="shared" si="72"/>
        <v>2.8337040796127857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205.5480000480477</v>
      </c>
      <c r="EP89" s="59">
        <f t="shared" si="100"/>
        <v>229.86812144828366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2.4263545010246799</v>
      </c>
      <c r="EW89" s="21">
        <f>EXP(-LN(2)/25)*EW88+(1-EXP(-LN(2)/25))/(LN(2)/25)*Calculateur!ER89*Calculateur!ET89*VLOOKUP('Données projet'!$B$15,Paramètres!$A$1:$I$89,3,0)*0.475*44/12</f>
        <v>1.2748888980712005</v>
      </c>
      <c r="EX89" s="21">
        <f>EXP(-LN(2)/2)*EX88+(1-EXP(-LN(2)/2))/(LN(2)/2)*ER89*EU89*VLOOKUP('Données projet'!$B$15,Paramètres!$A$1:$I$89,3,0)*0.475*44/12</f>
        <v>1.1019300781904212E-8</v>
      </c>
      <c r="EY89" s="22">
        <f t="shared" si="75"/>
        <v>3.7012434101151812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3.05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15.200640000000019</v>
      </c>
      <c r="D90" s="11">
        <f t="shared" si="86"/>
        <v>5.1032308720647039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57.758789803275668</v>
      </c>
      <c r="H90" s="67">
        <f t="shared" si="56"/>
        <v>247.2959084355127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-3.4106051316484809E-13</v>
      </c>
      <c r="O90" s="13">
        <f>N90*VLOOKUP('Données projet'!$B$9,Paramètres!$A$1:$I$89,3,0)*VLOOKUP('Données projet'!$B$9,Paramètres!$A$1:$I$89,5,0)</f>
        <v>-1.9065282685915009E-13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542.23071537860039</v>
      </c>
      <c r="T90" s="59">
        <f t="shared" si="88"/>
        <v>667.26143680054633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2.3742503398489734</v>
      </c>
      <c r="AA90" s="21">
        <f>EXP(-LN(2)/25)*AA89+(1-EXP(-LN(2)/25))/(LN(2)/25)*Calculateur!V90*Calculateur!X90*VLOOKUP('Données projet'!$B$9,Paramètres!$A$1:$I$89,3,0)*0.475*44/12</f>
        <v>8.7737611425091835</v>
      </c>
      <c r="AB90" s="21">
        <f>EXP(-LN(2)/2)*AB89+(1-EXP(-LN(2)/2))/(LN(2)/2)*V90*Y90*VLOOKUP('Données projet'!$B$9,Paramètres!$A$1:$I$89,3,0)*0.475*44/12</f>
        <v>3.7979467609179106E-8</v>
      </c>
      <c r="AC90" s="22">
        <f t="shared" si="57"/>
        <v>11.148011520337626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-1.2710188457276673E-13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427.83834708696861</v>
      </c>
      <c r="AO90" s="59">
        <f t="shared" si="90"/>
        <v>545.63950537101903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1.4245502039093851</v>
      </c>
      <c r="AV90" s="21">
        <f>EXP(-LN(2)/25)*AV89+(1-EXP(-LN(2)/25))/(LN(2)/25)*Calculateur!AQ90*Calculateur!AS90*VLOOKUP('Données projet'!$B$10,Paramètres!$A$1:$I$89,3,0)*0.475*44/12</f>
        <v>5.0693884146231838</v>
      </c>
      <c r="AW90" s="21">
        <f>EXP(-LN(2)/2)*AW89+(1-EXP(-LN(2)/2))/(LN(2)/2)*AQ90*AT90*VLOOKUP('Données projet'!$B$10,Paramètres!$A$1:$I$89,3,0)*0.475*44/12</f>
        <v>2.4372025129393193E-8</v>
      </c>
      <c r="AX90" s="21">
        <f t="shared" si="60"/>
        <v>6.4939386429045944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8.3000000000000007</v>
      </c>
      <c r="BD90" s="12">
        <f>IF('Données projet'!$A$88&gt;35,BD89+BC90-BL89,IF(A90&lt;'Données projet'!$A$88,$BA$205^A90,IF(A90='Données projet'!$A$88,'Données projet'!$B$88,BD89+BC90-BL89)))</f>
        <v>268.09999999999991</v>
      </c>
      <c r="BE90" s="13">
        <f>BD90*VLOOKUP('Données projet'!$B$11,Paramètres!$A$1:$I$89,3,0)*VLOOKUP('Données projet'!$B$11,Paramètres!$A$1:$I$89,5,0)</f>
        <v>125.47079999999995</v>
      </c>
      <c r="BF90" s="13">
        <f t="shared" si="91"/>
        <v>32.947644053508292</v>
      </c>
      <c r="BG90" s="20">
        <f t="shared" si="61"/>
        <v>275.9121233931935</v>
      </c>
      <c r="BH90" s="59">
        <f t="shared" si="62"/>
        <v>557.04635296118317</v>
      </c>
      <c r="BI90" s="59">
        <f ca="1">AVERAGE(OFFSET($BH$3,0,0,'Données projet'!$E$11+1,1))-AVERAGE(OFFSET($H$3,0,0,'Données projet'!$E$11+1,1))</f>
        <v>210.62109466714364</v>
      </c>
      <c r="BJ90" s="59">
        <f t="shared" si="92"/>
        <v>193.35729443770401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2.1110871398197677</v>
      </c>
      <c r="BQ90" s="21">
        <f>EXP(-LN(2)/25)*BQ89+(1-EXP(-LN(2)/25))/(LN(2)/25)*Calculateur!BL90*Calculateur!BN90*VLOOKUP('Données projet'!$B$11,Paramètres!$A$1:$I$89,3,0)*0.475*44/12</f>
        <v>1.6497105945072013</v>
      </c>
      <c r="BR90" s="21">
        <f>EXP(-LN(2)/2)*BR89+(1-EXP(-LN(2)/2))/(LN(2)/2)*BL90*BO90*VLOOKUP('Données projet'!$B$11,Paramètres!$A$1:$I$89,3,0)*0.475*44/12</f>
        <v>2.0852102932121794E-8</v>
      </c>
      <c r="BS90" s="22">
        <f t="shared" si="63"/>
        <v>3.7607977551790719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368.16165268258442</v>
      </c>
      <c r="CE90" s="59">
        <f t="shared" si="94"/>
        <v>291.32219253157041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2.4187109844556338</v>
      </c>
      <c r="CL90" s="21">
        <f>EXP(-LN(2)/25)*CL89+(1-EXP(-LN(2)/25))/(LN(2)/25)*Calculateur!CG90*Calculateur!CI90*VLOOKUP('Données projet'!$B$12,Paramètres!$A$1:$I$89,3,0)*0.475*44/12</f>
        <v>1.3678258653673172</v>
      </c>
      <c r="CM90" s="21">
        <f>EXP(-LN(2)/2)*CM89+(1-EXP(-LN(2)/2))/(LN(2)/2)*CG90*CJ90*VLOOKUP('Données projet'!$B$12,Paramètres!$A$1:$I$89,3,0)*0.475*44/12</f>
        <v>2.0870153971297551E-8</v>
      </c>
      <c r="CN90" s="22">
        <f t="shared" si="66"/>
        <v>3.7865368706931051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1.1368683772161603E-13</v>
      </c>
      <c r="CU90" s="17">
        <f>CT90*VLOOKUP('Données projet'!$B$13,Paramètres!$A$1:$I$89,3,0)*VLOOKUP('Données projet'!$B$13,Paramètres!$A$1:$I$89,5,0)</f>
        <v>6.7984728957526396E-14</v>
      </c>
      <c r="CV90" s="13">
        <f t="shared" si="95"/>
        <v>1.0682447123141398E-12</v>
      </c>
      <c r="CW90" s="20">
        <f t="shared" si="67"/>
        <v>1.978932943548152E-12</v>
      </c>
      <c r="CX90" s="59">
        <f t="shared" si="68"/>
        <v>281.13422956799161</v>
      </c>
      <c r="CY90" s="59">
        <f ca="1">AVERAGE(OFFSET($CX$3,0,0,'Données projet'!$E$13+1,1))-AVERAGE(OFFSET($H$3,0,0,'Données projet'!$E$13+1,1))</f>
        <v>317.12995176362455</v>
      </c>
      <c r="CZ90" s="59">
        <f t="shared" si="96"/>
        <v>328.11301015275262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5.8389676040907172</v>
      </c>
      <c r="DG90" s="21">
        <f>EXP(-LN(2)/25)*DG89+(1-EXP(-LN(2)/25))/(LN(2)/25)*Calculateur!DB90*Calculateur!DD90*VLOOKUP('Données projet'!$B$13,Paramètres!$A$1:$I$89,3,0)*0.475*44/12</f>
        <v>3.3203107151399061</v>
      </c>
      <c r="DH90" s="21">
        <f>EXP(-LN(2)/2)*DH89+(1-EXP(-LN(2)/2))/(LN(2)/2)*DB90*DE90*VLOOKUP('Données projet'!$B$13,Paramètres!$A$1:$I$89,3,0)*0.475*44/12</f>
        <v>1.5123826773642718E-8</v>
      </c>
      <c r="DI90" s="22">
        <f t="shared" si="69"/>
        <v>9.1592783343544504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2.8</v>
      </c>
      <c r="DO90" s="12">
        <f>IF('Données projet'!$A$166&gt;35,DO89+DN90-DW89,IF(A90&lt;'Données projet'!$A$166,$DL$205^A90,IF(A90='Données projet'!$A$166,'Données projet'!$B$166,DO89+DN90-DW89)))</f>
        <v>227.6</v>
      </c>
      <c r="DP90" s="17">
        <f>DO90*VLOOKUP('Données projet'!$B$14,Paramètres!$A$1:$I$89,3,0)*VLOOKUP('Données projet'!$B$14,Paramètres!$A$1:$I$89,5,0)</f>
        <v>198.83136000000002</v>
      </c>
      <c r="DQ90" s="13">
        <f t="shared" si="97"/>
        <v>49.48724849224233</v>
      </c>
      <c r="DR90" s="20">
        <f t="shared" si="70"/>
        <v>432.4882431239887</v>
      </c>
      <c r="DS90" s="59">
        <f t="shared" si="71"/>
        <v>713.62247269197837</v>
      </c>
      <c r="DT90" s="59">
        <f ca="1">AVERAGE(OFFSET($DS$3,0,0,'Données projet'!$E$14+1,1))-AVERAGE(OFFSET($H$3,0,0,'Données projet'!$E$14+1,1))</f>
        <v>325.5873213944476</v>
      </c>
      <c r="DU90" s="59">
        <f t="shared" si="98"/>
        <v>347.9042278368363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0.9469804039612395</v>
      </c>
      <c r="EB90" s="21">
        <f>EXP(-LN(2)/25)*EB89+(1-EXP(-LN(2)/25))/(LN(2)/25)*Calculateur!DW90*Calculateur!DY90*VLOOKUP('Données projet'!$B$14,Paramètres!$A$1:$I$89,3,0)*0.475*44/12</f>
        <v>1.8167078883088108</v>
      </c>
      <c r="EC90" s="21">
        <f>EXP(-LN(2)/2)*EC89+(1-EXP(-LN(2)/2))/(LN(2)/2)*DW90*DZ90*VLOOKUP('Données projet'!$B$14,Paramètres!$A$1:$I$89,3,0)*0.475*44/12</f>
        <v>3.1477955005770201E-8</v>
      </c>
      <c r="ED90" s="22">
        <f t="shared" si="72"/>
        <v>2.763688323748005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205.5480000480477</v>
      </c>
      <c r="EP90" s="59">
        <f t="shared" si="100"/>
        <v>229.86812144828366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2.3787751691897006</v>
      </c>
      <c r="EW90" s="21">
        <f>EXP(-LN(2)/25)*EW89+(1-EXP(-LN(2)/25))/(LN(2)/25)*Calculateur!ER90*Calculateur!ET90*VLOOKUP('Données projet'!$B$15,Paramètres!$A$1:$I$89,3,0)*0.475*44/12</f>
        <v>1.2400269941099502</v>
      </c>
      <c r="EX90" s="21">
        <f>EXP(-LN(2)/2)*EX89+(1-EXP(-LN(2)/2))/(LN(2)/2)*ER90*EU90*VLOOKUP('Données projet'!$B$15,Paramètres!$A$1:$I$89,3,0)*0.475*44/12</f>
        <v>7.7918223068186938E-9</v>
      </c>
      <c r="EY90" s="22">
        <f t="shared" si="75"/>
        <v>3.6188021710914731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3.05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15.37536000000002</v>
      </c>
      <c r="D91" s="11">
        <f t="shared" si="86"/>
        <v>5.1550264021133776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58.318322902062576</v>
      </c>
      <c r="H91" s="67">
        <f t="shared" si="56"/>
        <v>247.6904229836808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-3.4106051316484809E-13</v>
      </c>
      <c r="O91" s="13">
        <f>N91*VLOOKUP('Données projet'!$B$9,Paramètres!$A$1:$I$89,3,0)*VLOOKUP('Données projet'!$B$9,Paramètres!$A$1:$I$89,5,0)</f>
        <v>-1.9065282685915009E-13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542.23071537860039</v>
      </c>
      <c r="T91" s="59">
        <f t="shared" si="88"/>
        <v>667.26143680054633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2.3276927388342492</v>
      </c>
      <c r="AA91" s="21">
        <f>EXP(-LN(2)/25)*AA90+(1-EXP(-LN(2)/25))/(LN(2)/25)*Calculateur!V91*Calculateur!X91*VLOOKUP('Données projet'!$B$9,Paramètres!$A$1:$I$89,3,0)*0.475*44/12</f>
        <v>8.5338421826752242</v>
      </c>
      <c r="AB91" s="21">
        <f>EXP(-LN(2)/2)*AB90+(1-EXP(-LN(2)/2))/(LN(2)/2)*V91*Y91*VLOOKUP('Données projet'!$B$9,Paramètres!$A$1:$I$89,3,0)*0.475*44/12</f>
        <v>2.685553909230538E-8</v>
      </c>
      <c r="AC91" s="22">
        <f t="shared" si="57"/>
        <v>10.861534948365012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-1.2710188457276673E-13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427.83834708696861</v>
      </c>
      <c r="AO91" s="59">
        <f t="shared" si="90"/>
        <v>545.63950537101903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1.3966156433005508</v>
      </c>
      <c r="AV91" s="21">
        <f>EXP(-LN(2)/25)*AV90+(1-EXP(-LN(2)/25))/(LN(2)/25)*Calculateur!AQ91*Calculateur!AS91*VLOOKUP('Données projet'!$B$10,Paramètres!$A$1:$I$89,3,0)*0.475*44/12</f>
        <v>4.9307657218377621</v>
      </c>
      <c r="AW91" s="21">
        <f>EXP(-LN(2)/2)*AW90+(1-EXP(-LN(2)/2))/(LN(2)/2)*AQ91*AT91*VLOOKUP('Données projet'!$B$10,Paramètres!$A$1:$I$89,3,0)*0.475*44/12</f>
        <v>1.7233624240242869E-8</v>
      </c>
      <c r="AX91" s="21">
        <f t="shared" si="60"/>
        <v>6.3273813823719376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8.3000000000000007</v>
      </c>
      <c r="BD91" s="12">
        <f>IF('Données projet'!$A$88&gt;35,BD90+BC91-BL90,IF(A91&lt;'Données projet'!$A$88,$BA$205^A91,IF(A91='Données projet'!$A$88,'Données projet'!$B$88,BD90+BC91-BL90)))</f>
        <v>276.39999999999992</v>
      </c>
      <c r="BE91" s="13">
        <f>BD91*VLOOKUP('Données projet'!$B$11,Paramètres!$A$1:$I$89,3,0)*VLOOKUP('Données projet'!$B$11,Paramètres!$A$1:$I$89,5,0)</f>
        <v>129.35519999999997</v>
      </c>
      <c r="BF91" s="13">
        <f t="shared" si="91"/>
        <v>33.847321894050239</v>
      </c>
      <c r="BG91" s="20">
        <f t="shared" si="61"/>
        <v>284.24439229880414</v>
      </c>
      <c r="BH91" s="59">
        <f t="shared" si="62"/>
        <v>565.59024904401235</v>
      </c>
      <c r="BI91" s="59">
        <f ca="1">AVERAGE(OFFSET($BH$3,0,0,'Données projet'!$E$11+1,1))-AVERAGE(OFFSET($H$3,0,0,'Données projet'!$E$11+1,1))</f>
        <v>210.62109466714364</v>
      </c>
      <c r="BJ91" s="59">
        <f t="shared" si="92"/>
        <v>193.35729443770401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2.0696900086439141</v>
      </c>
      <c r="BQ91" s="21">
        <f>EXP(-LN(2)/25)*BQ90+(1-EXP(-LN(2)/25))/(LN(2)/25)*Calculateur!BL91*Calculateur!BN91*VLOOKUP('Données projet'!$B$11,Paramètres!$A$1:$I$89,3,0)*0.475*44/12</f>
        <v>1.604599171545892</v>
      </c>
      <c r="BR91" s="21">
        <f>EXP(-LN(2)/2)*BR90+(1-EXP(-LN(2)/2))/(LN(2)/2)*BL91*BO91*VLOOKUP('Données projet'!$B$11,Paramètres!$A$1:$I$89,3,0)*0.475*44/12</f>
        <v>1.4744663385303212E-8</v>
      </c>
      <c r="BS91" s="22">
        <f t="shared" si="63"/>
        <v>3.6742891949344694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368.16165268258442</v>
      </c>
      <c r="CE91" s="59">
        <f t="shared" si="94"/>
        <v>291.32219253157041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2.3712815373184886</v>
      </c>
      <c r="CL91" s="21">
        <f>EXP(-LN(2)/25)*CL90+(1-EXP(-LN(2)/25))/(LN(2)/25)*Calculateur!CG91*Calculateur!CI91*VLOOKUP('Données projet'!$B$12,Paramètres!$A$1:$I$89,3,0)*0.475*44/12</f>
        <v>1.3304225951480118</v>
      </c>
      <c r="CM91" s="21">
        <f>EXP(-LN(2)/2)*CM90+(1-EXP(-LN(2)/2))/(LN(2)/2)*CG91*CJ91*VLOOKUP('Données projet'!$B$12,Paramètres!$A$1:$I$89,3,0)*0.475*44/12</f>
        <v>1.4757427397511854E-8</v>
      </c>
      <c r="CN91" s="22">
        <f t="shared" si="66"/>
        <v>3.7017041472239276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1.1368683772161603E-13</v>
      </c>
      <c r="CU91" s="17">
        <f>CT91*VLOOKUP('Données projet'!$B$13,Paramètres!$A$1:$I$89,3,0)*VLOOKUP('Données projet'!$B$13,Paramètres!$A$1:$I$89,5,0)</f>
        <v>6.7984728957526396E-14</v>
      </c>
      <c r="CV91" s="13">
        <f t="shared" si="95"/>
        <v>1.0682447123141398E-12</v>
      </c>
      <c r="CW91" s="20">
        <f t="shared" si="67"/>
        <v>1.978932943548152E-12</v>
      </c>
      <c r="CX91" s="59">
        <f t="shared" si="68"/>
        <v>281.34585674521014</v>
      </c>
      <c r="CY91" s="59">
        <f ca="1">AVERAGE(OFFSET($CX$3,0,0,'Données projet'!$E$13+1,1))-AVERAGE(OFFSET($H$3,0,0,'Données projet'!$E$13+1,1))</f>
        <v>317.12995176362455</v>
      </c>
      <c r="CZ91" s="59">
        <f t="shared" si="96"/>
        <v>328.11301015275262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5.7244690107930758</v>
      </c>
      <c r="DG91" s="21">
        <f>EXP(-LN(2)/25)*DG90+(1-EXP(-LN(2)/25))/(LN(2)/25)*Calculateur!DB91*Calculateur!DD91*VLOOKUP('Données projet'!$B$13,Paramètres!$A$1:$I$89,3,0)*0.475*44/12</f>
        <v>3.2295166440268535</v>
      </c>
      <c r="DH91" s="21">
        <f>EXP(-LN(2)/2)*DH90+(1-EXP(-LN(2)/2))/(LN(2)/2)*DB91*DE91*VLOOKUP('Données projet'!$B$13,Paramètres!$A$1:$I$89,3,0)*0.475*44/12</f>
        <v>1.0694160469133431E-8</v>
      </c>
      <c r="DI91" s="22">
        <f t="shared" si="69"/>
        <v>8.9539856655140895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2.8</v>
      </c>
      <c r="DO91" s="12">
        <f>IF('Données projet'!$A$166&gt;35,DO90+DN91-DW90,IF(A91&lt;'Données projet'!$A$166,$DL$205^A91,IF(A91='Données projet'!$A$166,'Données projet'!$B$166,DO90+DN91-DW90)))</f>
        <v>230.4</v>
      </c>
      <c r="DP91" s="17">
        <f>DO91*VLOOKUP('Données projet'!$B$14,Paramètres!$A$1:$I$89,3,0)*VLOOKUP('Données projet'!$B$14,Paramètres!$A$1:$I$89,5,0)</f>
        <v>201.27744000000004</v>
      </c>
      <c r="DQ91" s="13">
        <f t="shared" si="97"/>
        <v>50.024806258462775</v>
      </c>
      <c r="DR91" s="20">
        <f t="shared" si="70"/>
        <v>437.68474556682276</v>
      </c>
      <c r="DS91" s="59">
        <f t="shared" si="71"/>
        <v>719.03060231203085</v>
      </c>
      <c r="DT91" s="59">
        <f ca="1">AVERAGE(OFFSET($DS$3,0,0,'Données projet'!$E$14+1,1))-AVERAGE(OFFSET($H$3,0,0,'Données projet'!$E$14+1,1))</f>
        <v>325.5873213944476</v>
      </c>
      <c r="DU91" s="59">
        <f t="shared" si="98"/>
        <v>347.9042278368363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0.92841069584057268</v>
      </c>
      <c r="EB91" s="21">
        <f>EXP(-LN(2)/25)*EB90+(1-EXP(-LN(2)/25))/(LN(2)/25)*Calculateur!DW91*Calculateur!DY91*VLOOKUP('Données projet'!$B$14,Paramètres!$A$1:$I$89,3,0)*0.475*44/12</f>
        <v>1.7670299155664906</v>
      </c>
      <c r="EC91" s="21">
        <f>EXP(-LN(2)/2)*EC90+(1-EXP(-LN(2)/2))/(LN(2)/2)*DW91*DZ91*VLOOKUP('Données projet'!$B$14,Paramètres!$A$1:$I$89,3,0)*0.475*44/12</f>
        <v>2.2258275442465138E-8</v>
      </c>
      <c r="ED91" s="22">
        <f t="shared" si="72"/>
        <v>2.6954406336653385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205.5480000480477</v>
      </c>
      <c r="EP91" s="59">
        <f t="shared" si="100"/>
        <v>229.86812144828366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2.3321288390314785</v>
      </c>
      <c r="EW91" s="21">
        <f>EXP(-LN(2)/25)*EW90+(1-EXP(-LN(2)/25))/(LN(2)/25)*Calculateur!ER91*Calculateur!ET91*VLOOKUP('Données projet'!$B$15,Paramètres!$A$1:$I$89,3,0)*0.475*44/12</f>
        <v>1.2061183907458282</v>
      </c>
      <c r="EX91" s="21">
        <f>EXP(-LN(2)/2)*EX90+(1-EXP(-LN(2)/2))/(LN(2)/2)*ER91*EU91*VLOOKUP('Données projet'!$B$15,Paramètres!$A$1:$I$89,3,0)*0.475*44/12</f>
        <v>5.5096503909521062E-9</v>
      </c>
      <c r="EY91" s="22">
        <f t="shared" si="75"/>
        <v>3.5382472352869572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3.05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15.550080000000021</v>
      </c>
      <c r="D92" s="11">
        <f t="shared" si="86"/>
        <v>5.2067534645344589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58.877686873797458</v>
      </c>
      <c r="H92" s="67">
        <f t="shared" si="56"/>
        <v>248.0848182840642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-3.4106051316484809E-13</v>
      </c>
      <c r="O92" s="13">
        <f>N92*VLOOKUP('Données projet'!$B$9,Paramètres!$A$1:$I$89,3,0)*VLOOKUP('Données projet'!$B$9,Paramètres!$A$1:$I$89,5,0)</f>
        <v>-1.9065282685915009E-13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542.23071537860039</v>
      </c>
      <c r="T92" s="59">
        <f t="shared" si="88"/>
        <v>667.26143680054633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2.2820481039780915</v>
      </c>
      <c r="AA92" s="21">
        <f>EXP(-LN(2)/25)*AA91+(1-EXP(-LN(2)/25))/(LN(2)/25)*Calculateur!V92*Calculateur!X92*VLOOKUP('Données projet'!$B$9,Paramètres!$A$1:$I$89,3,0)*0.475*44/12</f>
        <v>8.3004838194147137</v>
      </c>
      <c r="AB92" s="21">
        <f>EXP(-LN(2)/2)*AB91+(1-EXP(-LN(2)/2))/(LN(2)/2)*V92*Y92*VLOOKUP('Données projet'!$B$9,Paramètres!$A$1:$I$89,3,0)*0.475*44/12</f>
        <v>1.8989733804589553E-8</v>
      </c>
      <c r="AC92" s="22">
        <f t="shared" si="57"/>
        <v>10.582531942382539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-1.2710188457276673E-13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427.83834708696861</v>
      </c>
      <c r="AO92" s="59">
        <f t="shared" si="90"/>
        <v>545.63950537101903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1.369228862386856</v>
      </c>
      <c r="AV92" s="21">
        <f>EXP(-LN(2)/25)*AV91+(1-EXP(-LN(2)/25))/(LN(2)/25)*Calculateur!AQ92*Calculateur!AS92*VLOOKUP('Données projet'!$B$10,Paramètres!$A$1:$I$89,3,0)*0.475*44/12</f>
        <v>4.7959336738764087</v>
      </c>
      <c r="AW92" s="21">
        <f>EXP(-LN(2)/2)*AW91+(1-EXP(-LN(2)/2))/(LN(2)/2)*AQ92*AT92*VLOOKUP('Données projet'!$B$10,Paramètres!$A$1:$I$89,3,0)*0.475*44/12</f>
        <v>1.2186012564696596E-8</v>
      </c>
      <c r="AX92" s="21">
        <f t="shared" si="60"/>
        <v>6.1651625484492767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8.3000000000000007</v>
      </c>
      <c r="BD92" s="12">
        <f>IF('Données projet'!$A$88&gt;35,BD91+BC92-BL91,IF(A92&lt;'Données projet'!$A$88,$BA$205^A92,IF(A92='Données projet'!$A$88,'Données projet'!$B$88,BD91+BC92-BL91)))</f>
        <v>284.69999999999993</v>
      </c>
      <c r="BE92" s="13">
        <f>BD92*VLOOKUP('Données projet'!$B$11,Paramètres!$A$1:$I$89,3,0)*VLOOKUP('Données projet'!$B$11,Paramètres!$A$1:$I$89,5,0)</f>
        <v>133.23959999999997</v>
      </c>
      <c r="BF92" s="13">
        <f t="shared" si="91"/>
        <v>34.743860019521328</v>
      </c>
      <c r="BG92" s="20">
        <f t="shared" si="61"/>
        <v>292.57119286733285</v>
      </c>
      <c r="BH92" s="59">
        <f t="shared" si="62"/>
        <v>574.12500553136226</v>
      </c>
      <c r="BI92" s="59">
        <f ca="1">AVERAGE(OFFSET($BH$3,0,0,'Données projet'!$E$11+1,1))-AVERAGE(OFFSET($H$3,0,0,'Données projet'!$E$11+1,1))</f>
        <v>210.62109466714364</v>
      </c>
      <c r="BJ92" s="59">
        <f t="shared" si="92"/>
        <v>193.35729443770401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2.029104649960662</v>
      </c>
      <c r="BQ92" s="21">
        <f>EXP(-LN(2)/25)*BQ91+(1-EXP(-LN(2)/25))/(LN(2)/25)*Calculateur!BL92*Calculateur!BN92*VLOOKUP('Données projet'!$B$11,Paramètres!$A$1:$I$89,3,0)*0.475*44/12</f>
        <v>1.5607213228177665</v>
      </c>
      <c r="BR92" s="21">
        <f>EXP(-LN(2)/2)*BR91+(1-EXP(-LN(2)/2))/(LN(2)/2)*BL92*BO92*VLOOKUP('Données projet'!$B$11,Paramètres!$A$1:$I$89,3,0)*0.475*44/12</f>
        <v>1.0426051466060899E-8</v>
      </c>
      <c r="BS92" s="22">
        <f t="shared" si="63"/>
        <v>3.5898259832044803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368.16165268258442</v>
      </c>
      <c r="CE92" s="59">
        <f t="shared" si="94"/>
        <v>291.32219253157041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2.3247821527105965</v>
      </c>
      <c r="CL92" s="21">
        <f>EXP(-LN(2)/25)*CL91+(1-EXP(-LN(2)/25))/(LN(2)/25)*Calculateur!CG92*Calculateur!CI92*VLOOKUP('Données projet'!$B$12,Paramètres!$A$1:$I$89,3,0)*0.475*44/12</f>
        <v>1.2940421193198057</v>
      </c>
      <c r="CM92" s="21">
        <f>EXP(-LN(2)/2)*CM91+(1-EXP(-LN(2)/2))/(LN(2)/2)*CG92*CJ92*VLOOKUP('Données projet'!$B$12,Paramètres!$A$1:$I$89,3,0)*0.475*44/12</f>
        <v>1.0435076985648777E-8</v>
      </c>
      <c r="CN92" s="22">
        <f t="shared" si="66"/>
        <v>3.618824282465479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1.1368683772161603E-13</v>
      </c>
      <c r="CU92" s="17">
        <f>CT92*VLOOKUP('Données projet'!$B$13,Paramètres!$A$1:$I$89,3,0)*VLOOKUP('Données projet'!$B$13,Paramètres!$A$1:$I$89,5,0)</f>
        <v>6.7984728957526396E-14</v>
      </c>
      <c r="CV92" s="13">
        <f t="shared" si="95"/>
        <v>1.0682447123141398E-12</v>
      </c>
      <c r="CW92" s="20">
        <f t="shared" si="67"/>
        <v>1.978932943548152E-12</v>
      </c>
      <c r="CX92" s="59">
        <f t="shared" si="68"/>
        <v>281.5538126640314</v>
      </c>
      <c r="CY92" s="59">
        <f ca="1">AVERAGE(OFFSET($CX$3,0,0,'Données projet'!$E$13+1,1))-AVERAGE(OFFSET($H$3,0,0,'Données projet'!$E$13+1,1))</f>
        <v>317.12995176362455</v>
      </c>
      <c r="CZ92" s="59">
        <f t="shared" si="96"/>
        <v>328.11301015275262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5.612215665072755</v>
      </c>
      <c r="DG92" s="21">
        <f>EXP(-LN(2)/25)*DG91+(1-EXP(-LN(2)/25))/(LN(2)/25)*Calculateur!DB92*Calculateur!DD92*VLOOKUP('Données projet'!$B$13,Paramètres!$A$1:$I$89,3,0)*0.475*44/12</f>
        <v>3.1412053415630399</v>
      </c>
      <c r="DH92" s="21">
        <f>EXP(-LN(2)/2)*DH91+(1-EXP(-LN(2)/2))/(LN(2)/2)*DB92*DE92*VLOOKUP('Données projet'!$B$13,Paramètres!$A$1:$I$89,3,0)*0.475*44/12</f>
        <v>7.5619133868213591E-9</v>
      </c>
      <c r="DI92" s="22">
        <f t="shared" si="69"/>
        <v>8.7534210141977091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2.8</v>
      </c>
      <c r="DO92" s="12">
        <f>IF('Données projet'!$A$166&gt;35,DO91+DN92-DW91,IF(A92&lt;'Données projet'!$A$166,$DL$205^A92,IF(A92='Données projet'!$A$166,'Données projet'!$B$166,DO91+DN92-DW91)))</f>
        <v>233.20000000000002</v>
      </c>
      <c r="DP92" s="17">
        <f>DO92*VLOOKUP('Données projet'!$B$14,Paramètres!$A$1:$I$89,3,0)*VLOOKUP('Données projet'!$B$14,Paramètres!$A$1:$I$89,5,0)</f>
        <v>203.72352000000004</v>
      </c>
      <c r="DQ92" s="13">
        <f t="shared" si="97"/>
        <v>50.561604122231515</v>
      </c>
      <c r="DR92" s="20">
        <f t="shared" si="70"/>
        <v>442.87992451288659</v>
      </c>
      <c r="DS92" s="59">
        <f t="shared" si="71"/>
        <v>724.433737176916</v>
      </c>
      <c r="DT92" s="59">
        <f ca="1">AVERAGE(OFFSET($DS$3,0,0,'Données projet'!$E$14+1,1))-AVERAGE(OFFSET($H$3,0,0,'Données projet'!$E$14+1,1))</f>
        <v>325.5873213944476</v>
      </c>
      <c r="DU92" s="59">
        <f t="shared" si="98"/>
        <v>347.9042278368363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0.91020512836974854</v>
      </c>
      <c r="EB92" s="21">
        <f>EXP(-LN(2)/25)*EB91+(1-EXP(-LN(2)/25))/(LN(2)/25)*Calculateur!DW92*Calculateur!DY92*VLOOKUP('Données projet'!$B$14,Paramètres!$A$1:$I$89,3,0)*0.475*44/12</f>
        <v>1.7187103896012603</v>
      </c>
      <c r="EC92" s="21">
        <f>EXP(-LN(2)/2)*EC91+(1-EXP(-LN(2)/2))/(LN(2)/2)*DW92*DZ92*VLOOKUP('Données projet'!$B$14,Paramètres!$A$1:$I$89,3,0)*0.475*44/12</f>
        <v>1.5738977502885101E-8</v>
      </c>
      <c r="ED92" s="22">
        <f t="shared" si="72"/>
        <v>2.6289155337099865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205.5480000480477</v>
      </c>
      <c r="EP92" s="59">
        <f t="shared" si="100"/>
        <v>229.86812144828366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2.2863972149562071</v>
      </c>
      <c r="EW92" s="21">
        <f>EXP(-LN(2)/25)*EW91+(1-EXP(-LN(2)/25))/(LN(2)/25)*Calculateur!ER92*Calculateur!ET92*VLOOKUP('Données projet'!$B$15,Paramètres!$A$1:$I$89,3,0)*0.475*44/12</f>
        <v>1.173137019923874</v>
      </c>
      <c r="EX92" s="21">
        <f>EXP(-LN(2)/2)*EX91+(1-EXP(-LN(2)/2))/(LN(2)/2)*ER92*EU92*VLOOKUP('Données projet'!$B$15,Paramètres!$A$1:$I$89,3,0)*0.475*44/12</f>
        <v>3.8959111534093469E-9</v>
      </c>
      <c r="EY92" s="22">
        <f t="shared" si="75"/>
        <v>3.4595342387759924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3.05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15.724800000000021</v>
      </c>
      <c r="D93" s="11">
        <f t="shared" si="86"/>
        <v>5.2584129176484797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59.436883838682618</v>
      </c>
      <c r="H93" s="67">
        <f t="shared" si="56"/>
        <v>248.4790958315711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-3.4106051316484809E-13</v>
      </c>
      <c r="O93" s="13">
        <f>N93*VLOOKUP('Données projet'!$B$9,Paramètres!$A$1:$I$89,3,0)*VLOOKUP('Données projet'!$B$9,Paramètres!$A$1:$I$89,5,0)</f>
        <v>-1.9065282685915009E-13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542.23071537860039</v>
      </c>
      <c r="T93" s="59">
        <f t="shared" si="88"/>
        <v>667.26143680054633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2.2372985325709847</v>
      </c>
      <c r="AA93" s="21">
        <f>EXP(-LN(2)/25)*AA92+(1-EXP(-LN(2)/25))/(LN(2)/25)*Calculateur!V93*Calculateur!X93*VLOOKUP('Données projet'!$B$9,Paramètres!$A$1:$I$89,3,0)*0.475*44/12</f>
        <v>8.0735066528693444</v>
      </c>
      <c r="AB93" s="21">
        <f>EXP(-LN(2)/2)*AB92+(1-EXP(-LN(2)/2))/(LN(2)/2)*V93*Y93*VLOOKUP('Données projet'!$B$9,Paramètres!$A$1:$I$89,3,0)*0.475*44/12</f>
        <v>1.342776954615269E-8</v>
      </c>
      <c r="AC93" s="22">
        <f t="shared" si="57"/>
        <v>10.310805198868099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-1.2710188457276673E-13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427.83834708696861</v>
      </c>
      <c r="AO93" s="59">
        <f t="shared" si="90"/>
        <v>545.63950537101903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1.3423791195425918</v>
      </c>
      <c r="AV93" s="21">
        <f>EXP(-LN(2)/25)*AV92+(1-EXP(-LN(2)/25))/(LN(2)/25)*Calculateur!AQ93*Calculateur!AS93*VLOOKUP('Données projet'!$B$10,Paramètres!$A$1:$I$89,3,0)*0.475*44/12</f>
        <v>4.6647886153570672</v>
      </c>
      <c r="AW93" s="21">
        <f>EXP(-LN(2)/2)*AW92+(1-EXP(-LN(2)/2))/(LN(2)/2)*AQ93*AT93*VLOOKUP('Données projet'!$B$10,Paramètres!$A$1:$I$89,3,0)*0.475*44/12</f>
        <v>8.6168121201214347E-9</v>
      </c>
      <c r="AX93" s="21">
        <f t="shared" si="60"/>
        <v>6.0071677435164714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293</v>
      </c>
      <c r="BB93" s="12">
        <f>VLOOKUP(A93,'Données projet'!$A$87:$I$107,9,0)</f>
        <v>8.3000000000000007</v>
      </c>
      <c r="BC93" s="12">
        <f t="array" ref="BC93">INDEX(BB:BB,MIN(IF(ISNUMBER(BB93:BB289),ROW(BB93:BB289),"")))</f>
        <v>8.3000000000000007</v>
      </c>
      <c r="BD93" s="12">
        <f>IF('Données projet'!$A$88&gt;35,BD92+BC93-BL92,IF(A93&lt;'Données projet'!$A$88,$BA$205^A93,IF(A93='Données projet'!$A$88,'Données projet'!$B$88,BD92+BC93-BL92)))</f>
        <v>292.99999999999994</v>
      </c>
      <c r="BE93" s="13">
        <f>BD93*VLOOKUP('Données projet'!$B$11,Paramètres!$A$1:$I$89,3,0)*VLOOKUP('Données projet'!$B$11,Paramètres!$A$1:$I$89,5,0)</f>
        <v>137.12399999999997</v>
      </c>
      <c r="BF93" s="13">
        <f t="shared" si="91"/>
        <v>35.637360474218589</v>
      </c>
      <c r="BG93" s="20">
        <f t="shared" si="61"/>
        <v>300.89270282593066</v>
      </c>
      <c r="BH93" s="59">
        <f t="shared" si="62"/>
        <v>582.65086383850962</v>
      </c>
      <c r="BI93" s="59">
        <f ca="1">AVERAGE(OFFSET($BH$3,0,0,'Données projet'!$E$11+1,1))-AVERAGE(OFFSET($H$3,0,0,'Données projet'!$E$11+1,1))</f>
        <v>210.62109466714364</v>
      </c>
      <c r="BJ93" s="59">
        <f t="shared" si="92"/>
        <v>193.35729443770401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57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1.9893151454065638</v>
      </c>
      <c r="BQ93" s="21">
        <f>EXP(-LN(2)/25)*BQ92+(1-EXP(-LN(2)/25))/(LN(2)/25)*Calculateur!BL93*Calculateur!BN93*VLOOKUP('Données projet'!$B$11,Paramètres!$A$1:$I$89,3,0)*0.475*44/12</f>
        <v>1.5180433161705473</v>
      </c>
      <c r="BR93" s="21">
        <f>EXP(-LN(2)/2)*BR92+(1-EXP(-LN(2)/2))/(LN(2)/2)*BL93*BO93*VLOOKUP('Données projet'!$B$11,Paramètres!$A$1:$I$89,3,0)*0.475*44/12</f>
        <v>7.3723316926516075E-9</v>
      </c>
      <c r="BS93" s="22">
        <f t="shared" si="63"/>
        <v>3.5073584689494428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368.16165268258442</v>
      </c>
      <c r="CE93" s="59">
        <f t="shared" si="94"/>
        <v>291.32219253157041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2.2791945926730413</v>
      </c>
      <c r="CL93" s="21">
        <f>EXP(-LN(2)/25)*CL92+(1-EXP(-LN(2)/25))/(LN(2)/25)*Calculateur!CG93*Calculateur!CI93*VLOOKUP('Données projet'!$B$12,Paramètres!$A$1:$I$89,3,0)*0.475*44/12</f>
        <v>1.2586564695162881</v>
      </c>
      <c r="CM93" s="21">
        <f>EXP(-LN(2)/2)*CM92+(1-EXP(-LN(2)/2))/(LN(2)/2)*CG93*CJ93*VLOOKUP('Données projet'!$B$12,Paramètres!$A$1:$I$89,3,0)*0.475*44/12</f>
        <v>7.3787136987559286E-9</v>
      </c>
      <c r="CN93" s="22">
        <f t="shared" si="66"/>
        <v>3.5378510695680427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1.1368683772161603E-13</v>
      </c>
      <c r="CU93" s="17">
        <f>CT93*VLOOKUP('Données projet'!$B$13,Paramètres!$A$1:$I$89,3,0)*VLOOKUP('Données projet'!$B$13,Paramètres!$A$1:$I$89,5,0)</f>
        <v>6.7984728957526396E-14</v>
      </c>
      <c r="CV93" s="13">
        <f t="shared" si="95"/>
        <v>1.0682447123141398E-12</v>
      </c>
      <c r="CW93" s="20">
        <f t="shared" si="67"/>
        <v>1.978932943548152E-12</v>
      </c>
      <c r="CX93" s="59">
        <f t="shared" si="68"/>
        <v>281.7581610125809</v>
      </c>
      <c r="CY93" s="59">
        <f ca="1">AVERAGE(OFFSET($CX$3,0,0,'Données projet'!$E$13+1,1))-AVERAGE(OFFSET($H$3,0,0,'Données projet'!$E$13+1,1))</f>
        <v>317.12995176362455</v>
      </c>
      <c r="CZ93" s="59">
        <f t="shared" si="96"/>
        <v>328.11301015275262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5.5021635389942301</v>
      </c>
      <c r="DG93" s="21">
        <f>EXP(-LN(2)/25)*DG92+(1-EXP(-LN(2)/25))/(LN(2)/25)*Calculateur!DB93*Calculateur!DD93*VLOOKUP('Données projet'!$B$13,Paramètres!$A$1:$I$89,3,0)*0.475*44/12</f>
        <v>3.0553089163091891</v>
      </c>
      <c r="DH93" s="21">
        <f>EXP(-LN(2)/2)*DH92+(1-EXP(-LN(2)/2))/(LN(2)/2)*DB93*DE93*VLOOKUP('Données projet'!$B$13,Paramètres!$A$1:$I$89,3,0)*0.475*44/12</f>
        <v>5.3470802345667154E-9</v>
      </c>
      <c r="DI93" s="22">
        <f t="shared" si="69"/>
        <v>8.5574724606504997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236</v>
      </c>
      <c r="DM93" s="12">
        <f>VLOOKUP(A93,'Données projet'!$A$165:$I$185,9,0)</f>
        <v>2.8</v>
      </c>
      <c r="DN93" s="12">
        <f t="array" ref="DN93">INDEX(DM:DM,MIN(IF(ISNUMBER(DM93:DM289),ROW(DM93:DM289),"")))</f>
        <v>2.8</v>
      </c>
      <c r="DO93" s="12">
        <f>IF('Données projet'!$A$166&gt;35,DO92+DN93-DW92,IF(A93&lt;'Données projet'!$A$166,$DL$205^A93,IF(A93='Données projet'!$A$166,'Données projet'!$B$166,DO92+DN93-DW92)))</f>
        <v>236.00000000000003</v>
      </c>
      <c r="DP93" s="17">
        <f>DO93*VLOOKUP('Données projet'!$B$14,Paramètres!$A$1:$I$89,3,0)*VLOOKUP('Données projet'!$B$14,Paramètres!$A$1:$I$89,5,0)</f>
        <v>206.16960000000006</v>
      </c>
      <c r="DQ93" s="13">
        <f t="shared" si="97"/>
        <v>51.097652263007333</v>
      </c>
      <c r="DR93" s="20">
        <f t="shared" si="70"/>
        <v>448.07379769140448</v>
      </c>
      <c r="DS93" s="59">
        <f t="shared" si="71"/>
        <v>729.83195870398345</v>
      </c>
      <c r="DT93" s="59">
        <f ca="1">AVERAGE(OFFSET($DS$3,0,0,'Données projet'!$E$14+1,1))-AVERAGE(OFFSET($H$3,0,0,'Données projet'!$E$14+1,1))</f>
        <v>325.5873213944476</v>
      </c>
      <c r="DU93" s="59">
        <f t="shared" si="98"/>
        <v>347.9042278368363</v>
      </c>
      <c r="DV93" s="15">
        <f>IF(ISNA(VLOOKUP(A93,'Données projet'!$A$165:$I$185,3,0)),0,VLOOKUP(A93,'Données projet'!$A$165:$I$185,3,0))</f>
        <v>15</v>
      </c>
      <c r="DW93" s="15">
        <f>IF(ISNA(VLOOKUP(A93,'Données projet'!$A$165:$I$185,4,0)),0,VLOOKUP(A93,'Données projet'!$A$165:$I$185,4,0))</f>
        <v>236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0.89235656097272753</v>
      </c>
      <c r="EB93" s="21">
        <f>EXP(-LN(2)/25)*EB92+(1-EXP(-LN(2)/25))/(LN(2)/25)*Calculateur!DW93*Calculateur!DY93*VLOOKUP('Données projet'!$B$14,Paramètres!$A$1:$I$89,3,0)*0.475*44/12</f>
        <v>1.6717121636145627</v>
      </c>
      <c r="EC93" s="21">
        <f>EXP(-LN(2)/2)*EC92+(1-EXP(-LN(2)/2))/(LN(2)/2)*DW93*DZ93*VLOOKUP('Données projet'!$B$14,Paramètres!$A$1:$I$89,3,0)*0.475*44/12</f>
        <v>1.1129137721232569E-8</v>
      </c>
      <c r="ED93" s="22">
        <f t="shared" si="72"/>
        <v>2.564068735716428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205.5480000480477</v>
      </c>
      <c r="EP93" s="59">
        <f t="shared" si="100"/>
        <v>229.86812144828366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2.2415623601355152</v>
      </c>
      <c r="EW93" s="21">
        <f>EXP(-LN(2)/25)*EW92+(1-EXP(-LN(2)/25))/(LN(2)/25)*Calculateur!ER93*Calculateur!ET93*VLOOKUP('Données projet'!$B$15,Paramètres!$A$1:$I$89,3,0)*0.475*44/12</f>
        <v>1.1410575264214611</v>
      </c>
      <c r="EX93" s="21">
        <f>EXP(-LN(2)/2)*EX92+(1-EXP(-LN(2)/2))/(LN(2)/2)*ER93*EU93*VLOOKUP('Données projet'!$B$15,Paramètres!$A$1:$I$89,3,0)*0.475*44/12</f>
        <v>2.7548251954760531E-9</v>
      </c>
      <c r="EY93" s="22">
        <f t="shared" si="75"/>
        <v>3.3826198893118016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3.05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15.899520000000022</v>
      </c>
      <c r="D94" s="11">
        <f t="shared" si="86"/>
        <v>5.3100055996039028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59.995915867091803</v>
      </c>
      <c r="H94" s="67">
        <f t="shared" si="56"/>
        <v>248.8732570859768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-3.4106051316484809E-13</v>
      </c>
      <c r="O94" s="13">
        <f>N94*VLOOKUP('Données projet'!$B$9,Paramètres!$A$1:$I$89,3,0)*VLOOKUP('Données projet'!$B$9,Paramètres!$A$1:$I$89,5,0)</f>
        <v>-1.9065282685915009E-13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542.23071537860039</v>
      </c>
      <c r="T94" s="59">
        <f t="shared" si="88"/>
        <v>667.26143680054633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2.1934264729646276</v>
      </c>
      <c r="AA94" s="21">
        <f>EXP(-LN(2)/25)*AA93+(1-EXP(-LN(2)/25))/(LN(2)/25)*Calculateur!V94*Calculateur!X94*VLOOKUP('Données projet'!$B$9,Paramètres!$A$1:$I$89,3,0)*0.475*44/12</f>
        <v>7.8527361888793692</v>
      </c>
      <c r="AB94" s="21">
        <f>EXP(-LN(2)/2)*AB93+(1-EXP(-LN(2)/2))/(LN(2)/2)*V94*Y94*VLOOKUP('Données projet'!$B$9,Paramètres!$A$1:$I$89,3,0)*0.475*44/12</f>
        <v>9.4948669022947766E-9</v>
      </c>
      <c r="AC94" s="22">
        <f t="shared" si="57"/>
        <v>10.046162671338864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-1.2710188457276673E-13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427.83834708696861</v>
      </c>
      <c r="AO94" s="59">
        <f t="shared" si="90"/>
        <v>545.63950537101903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1.3160558837787777</v>
      </c>
      <c r="AV94" s="21">
        <f>EXP(-LN(2)/25)*AV93+(1-EXP(-LN(2)/25))/(LN(2)/25)*Calculateur!AQ94*Calculateur!AS94*VLOOKUP('Données projet'!$B$10,Paramètres!$A$1:$I$89,3,0)*0.475*44/12</f>
        <v>4.5372297253595564</v>
      </c>
      <c r="AW94" s="21">
        <f>EXP(-LN(2)/2)*AW93+(1-EXP(-LN(2)/2))/(LN(2)/2)*AQ94*AT94*VLOOKUP('Données projet'!$B$10,Paramètres!$A$1:$I$89,3,0)*0.475*44/12</f>
        <v>6.0930062823482981E-9</v>
      </c>
      <c r="AX94" s="21">
        <f t="shared" si="60"/>
        <v>5.8532856152313402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8.3000000000000007</v>
      </c>
      <c r="BD94" s="12">
        <f>IF('Données projet'!$A$88&gt;35,BD93+BC94-BL93,IF(A94&lt;'Données projet'!$A$88,$BA$205^A94,IF(A94='Données projet'!$A$88,'Données projet'!$B$88,BD93+BC94-BL93)))</f>
        <v>244.29999999999995</v>
      </c>
      <c r="BE94" s="13">
        <f>BD94*VLOOKUP('Données projet'!$B$11,Paramètres!$A$1:$I$89,3,0)*VLOOKUP('Données projet'!$B$11,Paramètres!$A$1:$I$89,5,0)</f>
        <v>114.33239999999998</v>
      </c>
      <c r="BF94" s="13">
        <f t="shared" si="91"/>
        <v>30.349425608999077</v>
      </c>
      <c r="BG94" s="20">
        <f t="shared" si="61"/>
        <v>251.98751293567338</v>
      </c>
      <c r="BH94" s="59">
        <f t="shared" si="62"/>
        <v>533.94647730980887</v>
      </c>
      <c r="BI94" s="59">
        <f ca="1">AVERAGE(OFFSET($BH$3,0,0,'Données projet'!$E$11+1,1))-AVERAGE(OFFSET($H$3,0,0,'Données projet'!$E$11+1,1))</f>
        <v>210.62109466714364</v>
      </c>
      <c r="BJ94" s="59">
        <f t="shared" si="92"/>
        <v>193.35729443770401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1.9503058887675702</v>
      </c>
      <c r="BQ94" s="21">
        <f>EXP(-LN(2)/25)*BQ93+(1-EXP(-LN(2)/25))/(LN(2)/25)*Calculateur!BL94*Calculateur!BN94*VLOOKUP('Données projet'!$B$11,Paramètres!$A$1:$I$89,3,0)*0.475*44/12</f>
        <v>1.4765323418594352</v>
      </c>
      <c r="BR94" s="21">
        <f>EXP(-LN(2)/2)*BR93+(1-EXP(-LN(2)/2))/(LN(2)/2)*BL94*BO94*VLOOKUP('Données projet'!$B$11,Paramètres!$A$1:$I$89,3,0)*0.475*44/12</f>
        <v>5.2130257330304501E-9</v>
      </c>
      <c r="BS94" s="22">
        <f t="shared" si="63"/>
        <v>3.4268382358400311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368.16165268258442</v>
      </c>
      <c r="CE94" s="59">
        <f t="shared" si="94"/>
        <v>291.32219253157041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2.2345009768821562</v>
      </c>
      <c r="CL94" s="21">
        <f>EXP(-LN(2)/25)*CL93+(1-EXP(-LN(2)/25))/(LN(2)/25)*Calculateur!CG94*Calculateur!CI94*VLOOKUP('Données projet'!$B$12,Paramètres!$A$1:$I$89,3,0)*0.475*44/12</f>
        <v>1.2242384421674981</v>
      </c>
      <c r="CM94" s="21">
        <f>EXP(-LN(2)/2)*CM93+(1-EXP(-LN(2)/2))/(LN(2)/2)*CG94*CJ94*VLOOKUP('Données projet'!$B$12,Paramètres!$A$1:$I$89,3,0)*0.475*44/12</f>
        <v>5.2175384928243894E-9</v>
      </c>
      <c r="CN94" s="22">
        <f t="shared" si="66"/>
        <v>3.4587394242671925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1.1368683772161603E-13</v>
      </c>
      <c r="CU94" s="17">
        <f>CT94*VLOOKUP('Données projet'!$B$13,Paramètres!$A$1:$I$89,3,0)*VLOOKUP('Données projet'!$B$13,Paramètres!$A$1:$I$89,5,0)</f>
        <v>6.7984728957526396E-14</v>
      </c>
      <c r="CV94" s="13">
        <f t="shared" si="95"/>
        <v>1.0682447123141398E-12</v>
      </c>
      <c r="CW94" s="20">
        <f t="shared" si="67"/>
        <v>1.978932943548152E-12</v>
      </c>
      <c r="CX94" s="59">
        <f t="shared" si="68"/>
        <v>281.95896437413751</v>
      </c>
      <c r="CY94" s="59">
        <f ca="1">AVERAGE(OFFSET($CX$3,0,0,'Données projet'!$E$13+1,1))-AVERAGE(OFFSET($H$3,0,0,'Données projet'!$E$13+1,1))</f>
        <v>317.12995176362455</v>
      </c>
      <c r="CZ94" s="59">
        <f t="shared" si="96"/>
        <v>328.11301015275262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5.3942694679829355</v>
      </c>
      <c r="DG94" s="21">
        <f>EXP(-LN(2)/25)*DG93+(1-EXP(-LN(2)/25))/(LN(2)/25)*Calculateur!DB94*Calculateur!DD94*VLOOKUP('Données projet'!$B$13,Paramètres!$A$1:$I$89,3,0)*0.475*44/12</f>
        <v>2.9717613333210013</v>
      </c>
      <c r="DH94" s="21">
        <f>EXP(-LN(2)/2)*DH93+(1-EXP(-LN(2)/2))/(LN(2)/2)*DB94*DE94*VLOOKUP('Données projet'!$B$13,Paramètres!$A$1:$I$89,3,0)*0.475*44/12</f>
        <v>3.7809566934106796E-9</v>
      </c>
      <c r="DI94" s="22">
        <f t="shared" si="69"/>
        <v>8.3660308050848933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2.8421709430404007E-14</v>
      </c>
      <c r="DP94" s="17">
        <f>DO94*VLOOKUP('Données projet'!$B$14,Paramètres!$A$1:$I$89,3,0)*VLOOKUP('Données projet'!$B$14,Paramètres!$A$1:$I$89,5,0)</f>
        <v>2.4829205358400945E-14</v>
      </c>
      <c r="DQ94" s="13">
        <f t="shared" si="97"/>
        <v>4.3867331143352915E-13</v>
      </c>
      <c r="DR94" s="20">
        <f t="shared" si="70"/>
        <v>8.0726688341261168E-13</v>
      </c>
      <c r="DS94" s="59">
        <f t="shared" si="71"/>
        <v>281.95896437413631</v>
      </c>
      <c r="DT94" s="59">
        <f ca="1">AVERAGE(OFFSET($DS$3,0,0,'Données projet'!$E$14+1,1))-AVERAGE(OFFSET($H$3,0,0,'Données projet'!$E$14+1,1))</f>
        <v>325.5873213944476</v>
      </c>
      <c r="DU94" s="59">
        <f t="shared" si="98"/>
        <v>347.9042278368363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0.87485799309581103</v>
      </c>
      <c r="EB94" s="21">
        <f>EXP(-LN(2)/25)*EB93+(1-EXP(-LN(2)/25))/(LN(2)/25)*Calculateur!DW94*Calculateur!DY94*VLOOKUP('Données projet'!$B$14,Paramètres!$A$1:$I$89,3,0)*0.475*44/12</f>
        <v>1.6259991065890005</v>
      </c>
      <c r="EC94" s="21">
        <f>EXP(-LN(2)/2)*EC93+(1-EXP(-LN(2)/2))/(LN(2)/2)*DW94*DZ94*VLOOKUP('Données projet'!$B$14,Paramètres!$A$1:$I$89,3,0)*0.475*44/12</f>
        <v>7.8694887514425504E-9</v>
      </c>
      <c r="ED94" s="22">
        <f t="shared" si="72"/>
        <v>2.5008571075543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205.5480000480477</v>
      </c>
      <c r="EP94" s="59">
        <f t="shared" si="100"/>
        <v>229.86812144828366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2.197606689471296</v>
      </c>
      <c r="EW94" s="21">
        <f>EXP(-LN(2)/25)*EW93+(1-EXP(-LN(2)/25))/(LN(2)/25)*Calculateur!ER94*Calculateur!ET94*VLOOKUP('Données projet'!$B$15,Paramètres!$A$1:$I$89,3,0)*0.475*44/12</f>
        <v>1.1098552483558588</v>
      </c>
      <c r="EX94" s="21">
        <f>EXP(-LN(2)/2)*EX93+(1-EXP(-LN(2)/2))/(LN(2)/2)*ER94*EU94*VLOOKUP('Données projet'!$B$15,Paramètres!$A$1:$I$89,3,0)*0.475*44/12</f>
        <v>1.9479555767046734E-9</v>
      </c>
      <c r="EY94" s="22">
        <f t="shared" si="75"/>
        <v>3.3074619397751102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3.05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16.074240000000021</v>
      </c>
      <c r="D95" s="11">
        <f t="shared" si="86"/>
        <v>5.3615323290675407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60.554784981275667</v>
      </c>
      <c r="H95" s="67">
        <f t="shared" si="56"/>
        <v>249.26730347312599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-3.4106051316484809E-13</v>
      </c>
      <c r="O95" s="13">
        <f>N95*VLOOKUP('Données projet'!$B$9,Paramètres!$A$1:$I$89,3,0)*VLOOKUP('Données projet'!$B$9,Paramètres!$A$1:$I$89,5,0)</f>
        <v>-1.9065282685915009E-13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542.23071537860039</v>
      </c>
      <c r="T95" s="59">
        <f t="shared" si="88"/>
        <v>667.26143680054633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2.1504147176878372</v>
      </c>
      <c r="AA95" s="21">
        <f>EXP(-LN(2)/25)*AA94+(1-EXP(-LN(2)/25))/(LN(2)/25)*Calculateur!V95*Calculateur!X95*VLOOKUP('Données projet'!$B$9,Paramètres!$A$1:$I$89,3,0)*0.475*44/12</f>
        <v>7.6380027048370147</v>
      </c>
      <c r="AB95" s="21">
        <f>EXP(-LN(2)/2)*AB94+(1-EXP(-LN(2)/2))/(LN(2)/2)*V95*Y95*VLOOKUP('Données projet'!$B$9,Paramètres!$A$1:$I$89,3,0)*0.475*44/12</f>
        <v>6.713884773076345E-9</v>
      </c>
      <c r="AC95" s="22">
        <f t="shared" si="57"/>
        <v>9.788417429238736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-1.2710188457276673E-13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427.83834708696861</v>
      </c>
      <c r="AO95" s="59">
        <f t="shared" si="90"/>
        <v>545.63950537101903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1.2902488306127036</v>
      </c>
      <c r="AV95" s="21">
        <f>EXP(-LN(2)/25)*AV94+(1-EXP(-LN(2)/25))/(LN(2)/25)*Calculateur!AQ95*Calculateur!AS95*VLOOKUP('Données projet'!$B$10,Paramètres!$A$1:$I$89,3,0)*0.475*44/12</f>
        <v>4.4131589399170581</v>
      </c>
      <c r="AW95" s="21">
        <f>EXP(-LN(2)/2)*AW94+(1-EXP(-LN(2)/2))/(LN(2)/2)*AQ95*AT95*VLOOKUP('Données projet'!$B$10,Paramètres!$A$1:$I$89,3,0)*0.475*44/12</f>
        <v>4.3084060600607174E-9</v>
      </c>
      <c r="AX95" s="21">
        <f t="shared" si="60"/>
        <v>5.7034077748381673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8.3000000000000007</v>
      </c>
      <c r="BD95" s="12">
        <f>IF('Données projet'!$A$88&gt;35,BD94+BC95-BL94,IF(A95&lt;'Données projet'!$A$88,$BA$205^A95,IF(A95='Données projet'!$A$88,'Données projet'!$B$88,BD94+BC95-BL94)))</f>
        <v>252.59999999999997</v>
      </c>
      <c r="BE95" s="13">
        <f>BD95*VLOOKUP('Données projet'!$B$11,Paramètres!$A$1:$I$89,3,0)*VLOOKUP('Données projet'!$B$11,Paramètres!$A$1:$I$89,5,0)</f>
        <v>118.21679999999998</v>
      </c>
      <c r="BF95" s="13">
        <f t="shared" si="91"/>
        <v>31.258735478957774</v>
      </c>
      <c r="BG95" s="20">
        <f t="shared" si="61"/>
        <v>260.33655762585141</v>
      </c>
      <c r="BH95" s="59">
        <f t="shared" si="62"/>
        <v>542.49284187214948</v>
      </c>
      <c r="BI95" s="59">
        <f ca="1">AVERAGE(OFFSET($BH$3,0,0,'Données projet'!$E$11+1,1))-AVERAGE(OFFSET($H$3,0,0,'Données projet'!$E$11+1,1))</f>
        <v>210.62109466714364</v>
      </c>
      <c r="BJ95" s="59">
        <f t="shared" si="92"/>
        <v>193.35729443770401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1.9120615798579701</v>
      </c>
      <c r="BQ95" s="21">
        <f>EXP(-LN(2)/25)*BQ94+(1-EXP(-LN(2)/25))/(LN(2)/25)*Calculateur!BL95*Calculateur!BN95*VLOOKUP('Données projet'!$B$11,Paramètres!$A$1:$I$89,3,0)*0.475*44/12</f>
        <v>1.4361564873238277</v>
      </c>
      <c r="BR95" s="21">
        <f>EXP(-LN(2)/2)*BR94+(1-EXP(-LN(2)/2))/(LN(2)/2)*BL95*BO95*VLOOKUP('Données projet'!$B$11,Paramètres!$A$1:$I$89,3,0)*0.475*44/12</f>
        <v>3.6861658463258042E-9</v>
      </c>
      <c r="BS95" s="22">
        <f t="shared" si="63"/>
        <v>3.3482180708679641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368.16165268258442</v>
      </c>
      <c r="CE95" s="59">
        <f t="shared" si="94"/>
        <v>291.32219253157041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2.1906837756365167</v>
      </c>
      <c r="CL95" s="21">
        <f>EXP(-LN(2)/25)*CL94+(1-EXP(-LN(2)/25))/(LN(2)/25)*Calculateur!CG95*Calculateur!CI95*VLOOKUP('Données projet'!$B$12,Paramètres!$A$1:$I$89,3,0)*0.475*44/12</f>
        <v>1.1907615775865263</v>
      </c>
      <c r="CM95" s="21">
        <f>EXP(-LN(2)/2)*CM94+(1-EXP(-LN(2)/2))/(LN(2)/2)*CG95*CJ95*VLOOKUP('Données projet'!$B$12,Paramètres!$A$1:$I$89,3,0)*0.475*44/12</f>
        <v>3.6893568493779647E-9</v>
      </c>
      <c r="CN95" s="22">
        <f t="shared" si="66"/>
        <v>3.3814453569123999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1.1368683772161603E-13</v>
      </c>
      <c r="CU95" s="17">
        <f>CT95*VLOOKUP('Données projet'!$B$13,Paramètres!$A$1:$I$89,3,0)*VLOOKUP('Données projet'!$B$13,Paramètres!$A$1:$I$89,5,0)</f>
        <v>6.7984728957526396E-14</v>
      </c>
      <c r="CV95" s="13">
        <f t="shared" si="95"/>
        <v>1.0682447123141398E-12</v>
      </c>
      <c r="CW95" s="20">
        <f t="shared" si="67"/>
        <v>1.978932943548152E-12</v>
      </c>
      <c r="CX95" s="59">
        <f t="shared" si="68"/>
        <v>282.15628424630012</v>
      </c>
      <c r="CY95" s="59">
        <f ca="1">AVERAGE(OFFSET($CX$3,0,0,'Données projet'!$E$13+1,1))-AVERAGE(OFFSET($H$3,0,0,'Données projet'!$E$13+1,1))</f>
        <v>317.12995176362455</v>
      </c>
      <c r="CZ95" s="59">
        <f t="shared" si="96"/>
        <v>328.11301015275262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5.2884911338952874</v>
      </c>
      <c r="DG95" s="21">
        <f>EXP(-LN(2)/25)*DG94+(1-EXP(-LN(2)/25))/(LN(2)/25)*Calculateur!DB95*Calculateur!DD95*VLOOKUP('Données projet'!$B$13,Paramètres!$A$1:$I$89,3,0)*0.475*44/12</f>
        <v>2.8904983633832022</v>
      </c>
      <c r="DH95" s="21">
        <f>EXP(-LN(2)/2)*DH94+(1-EXP(-LN(2)/2))/(LN(2)/2)*DB95*DE95*VLOOKUP('Données projet'!$B$13,Paramètres!$A$1:$I$89,3,0)*0.475*44/12</f>
        <v>2.6735401172833577E-9</v>
      </c>
      <c r="DI95" s="22">
        <f t="shared" si="69"/>
        <v>8.1789894999520296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2.8421709430404007E-14</v>
      </c>
      <c r="DP95" s="17">
        <f>DO95*VLOOKUP('Données projet'!$B$14,Paramètres!$A$1:$I$89,3,0)*VLOOKUP('Données projet'!$B$14,Paramètres!$A$1:$I$89,5,0)</f>
        <v>2.4829205358400945E-14</v>
      </c>
      <c r="DQ95" s="13">
        <f t="shared" si="97"/>
        <v>4.3867331143352915E-13</v>
      </c>
      <c r="DR95" s="20">
        <f t="shared" si="70"/>
        <v>8.0726688341261168E-13</v>
      </c>
      <c r="DS95" s="59">
        <f t="shared" si="71"/>
        <v>282.15628424629892</v>
      </c>
      <c r="DT95" s="59">
        <f ca="1">AVERAGE(OFFSET($DS$3,0,0,'Données projet'!$E$14+1,1))-AVERAGE(OFFSET($H$3,0,0,'Données projet'!$E$14+1,1))</f>
        <v>325.5873213944476</v>
      </c>
      <c r="DU95" s="59">
        <f t="shared" si="98"/>
        <v>347.9042278368363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0.85770256146188828</v>
      </c>
      <c r="EB95" s="21">
        <f>EXP(-LN(2)/25)*EB94+(1-EXP(-LN(2)/25))/(LN(2)/25)*Calculateur!DW95*Calculateur!DY95*VLOOKUP('Données projet'!$B$14,Paramètres!$A$1:$I$89,3,0)*0.475*44/12</f>
        <v>1.5815360755117476</v>
      </c>
      <c r="EC95" s="21">
        <f>EXP(-LN(2)/2)*EC94+(1-EXP(-LN(2)/2))/(LN(2)/2)*DW95*DZ95*VLOOKUP('Données projet'!$B$14,Paramètres!$A$1:$I$89,3,0)*0.475*44/12</f>
        <v>5.5645688606162845E-9</v>
      </c>
      <c r="ED95" s="22">
        <f t="shared" si="72"/>
        <v>2.4392386425382049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205.5480000480477</v>
      </c>
      <c r="EP95" s="59">
        <f t="shared" si="100"/>
        <v>229.86812144828366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2.1545129626984902</v>
      </c>
      <c r="EW95" s="21">
        <f>EXP(-LN(2)/25)*EW94+(1-EXP(-LN(2)/25))/(LN(2)/25)*Calculateur!ER95*Calculateur!ET95*VLOOKUP('Données projet'!$B$15,Paramètres!$A$1:$I$89,3,0)*0.475*44/12</f>
        <v>1.0795061982248169</v>
      </c>
      <c r="EX95" s="21">
        <f>EXP(-LN(2)/2)*EX94+(1-EXP(-LN(2)/2))/(LN(2)/2)*ER95*EU95*VLOOKUP('Données projet'!$B$15,Paramètres!$A$1:$I$89,3,0)*0.475*44/12</f>
        <v>1.3774125977380265E-9</v>
      </c>
      <c r="EY95" s="22">
        <f t="shared" si="75"/>
        <v>3.2340191623007195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3.05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16.248960000000022</v>
      </c>
      <c r="D96" s="11">
        <f t="shared" si="86"/>
        <v>5.4129939058841243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61.113493156991012</v>
      </c>
      <c r="H96" s="67">
        <f t="shared" si="56"/>
        <v>249.66123638608153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-3.4106051316484809E-13</v>
      </c>
      <c r="O96" s="13">
        <f>N96*VLOOKUP('Données projet'!$B$9,Paramètres!$A$1:$I$89,3,0)*VLOOKUP('Données projet'!$B$9,Paramètres!$A$1:$I$89,5,0)</f>
        <v>-1.9065282685915009E-13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542.23071537860039</v>
      </c>
      <c r="T96" s="59">
        <f t="shared" si="88"/>
        <v>667.26143680054633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2.1082463966974445</v>
      </c>
      <c r="AA96" s="21">
        <f>EXP(-LN(2)/25)*AA95+(1-EXP(-LN(2)/25))/(LN(2)/25)*Calculateur!V96*Calculateur!X96*VLOOKUP('Données projet'!$B$9,Paramètres!$A$1:$I$89,3,0)*0.475*44/12</f>
        <v>7.4291411192081416</v>
      </c>
      <c r="AB96" s="21">
        <f>EXP(-LN(2)/2)*AB95+(1-EXP(-LN(2)/2))/(LN(2)/2)*V96*Y96*VLOOKUP('Données projet'!$B$9,Paramètres!$A$1:$I$89,3,0)*0.475*44/12</f>
        <v>4.7474334511473883E-9</v>
      </c>
      <c r="AC96" s="22">
        <f t="shared" si="57"/>
        <v>9.5373875206530183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-1.2710188457276673E-13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427.83834708696861</v>
      </c>
      <c r="AO96" s="59">
        <f t="shared" si="90"/>
        <v>545.63950537101903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1.264947838018468</v>
      </c>
      <c r="AV96" s="21">
        <f>EXP(-LN(2)/25)*AV95+(1-EXP(-LN(2)/25))/(LN(2)/25)*Calculateur!AQ96*Calculateur!AS96*VLOOKUP('Données projet'!$B$10,Paramètres!$A$1:$I$89,3,0)*0.475*44/12</f>
        <v>4.2924808766270841</v>
      </c>
      <c r="AW96" s="21">
        <f>EXP(-LN(2)/2)*AW95+(1-EXP(-LN(2)/2))/(LN(2)/2)*AQ96*AT96*VLOOKUP('Données projet'!$B$10,Paramètres!$A$1:$I$89,3,0)*0.475*44/12</f>
        <v>3.0465031411741491E-9</v>
      </c>
      <c r="AX96" s="21">
        <f t="shared" si="60"/>
        <v>5.5574287176920558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8.3000000000000007</v>
      </c>
      <c r="BD96" s="12">
        <f>IF('Données projet'!$A$88&gt;35,BD95+BC96-BL95,IF(A96&lt;'Données projet'!$A$88,$BA$205^A96,IF(A96='Données projet'!$A$88,'Données projet'!$B$88,BD95+BC96-BL95)))</f>
        <v>260.89999999999998</v>
      </c>
      <c r="BE96" s="13">
        <f>BD96*VLOOKUP('Données projet'!$B$11,Paramètres!$A$1:$I$89,3,0)*VLOOKUP('Données projet'!$B$11,Paramètres!$A$1:$I$89,5,0)</f>
        <v>122.10119999999999</v>
      </c>
      <c r="BF96" s="13">
        <f t="shared" si="91"/>
        <v>32.164573491020597</v>
      </c>
      <c r="BG96" s="20">
        <f t="shared" si="61"/>
        <v>268.67955549686087</v>
      </c>
      <c r="BH96" s="59">
        <f t="shared" si="62"/>
        <v>551.02973655668075</v>
      </c>
      <c r="BI96" s="59">
        <f ca="1">AVERAGE(OFFSET($BH$3,0,0,'Données projet'!$E$11+1,1))-AVERAGE(OFFSET($H$3,0,0,'Données projet'!$E$11+1,1))</f>
        <v>210.62109466714364</v>
      </c>
      <c r="BJ96" s="59">
        <f t="shared" si="92"/>
        <v>193.35729443770401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1.874567218519362</v>
      </c>
      <c r="BQ96" s="21">
        <f>EXP(-LN(2)/25)*BQ95+(1-EXP(-LN(2)/25))/(LN(2)/25)*Calculateur!BL96*Calculateur!BN96*VLOOKUP('Données projet'!$B$11,Paramètres!$A$1:$I$89,3,0)*0.475*44/12</f>
        <v>1.3968847126537705</v>
      </c>
      <c r="BR96" s="21">
        <f>EXP(-LN(2)/2)*BR95+(1-EXP(-LN(2)/2))/(LN(2)/2)*BL96*BO96*VLOOKUP('Données projet'!$B$11,Paramètres!$A$1:$I$89,3,0)*0.475*44/12</f>
        <v>2.6065128665152255E-9</v>
      </c>
      <c r="BS96" s="22">
        <f t="shared" si="63"/>
        <v>3.271451933779645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368.16165268258442</v>
      </c>
      <c r="CE96" s="59">
        <f t="shared" si="94"/>
        <v>291.32219253157041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2.1477258029814505</v>
      </c>
      <c r="CL96" s="21">
        <f>EXP(-LN(2)/25)*CL95+(1-EXP(-LN(2)/25))/(LN(2)/25)*Calculateur!CG96*Calculateur!CI96*VLOOKUP('Données projet'!$B$12,Paramètres!$A$1:$I$89,3,0)*0.475*44/12</f>
        <v>1.1582001396279928</v>
      </c>
      <c r="CM96" s="21">
        <f>EXP(-LN(2)/2)*CM95+(1-EXP(-LN(2)/2))/(LN(2)/2)*CG96*CJ96*VLOOKUP('Données projet'!$B$12,Paramètres!$A$1:$I$89,3,0)*0.475*44/12</f>
        <v>2.6087692464121951E-9</v>
      </c>
      <c r="CN96" s="22">
        <f t="shared" si="66"/>
        <v>3.3059259452182124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1.1368683772161603E-13</v>
      </c>
      <c r="CU96" s="17">
        <f>CT96*VLOOKUP('Données projet'!$B$13,Paramètres!$A$1:$I$89,3,0)*VLOOKUP('Données projet'!$B$13,Paramètres!$A$1:$I$89,5,0)</f>
        <v>6.7984728957526396E-14</v>
      </c>
      <c r="CV96" s="13">
        <f t="shared" si="95"/>
        <v>1.0682447123141398E-12</v>
      </c>
      <c r="CW96" s="20">
        <f t="shared" si="67"/>
        <v>1.978932943548152E-12</v>
      </c>
      <c r="CX96" s="59">
        <f t="shared" si="68"/>
        <v>282.35018105982192</v>
      </c>
      <c r="CY96" s="59">
        <f ca="1">AVERAGE(OFFSET($CX$3,0,0,'Données projet'!$E$13+1,1))-AVERAGE(OFFSET($H$3,0,0,'Données projet'!$E$13+1,1))</f>
        <v>317.12995176362455</v>
      </c>
      <c r="CZ96" s="59">
        <f t="shared" si="96"/>
        <v>328.11301015275262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5.1847870484206853</v>
      </c>
      <c r="DG96" s="21">
        <f>EXP(-LN(2)/25)*DG95+(1-EXP(-LN(2)/25))/(LN(2)/25)*Calculateur!DB96*Calculateur!DD96*VLOOKUP('Données projet'!$B$13,Paramètres!$A$1:$I$89,3,0)*0.475*44/12</f>
        <v>2.8114575336317857</v>
      </c>
      <c r="DH96" s="21">
        <f>EXP(-LN(2)/2)*DH95+(1-EXP(-LN(2)/2))/(LN(2)/2)*DB96*DE96*VLOOKUP('Données projet'!$B$13,Paramètres!$A$1:$I$89,3,0)*0.475*44/12</f>
        <v>1.8904783467053398E-9</v>
      </c>
      <c r="DI96" s="22">
        <f t="shared" si="69"/>
        <v>7.996244583942949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2.8421709430404007E-14</v>
      </c>
      <c r="DP96" s="17">
        <f>DO96*VLOOKUP('Données projet'!$B$14,Paramètres!$A$1:$I$89,3,0)*VLOOKUP('Données projet'!$B$14,Paramètres!$A$1:$I$89,5,0)</f>
        <v>2.4829205358400945E-14</v>
      </c>
      <c r="DQ96" s="13">
        <f t="shared" si="97"/>
        <v>4.3867331143352915E-13</v>
      </c>
      <c r="DR96" s="20">
        <f t="shared" si="70"/>
        <v>8.0726688341261168E-13</v>
      </c>
      <c r="DS96" s="59">
        <f t="shared" si="71"/>
        <v>282.35018105982073</v>
      </c>
      <c r="DT96" s="59">
        <f ca="1">AVERAGE(OFFSET($DS$3,0,0,'Données projet'!$E$14+1,1))-AVERAGE(OFFSET($H$3,0,0,'Données projet'!$E$14+1,1))</f>
        <v>325.5873213944476</v>
      </c>
      <c r="DU96" s="59">
        <f t="shared" si="98"/>
        <v>347.9042278368363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0.84088353737852672</v>
      </c>
      <c r="EB96" s="21">
        <f>EXP(-LN(2)/25)*EB95+(1-EXP(-LN(2)/25))/(LN(2)/25)*Calculateur!DW96*Calculateur!DY96*VLOOKUP('Données projet'!$B$14,Paramètres!$A$1:$I$89,3,0)*0.475*44/12</f>
        <v>1.5382888883575112</v>
      </c>
      <c r="EC96" s="21">
        <f>EXP(-LN(2)/2)*EC95+(1-EXP(-LN(2)/2))/(LN(2)/2)*DW96*DZ96*VLOOKUP('Données projet'!$B$14,Paramètres!$A$1:$I$89,3,0)*0.475*44/12</f>
        <v>3.9347443757212752E-9</v>
      </c>
      <c r="ED96" s="22">
        <f t="shared" si="72"/>
        <v>2.3791724296707826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205.5480000480477</v>
      </c>
      <c r="EP96" s="59">
        <f t="shared" si="100"/>
        <v>229.86812144828366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2.1122642776231211</v>
      </c>
      <c r="EW96" s="21">
        <f>EXP(-LN(2)/25)*EW95+(1-EXP(-LN(2)/25))/(LN(2)/25)*Calculateur!ER96*Calculateur!ET96*VLOOKUP('Données projet'!$B$15,Paramètres!$A$1:$I$89,3,0)*0.475*44/12</f>
        <v>1.0499870444655954</v>
      </c>
      <c r="EX96" s="21">
        <f>EXP(-LN(2)/2)*EX95+(1-EXP(-LN(2)/2))/(LN(2)/2)*ER96*EU96*VLOOKUP('Données projet'!$B$15,Paramètres!$A$1:$I$89,3,0)*0.475*44/12</f>
        <v>9.7397778835233672E-10</v>
      </c>
      <c r="EY96" s="22">
        <f t="shared" si="75"/>
        <v>3.1622513230626943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3.05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16.423680000000022</v>
      </c>
      <c r="D97" s="11">
        <f t="shared" si="86"/>
        <v>5.4643911117066697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61.672042325057944</v>
      </c>
      <c r="H97" s="67">
        <f t="shared" si="56"/>
        <v>250.05505718622248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-3.4106051316484809E-13</v>
      </c>
      <c r="O97" s="13">
        <f>N97*VLOOKUP('Données projet'!$B$9,Paramètres!$A$1:$I$89,3,0)*VLOOKUP('Données projet'!$B$9,Paramètres!$A$1:$I$89,5,0)</f>
        <v>-1.9065282685915009E-13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542.23071537860039</v>
      </c>
      <c r="T97" s="59">
        <f t="shared" si="88"/>
        <v>667.26143680054633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2.066904970761537</v>
      </c>
      <c r="AA97" s="21">
        <f>EXP(-LN(2)/25)*AA96+(1-EXP(-LN(2)/25))/(LN(2)/25)*Calculateur!V97*Calculateur!X97*VLOOKUP('Données projet'!$B$9,Paramètres!$A$1:$I$89,3,0)*0.475*44/12</f>
        <v>7.2259908646218429</v>
      </c>
      <c r="AB97" s="21">
        <f>EXP(-LN(2)/2)*AB96+(1-EXP(-LN(2)/2))/(LN(2)/2)*V97*Y97*VLOOKUP('Données projet'!$B$9,Paramètres!$A$1:$I$89,3,0)*0.475*44/12</f>
        <v>3.3569423865381725E-9</v>
      </c>
      <c r="AC97" s="22">
        <f t="shared" si="57"/>
        <v>9.2928958387403231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-1.2710188457276673E-13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427.83834708696861</v>
      </c>
      <c r="AO97" s="59">
        <f t="shared" si="90"/>
        <v>545.63950537101903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1.2401429824569237</v>
      </c>
      <c r="AV97" s="21">
        <f>EXP(-LN(2)/25)*AV96+(1-EXP(-LN(2)/25))/(LN(2)/25)*Calculateur!AQ97*Calculateur!AS97*VLOOKUP('Données projet'!$B$10,Paramètres!$A$1:$I$89,3,0)*0.475*44/12</f>
        <v>4.1751027613239575</v>
      </c>
      <c r="AW97" s="21">
        <f>EXP(-LN(2)/2)*AW96+(1-EXP(-LN(2)/2))/(LN(2)/2)*AQ97*AT97*VLOOKUP('Données projet'!$B$10,Paramètres!$A$1:$I$89,3,0)*0.475*44/12</f>
        <v>2.1542030300303587E-9</v>
      </c>
      <c r="AX97" s="21">
        <f t="shared" si="60"/>
        <v>5.415245745935084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8.3000000000000007</v>
      </c>
      <c r="BD97" s="12">
        <f>IF('Données projet'!$A$88&gt;35,BD96+BC97-BL96,IF(A97&lt;'Données projet'!$A$88,$BA$205^A97,IF(A97='Données projet'!$A$88,'Données projet'!$B$88,BD96+BC97-BL96)))</f>
        <v>269.2</v>
      </c>
      <c r="BE97" s="13">
        <f>BD97*VLOOKUP('Données projet'!$B$11,Paramètres!$A$1:$I$89,3,0)*VLOOKUP('Données projet'!$B$11,Paramètres!$A$1:$I$89,5,0)</f>
        <v>125.98559999999999</v>
      </c>
      <c r="BF97" s="13">
        <f t="shared" si="91"/>
        <v>33.067062765763197</v>
      </c>
      <c r="BG97" s="20">
        <f t="shared" si="61"/>
        <v>277.01672098370415</v>
      </c>
      <c r="BH97" s="59">
        <f t="shared" si="62"/>
        <v>559.55743518081965</v>
      </c>
      <c r="BI97" s="59">
        <f ca="1">AVERAGE(OFFSET($BH$3,0,0,'Données projet'!$E$11+1,1))-AVERAGE(OFFSET($H$3,0,0,'Données projet'!$E$11+1,1))</f>
        <v>210.62109466714364</v>
      </c>
      <c r="BJ97" s="59">
        <f t="shared" si="92"/>
        <v>193.35729443770401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1.837808098737302</v>
      </c>
      <c r="BQ97" s="21">
        <f>EXP(-LN(2)/25)*BQ96+(1-EXP(-LN(2)/25))/(LN(2)/25)*Calculateur!BL97*Calculateur!BN97*VLOOKUP('Données projet'!$B$11,Paramètres!$A$1:$I$89,3,0)*0.475*44/12</f>
        <v>1.3586868267272787</v>
      </c>
      <c r="BR97" s="21">
        <f>EXP(-LN(2)/2)*BR96+(1-EXP(-LN(2)/2))/(LN(2)/2)*BL97*BO97*VLOOKUP('Données projet'!$B$11,Paramètres!$A$1:$I$89,3,0)*0.475*44/12</f>
        <v>1.8430829231629025E-9</v>
      </c>
      <c r="BS97" s="22">
        <f t="shared" si="63"/>
        <v>3.1964949273076639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368.16165268258442</v>
      </c>
      <c r="CE97" s="59">
        <f t="shared" si="94"/>
        <v>291.32219253157041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2.1056102099683742</v>
      </c>
      <c r="CL97" s="21">
        <f>EXP(-LN(2)/25)*CL96+(1-EXP(-LN(2)/25))/(LN(2)/25)*Calculateur!CG97*Calculateur!CI97*VLOOKUP('Données projet'!$B$12,Paramètres!$A$1:$I$89,3,0)*0.475*44/12</f>
        <v>1.1265290959027672</v>
      </c>
      <c r="CM97" s="21">
        <f>EXP(-LN(2)/2)*CM96+(1-EXP(-LN(2)/2))/(LN(2)/2)*CG97*CJ97*VLOOKUP('Données projet'!$B$12,Paramètres!$A$1:$I$89,3,0)*0.475*44/12</f>
        <v>1.8446784246889826E-9</v>
      </c>
      <c r="CN97" s="22">
        <f t="shared" si="66"/>
        <v>3.23213930771582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1.1368683772161603E-13</v>
      </c>
      <c r="CU97" s="17">
        <f>CT97*VLOOKUP('Données projet'!$B$13,Paramètres!$A$1:$I$89,3,0)*VLOOKUP('Données projet'!$B$13,Paramètres!$A$1:$I$89,5,0)</f>
        <v>6.7984728957526396E-14</v>
      </c>
      <c r="CV97" s="13">
        <f t="shared" si="95"/>
        <v>1.0682447123141398E-12</v>
      </c>
      <c r="CW97" s="20">
        <f t="shared" si="67"/>
        <v>1.978932943548152E-12</v>
      </c>
      <c r="CX97" s="59">
        <f t="shared" si="68"/>
        <v>282.5407141971175</v>
      </c>
      <c r="CY97" s="59">
        <f ca="1">AVERAGE(OFFSET($CX$3,0,0,'Données projet'!$E$13+1,1))-AVERAGE(OFFSET($H$3,0,0,'Données projet'!$E$13+1,1))</f>
        <v>317.12995176362455</v>
      </c>
      <c r="CZ97" s="59">
        <f t="shared" si="96"/>
        <v>328.11301015275262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5.0831165368089932</v>
      </c>
      <c r="DG97" s="21">
        <f>EXP(-LN(2)/25)*DG96+(1-EXP(-LN(2)/25))/(LN(2)/25)*Calculateur!DB97*Calculateur!DD97*VLOOKUP('Données projet'!$B$13,Paramètres!$A$1:$I$89,3,0)*0.475*44/12</f>
        <v>2.7345780795264987</v>
      </c>
      <c r="DH97" s="21">
        <f>EXP(-LN(2)/2)*DH96+(1-EXP(-LN(2)/2))/(LN(2)/2)*DB97*DE97*VLOOKUP('Données projet'!$B$13,Paramètres!$A$1:$I$89,3,0)*0.475*44/12</f>
        <v>1.3367700586416788E-9</v>
      </c>
      <c r="DI97" s="22">
        <f t="shared" si="69"/>
        <v>7.8176946176722621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2.8421709430404007E-14</v>
      </c>
      <c r="DP97" s="17">
        <f>DO97*VLOOKUP('Données projet'!$B$14,Paramètres!$A$1:$I$89,3,0)*VLOOKUP('Données projet'!$B$14,Paramètres!$A$1:$I$89,5,0)</f>
        <v>2.4829205358400945E-14</v>
      </c>
      <c r="DQ97" s="13">
        <f t="shared" si="97"/>
        <v>4.3867331143352915E-13</v>
      </c>
      <c r="DR97" s="20">
        <f t="shared" si="70"/>
        <v>8.0726688341261168E-13</v>
      </c>
      <c r="DS97" s="59">
        <f t="shared" si="71"/>
        <v>282.5407141971163</v>
      </c>
      <c r="DT97" s="59">
        <f ca="1">AVERAGE(OFFSET($DS$3,0,0,'Données projet'!$E$14+1,1))-AVERAGE(OFFSET($H$3,0,0,'Données projet'!$E$14+1,1))</f>
        <v>325.5873213944476</v>
      </c>
      <c r="DU97" s="59">
        <f t="shared" si="98"/>
        <v>347.9042278368363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0.82439432409884805</v>
      </c>
      <c r="EB97" s="21">
        <f>EXP(-LN(2)/25)*EB96+(1-EXP(-LN(2)/25))/(LN(2)/25)*Calculateur!DW97*Calculateur!DY97*VLOOKUP('Données projet'!$B$14,Paramètres!$A$1:$I$89,3,0)*0.475*44/12</f>
        <v>1.4962242978102782</v>
      </c>
      <c r="EC97" s="21">
        <f>EXP(-LN(2)/2)*EC96+(1-EXP(-LN(2)/2))/(LN(2)/2)*DW97*DZ97*VLOOKUP('Données projet'!$B$14,Paramètres!$A$1:$I$89,3,0)*0.475*44/12</f>
        <v>2.7822844303081423E-9</v>
      </c>
      <c r="ED97" s="22">
        <f t="shared" si="72"/>
        <v>2.3206186246914111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205.5480000480477</v>
      </c>
      <c r="EP97" s="59">
        <f t="shared" si="100"/>
        <v>229.86812144828366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2.0708440634929266</v>
      </c>
      <c r="EW97" s="21">
        <f>EXP(-LN(2)/25)*EW96+(1-EXP(-LN(2)/25))/(LN(2)/25)*Calculateur!ER97*Calculateur!ET97*VLOOKUP('Données projet'!$B$15,Paramètres!$A$1:$I$89,3,0)*0.475*44/12</f>
        <v>1.0212750935182648</v>
      </c>
      <c r="EX97" s="21">
        <f>EXP(-LN(2)/2)*EX96+(1-EXP(-LN(2)/2))/(LN(2)/2)*ER97*EU97*VLOOKUP('Données projet'!$B$15,Paramètres!$A$1:$I$89,3,0)*0.475*44/12</f>
        <v>6.8870629886901327E-10</v>
      </c>
      <c r="EY97" s="22">
        <f t="shared" si="75"/>
        <v>3.0921191576998979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3.05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16.598400000000023</v>
      </c>
      <c r="D98" s="11">
        <f t="shared" si="86"/>
        <v>5.5157247105992617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62.230434372848762</v>
      </c>
      <c r="H98" s="67">
        <f t="shared" si="56"/>
        <v>250.44876720429372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-3.4106051316484809E-13</v>
      </c>
      <c r="O98" s="13">
        <f>N98*VLOOKUP('Données projet'!$B$9,Paramètres!$A$1:$I$89,3,0)*VLOOKUP('Données projet'!$B$9,Paramètres!$A$1:$I$89,5,0)</f>
        <v>-1.9065282685915009E-13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542.23071537860039</v>
      </c>
      <c r="T98" s="59">
        <f t="shared" si="88"/>
        <v>667.26143680054633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2.0263742249724528</v>
      </c>
      <c r="AA98" s="21">
        <f>EXP(-LN(2)/25)*AA97+(1-EXP(-LN(2)/25))/(LN(2)/25)*Calculateur!V98*Calculateur!X98*VLOOKUP('Données projet'!$B$9,Paramètres!$A$1:$I$89,3,0)*0.475*44/12</f>
        <v>7.0283957644304147</v>
      </c>
      <c r="AB98" s="21">
        <f>EXP(-LN(2)/2)*AB97+(1-EXP(-LN(2)/2))/(LN(2)/2)*V98*Y98*VLOOKUP('Données projet'!$B$9,Paramètres!$A$1:$I$89,3,0)*0.475*44/12</f>
        <v>2.3737167255736942E-9</v>
      </c>
      <c r="AC98" s="22">
        <f t="shared" si="57"/>
        <v>9.0547699917765847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-1.2710188457276673E-13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427.83834708696861</v>
      </c>
      <c r="AO98" s="59">
        <f t="shared" si="90"/>
        <v>545.63950537101903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1.2158245349834731</v>
      </c>
      <c r="AV98" s="21">
        <f>EXP(-LN(2)/25)*AV97+(1-EXP(-LN(2)/25))/(LN(2)/25)*Calculateur!AQ98*Calculateur!AS98*VLOOKUP('Données projet'!$B$10,Paramètres!$A$1:$I$89,3,0)*0.475*44/12</f>
        <v>4.0609343567564418</v>
      </c>
      <c r="AW98" s="21">
        <f>EXP(-LN(2)/2)*AW97+(1-EXP(-LN(2)/2))/(LN(2)/2)*AQ98*AT98*VLOOKUP('Données projet'!$B$10,Paramètres!$A$1:$I$89,3,0)*0.475*44/12</f>
        <v>1.5232515705870745E-9</v>
      </c>
      <c r="AX98" s="21">
        <f t="shared" si="60"/>
        <v>5.2767588932631666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8.3000000000000007</v>
      </c>
      <c r="BD98" s="12">
        <f>IF('Données projet'!$A$88&gt;35,BD97+BC98-BL97,IF(A98&lt;'Données projet'!$A$88,$BA$205^A98,IF(A98='Données projet'!$A$88,'Données projet'!$B$88,BD97+BC98-BL97)))</f>
        <v>277.5</v>
      </c>
      <c r="BE98" s="13">
        <f>BD98*VLOOKUP('Données projet'!$B$11,Paramètres!$A$1:$I$89,3,0)*VLOOKUP('Données projet'!$B$11,Paramètres!$A$1:$I$89,5,0)</f>
        <v>129.87</v>
      </c>
      <c r="BF98" s="13">
        <f t="shared" si="91"/>
        <v>33.966318400312318</v>
      </c>
      <c r="BG98" s="20">
        <f t="shared" si="61"/>
        <v>285.34825454721067</v>
      </c>
      <c r="BH98" s="59">
        <f t="shared" si="62"/>
        <v>568.07619655765779</v>
      </c>
      <c r="BI98" s="59">
        <f ca="1">AVERAGE(OFFSET($BH$3,0,0,'Données projet'!$E$11+1,1))-AVERAGE(OFFSET($H$3,0,0,'Données projet'!$E$11+1,1))</f>
        <v>210.62109466714364</v>
      </c>
      <c r="BJ98" s="59">
        <f t="shared" si="92"/>
        <v>193.35729443770401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1.8017698028733189</v>
      </c>
      <c r="BQ98" s="21">
        <f>EXP(-LN(2)/25)*BQ97+(1-EXP(-LN(2)/25))/(LN(2)/25)*Calculateur!BL98*Calculateur!BN98*VLOOKUP('Données projet'!$B$11,Paramètres!$A$1:$I$89,3,0)*0.475*44/12</f>
        <v>1.3215334640001863</v>
      </c>
      <c r="BR98" s="21">
        <f>EXP(-LN(2)/2)*BR97+(1-EXP(-LN(2)/2))/(LN(2)/2)*BL98*BO98*VLOOKUP('Données projet'!$B$11,Paramètres!$A$1:$I$89,3,0)*0.475*44/12</f>
        <v>1.303256433257613E-9</v>
      </c>
      <c r="BS98" s="22">
        <f t="shared" si="63"/>
        <v>3.1233032681767621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368.16165268258442</v>
      </c>
      <c r="CE98" s="59">
        <f t="shared" si="94"/>
        <v>291.32219253157041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2.0643204780463087</v>
      </c>
      <c r="CL98" s="21">
        <f>EXP(-LN(2)/25)*CL97+(1-EXP(-LN(2)/25))/(LN(2)/25)*Calculateur!CG98*Calculateur!CI98*VLOOKUP('Données projet'!$B$12,Paramètres!$A$1:$I$89,3,0)*0.475*44/12</f>
        <v>1.0957240985337156</v>
      </c>
      <c r="CM98" s="21">
        <f>EXP(-LN(2)/2)*CM97+(1-EXP(-LN(2)/2))/(LN(2)/2)*CG98*CJ98*VLOOKUP('Données projet'!$B$12,Paramètres!$A$1:$I$89,3,0)*0.475*44/12</f>
        <v>1.3043846232060978E-9</v>
      </c>
      <c r="CN98" s="22">
        <f t="shared" si="66"/>
        <v>3.1600445778844088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1.1368683772161603E-13</v>
      </c>
      <c r="CU98" s="17">
        <f>CT98*VLOOKUP('Données projet'!$B$13,Paramètres!$A$1:$I$89,3,0)*VLOOKUP('Données projet'!$B$13,Paramètres!$A$1:$I$89,5,0)</f>
        <v>6.7984728957526396E-14</v>
      </c>
      <c r="CV98" s="13">
        <f t="shared" si="95"/>
        <v>1.0682447123141398E-12</v>
      </c>
      <c r="CW98" s="20">
        <f t="shared" si="67"/>
        <v>1.978932943548152E-12</v>
      </c>
      <c r="CX98" s="59">
        <f t="shared" si="68"/>
        <v>282.72794201044917</v>
      </c>
      <c r="CY98" s="59">
        <f ca="1">AVERAGE(OFFSET($CX$3,0,0,'Données projet'!$E$13+1,1))-AVERAGE(OFFSET($H$3,0,0,'Données projet'!$E$13+1,1))</f>
        <v>317.12995176362455</v>
      </c>
      <c r="CZ98" s="59">
        <f t="shared" si="96"/>
        <v>328.11301015275262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4.9834397219171178</v>
      </c>
      <c r="DG98" s="21">
        <f>EXP(-LN(2)/25)*DG97+(1-EXP(-LN(2)/25))/(LN(2)/25)*Calculateur!DB98*Calculateur!DD98*VLOOKUP('Données projet'!$B$13,Paramètres!$A$1:$I$89,3,0)*0.475*44/12</f>
        <v>2.6598008981366354</v>
      </c>
      <c r="DH98" s="21">
        <f>EXP(-LN(2)/2)*DH97+(1-EXP(-LN(2)/2))/(LN(2)/2)*DB98*DE98*VLOOKUP('Données projet'!$B$13,Paramètres!$A$1:$I$89,3,0)*0.475*44/12</f>
        <v>9.4523917335266989E-10</v>
      </c>
      <c r="DI98" s="22">
        <f t="shared" si="69"/>
        <v>7.6432406209989923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2.8421709430404007E-14</v>
      </c>
      <c r="DP98" s="17">
        <f>DO98*VLOOKUP('Données projet'!$B$14,Paramètres!$A$1:$I$89,3,0)*VLOOKUP('Données projet'!$B$14,Paramètres!$A$1:$I$89,5,0)</f>
        <v>2.4829205358400945E-14</v>
      </c>
      <c r="DQ98" s="13">
        <f t="shared" si="97"/>
        <v>4.3867331143352915E-13</v>
      </c>
      <c r="DR98" s="20">
        <f t="shared" si="70"/>
        <v>8.0726688341261168E-13</v>
      </c>
      <c r="DS98" s="59">
        <f t="shared" si="71"/>
        <v>282.72794201044798</v>
      </c>
      <c r="DT98" s="59">
        <f ca="1">AVERAGE(OFFSET($DS$3,0,0,'Données projet'!$E$14+1,1))-AVERAGE(OFFSET($H$3,0,0,'Données projet'!$E$14+1,1))</f>
        <v>325.5873213944476</v>
      </c>
      <c r="DU98" s="59">
        <f t="shared" si="98"/>
        <v>347.9042278368363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0.8082284542341569</v>
      </c>
      <c r="EB98" s="21">
        <f>EXP(-LN(2)/25)*EB97+(1-EXP(-LN(2)/25))/(LN(2)/25)*Calculateur!DW98*Calculateur!DY98*VLOOKUP('Données projet'!$B$14,Paramètres!$A$1:$I$89,3,0)*0.475*44/12</f>
        <v>1.4553099657036399</v>
      </c>
      <c r="EC98" s="21">
        <f>EXP(-LN(2)/2)*EC97+(1-EXP(-LN(2)/2))/(LN(2)/2)*DW98*DZ98*VLOOKUP('Données projet'!$B$14,Paramètres!$A$1:$I$89,3,0)*0.475*44/12</f>
        <v>1.9673721878606376E-9</v>
      </c>
      <c r="ED98" s="22">
        <f t="shared" si="72"/>
        <v>2.2635384219051691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205.5480000480477</v>
      </c>
      <c r="EP98" s="59">
        <f t="shared" si="100"/>
        <v>229.86812144828366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2.030236074497989</v>
      </c>
      <c r="EW98" s="21">
        <f>EXP(-LN(2)/25)*EW97+(1-EXP(-LN(2)/25))/(LN(2)/25)*Calculateur!ER98*Calculateur!ET98*VLOOKUP('Données projet'!$B$15,Paramètres!$A$1:$I$89,3,0)*0.475*44/12</f>
        <v>0.99334827237948486</v>
      </c>
      <c r="EX98" s="21">
        <f>EXP(-LN(2)/2)*EX97+(1-EXP(-LN(2)/2))/(LN(2)/2)*ER98*EU98*VLOOKUP('Données projet'!$B$15,Paramètres!$A$1:$I$89,3,0)*0.475*44/12</f>
        <v>4.8698889417616836E-10</v>
      </c>
      <c r="EY98" s="22">
        <f t="shared" si="75"/>
        <v>3.023584347364463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3.05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16.773120000000024</v>
      </c>
      <c r="D99" s="11">
        <f t="shared" si="86"/>
        <v>5.5669954496137404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62.788671145712598</v>
      </c>
      <c r="H99" s="67">
        <f t="shared" si="56"/>
        <v>250.84236774141061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-3.4106051316484809E-13</v>
      </c>
      <c r="O99" s="13">
        <f>N99*VLOOKUP('Données projet'!$B$9,Paramètres!$A$1:$I$89,3,0)*VLOOKUP('Données projet'!$B$9,Paramètres!$A$1:$I$89,5,0)</f>
        <v>-1.9065282685915009E-13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542.23071537860039</v>
      </c>
      <c r="T99" s="59">
        <f t="shared" si="88"/>
        <v>667.26143680054633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1.9866382623869787</v>
      </c>
      <c r="AA99" s="21">
        <f>EXP(-LN(2)/25)*AA98+(1-EXP(-LN(2)/25))/(LN(2)/25)*Calculateur!V99*Calculateur!X99*VLOOKUP('Données projet'!$B$9,Paramètres!$A$1:$I$89,3,0)*0.475*44/12</f>
        <v>6.8362039126447955</v>
      </c>
      <c r="AB99" s="21">
        <f>EXP(-LN(2)/2)*AB98+(1-EXP(-LN(2)/2))/(LN(2)/2)*V99*Y99*VLOOKUP('Données projet'!$B$9,Paramètres!$A$1:$I$89,3,0)*0.475*44/12</f>
        <v>1.6784711932690863E-9</v>
      </c>
      <c r="AC99" s="22">
        <f t="shared" si="57"/>
        <v>8.8228421767102443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-1.2710188457276673E-13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427.83834708696861</v>
      </c>
      <c r="AO99" s="59">
        <f t="shared" si="90"/>
        <v>545.63950537101903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1.1919829574321885</v>
      </c>
      <c r="AV99" s="21">
        <f>EXP(-LN(2)/25)*AV98+(1-EXP(-LN(2)/25))/(LN(2)/25)*Calculateur!AQ99*Calculateur!AS99*VLOOKUP('Données projet'!$B$10,Paramètres!$A$1:$I$89,3,0)*0.475*44/12</f>
        <v>3.9498878932156805</v>
      </c>
      <c r="AW99" s="21">
        <f>EXP(-LN(2)/2)*AW98+(1-EXP(-LN(2)/2))/(LN(2)/2)*AQ99*AT99*VLOOKUP('Données projet'!$B$10,Paramètres!$A$1:$I$89,3,0)*0.475*44/12</f>
        <v>1.0771015150151793E-9</v>
      </c>
      <c r="AX99" s="21">
        <f t="shared" si="60"/>
        <v>5.1418708517249705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8.3000000000000007</v>
      </c>
      <c r="BD99" s="12">
        <f>IF('Données projet'!$A$88&gt;35,BD98+BC99-BL98,IF(A99&lt;'Données projet'!$A$88,$BA$205^A99,IF(A99='Données projet'!$A$88,'Données projet'!$B$88,BD98+BC99-BL98)))</f>
        <v>285.8</v>
      </c>
      <c r="BE99" s="13">
        <f>BD99*VLOOKUP('Données projet'!$B$11,Paramètres!$A$1:$I$89,3,0)*VLOOKUP('Données projet'!$B$11,Paramètres!$A$1:$I$89,5,0)</f>
        <v>133.7544</v>
      </c>
      <c r="BF99" s="13">
        <f t="shared" si="91"/>
        <v>34.862448215373981</v>
      </c>
      <c r="BG99" s="20">
        <f t="shared" si="61"/>
        <v>293.67434397510965</v>
      </c>
      <c r="BH99" s="59">
        <f t="shared" si="62"/>
        <v>576.58626581490603</v>
      </c>
      <c r="BI99" s="59">
        <f ca="1">AVERAGE(OFFSET($BH$3,0,0,'Données projet'!$E$11+1,1))-AVERAGE(OFFSET($H$3,0,0,'Données projet'!$E$11+1,1))</f>
        <v>210.62109466714364</v>
      </c>
      <c r="BJ99" s="59">
        <f t="shared" si="92"/>
        <v>193.35729443770401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1.7664381960100384</v>
      </c>
      <c r="BQ99" s="21">
        <f>EXP(-LN(2)/25)*BQ98+(1-EXP(-LN(2)/25))/(LN(2)/25)*Calculateur!BL99*Calculateur!BN99*VLOOKUP('Données projet'!$B$11,Paramètres!$A$1:$I$89,3,0)*0.475*44/12</f>
        <v>1.2853960619306768</v>
      </c>
      <c r="BR99" s="21">
        <f>EXP(-LN(2)/2)*BR98+(1-EXP(-LN(2)/2))/(LN(2)/2)*BL99*BO99*VLOOKUP('Données projet'!$B$11,Paramètres!$A$1:$I$89,3,0)*0.475*44/12</f>
        <v>9.2154146158145135E-10</v>
      </c>
      <c r="BS99" s="22">
        <f t="shared" si="63"/>
        <v>3.0518342588622569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368.16165268258442</v>
      </c>
      <c r="CE99" s="59">
        <f t="shared" si="94"/>
        <v>291.32219253157041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2.0238404125829854</v>
      </c>
      <c r="CL99" s="21">
        <f>EXP(-LN(2)/25)*CL98+(1-EXP(-LN(2)/25))/(LN(2)/25)*Calculateur!CG99*Calculateur!CI99*VLOOKUP('Données projet'!$B$12,Paramètres!$A$1:$I$89,3,0)*0.475*44/12</f>
        <v>1.065761465437685</v>
      </c>
      <c r="CM99" s="21">
        <f>EXP(-LN(2)/2)*CM98+(1-EXP(-LN(2)/2))/(LN(2)/2)*CG99*CJ99*VLOOKUP('Données projet'!$B$12,Paramètres!$A$1:$I$89,3,0)*0.475*44/12</f>
        <v>9.2233921234449149E-10</v>
      </c>
      <c r="CN99" s="22">
        <f t="shared" si="66"/>
        <v>3.0896018789430095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1.1368683772161603E-13</v>
      </c>
      <c r="CU99" s="17">
        <f>CT99*VLOOKUP('Données projet'!$B$13,Paramètres!$A$1:$I$89,3,0)*VLOOKUP('Données projet'!$B$13,Paramètres!$A$1:$I$89,5,0)</f>
        <v>6.7984728957526396E-14</v>
      </c>
      <c r="CV99" s="13">
        <f t="shared" si="95"/>
        <v>1.0682447123141398E-12</v>
      </c>
      <c r="CW99" s="20">
        <f t="shared" si="67"/>
        <v>1.978932943548152E-12</v>
      </c>
      <c r="CX99" s="59">
        <f t="shared" si="68"/>
        <v>282.91192183979831</v>
      </c>
      <c r="CY99" s="59">
        <f ca="1">AVERAGE(OFFSET($CX$3,0,0,'Données projet'!$E$13+1,1))-AVERAGE(OFFSET($H$3,0,0,'Données projet'!$E$13+1,1))</f>
        <v>317.12995176362455</v>
      </c>
      <c r="CZ99" s="59">
        <f t="shared" si="96"/>
        <v>328.11301015275262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4.8857175085684181</v>
      </c>
      <c r="DG99" s="21">
        <f>EXP(-LN(2)/25)*DG98+(1-EXP(-LN(2)/25))/(LN(2)/25)*Calculateur!DB99*Calculateur!DD99*VLOOKUP('Données projet'!$B$13,Paramètres!$A$1:$I$89,3,0)*0.475*44/12</f>
        <v>2.587068502704239</v>
      </c>
      <c r="DH99" s="21">
        <f>EXP(-LN(2)/2)*DH98+(1-EXP(-LN(2)/2))/(LN(2)/2)*DB99*DE99*VLOOKUP('Données projet'!$B$13,Paramètres!$A$1:$I$89,3,0)*0.475*44/12</f>
        <v>6.6838502932083942E-10</v>
      </c>
      <c r="DI99" s="22">
        <f t="shared" si="69"/>
        <v>7.4727860119410421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2.8421709430404007E-14</v>
      </c>
      <c r="DP99" s="17">
        <f>DO99*VLOOKUP('Données projet'!$B$14,Paramètres!$A$1:$I$89,3,0)*VLOOKUP('Données projet'!$B$14,Paramètres!$A$1:$I$89,5,0)</f>
        <v>2.4829205358400945E-14</v>
      </c>
      <c r="DQ99" s="13">
        <f t="shared" si="97"/>
        <v>4.3867331143352915E-13</v>
      </c>
      <c r="DR99" s="20">
        <f t="shared" si="70"/>
        <v>8.0726688341261168E-13</v>
      </c>
      <c r="DS99" s="59">
        <f t="shared" si="71"/>
        <v>282.91192183979712</v>
      </c>
      <c r="DT99" s="59">
        <f ca="1">AVERAGE(OFFSET($DS$3,0,0,'Données projet'!$E$14+1,1))-AVERAGE(OFFSET($H$3,0,0,'Données projet'!$E$14+1,1))</f>
        <v>325.5873213944476</v>
      </c>
      <c r="DU99" s="59">
        <f t="shared" si="98"/>
        <v>347.9042278368363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0.79237958721730539</v>
      </c>
      <c r="EB99" s="21">
        <f>EXP(-LN(2)/25)*EB98+(1-EXP(-LN(2)/25))/(LN(2)/25)*Calculateur!DW99*Calculateur!DY99*VLOOKUP('Données projet'!$B$14,Paramètres!$A$1:$I$89,3,0)*0.475*44/12</f>
        <v>1.4155144381600488</v>
      </c>
      <c r="EC99" s="21">
        <f>EXP(-LN(2)/2)*EC98+(1-EXP(-LN(2)/2))/(LN(2)/2)*DW99*DZ99*VLOOKUP('Données projet'!$B$14,Paramètres!$A$1:$I$89,3,0)*0.475*44/12</f>
        <v>1.3911422151540711E-9</v>
      </c>
      <c r="ED99" s="22">
        <f t="shared" si="72"/>
        <v>2.2078940267684963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205.5480000480477</v>
      </c>
      <c r="EP99" s="59">
        <f t="shared" si="100"/>
        <v>229.86812144828366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1.9904243833988149</v>
      </c>
      <c r="EW99" s="21">
        <f>EXP(-LN(2)/25)*EW98+(1-EXP(-LN(2)/25))/(LN(2)/25)*Calculateur!ER99*Calculateur!ET99*VLOOKUP('Données projet'!$B$15,Paramètres!$A$1:$I$89,3,0)*0.475*44/12</f>
        <v>0.96618511163335252</v>
      </c>
      <c r="EX99" s="21">
        <f>EXP(-LN(2)/2)*EX98+(1-EXP(-LN(2)/2))/(LN(2)/2)*ER99*EU99*VLOOKUP('Données projet'!$B$15,Paramètres!$A$1:$I$89,3,0)*0.475*44/12</f>
        <v>3.4435314943450663E-10</v>
      </c>
      <c r="EY99" s="22">
        <f t="shared" si="75"/>
        <v>2.9566094953765205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3.05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16.947840000000024</v>
      </c>
      <c r="D100" s="11">
        <f t="shared" si="86"/>
        <v>5.6182040593416493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63.346754448338736</v>
      </c>
      <c r="H100" s="67">
        <f t="shared" si="56"/>
        <v>251.23586007002007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-3.4106051316484809E-13</v>
      </c>
      <c r="O100" s="13">
        <f>N100*VLOOKUP('Données projet'!$B$9,Paramètres!$A$1:$I$89,3,0)*VLOOKUP('Données projet'!$B$9,Paramètres!$A$1:$I$89,5,0)</f>
        <v>-1.9065282685915009E-13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542.23071537860039</v>
      </c>
      <c r="T100" s="59">
        <f t="shared" si="88"/>
        <v>667.26143680054633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1.9476814977912618</v>
      </c>
      <c r="AA100" s="21">
        <f>EXP(-LN(2)/25)*AA99+(1-EXP(-LN(2)/25))/(LN(2)/25)*Calculateur!V100*Calculateur!X100*VLOOKUP('Données projet'!$B$9,Paramètres!$A$1:$I$89,3,0)*0.475*44/12</f>
        <v>6.6492675571531841</v>
      </c>
      <c r="AB100" s="21">
        <f>EXP(-LN(2)/2)*AB99+(1-EXP(-LN(2)/2))/(LN(2)/2)*V100*Y100*VLOOKUP('Données projet'!$B$9,Paramètres!$A$1:$I$89,3,0)*0.475*44/12</f>
        <v>1.1868583627868471E-9</v>
      </c>
      <c r="AC100" s="22">
        <f t="shared" si="57"/>
        <v>8.5969490561313044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-1.2710188457276673E-13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427.83834708696861</v>
      </c>
      <c r="AO100" s="59">
        <f t="shared" si="90"/>
        <v>545.63950537101903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1.1686088986747583</v>
      </c>
      <c r="AV100" s="21">
        <f>EXP(-LN(2)/25)*AV99+(1-EXP(-LN(2)/25))/(LN(2)/25)*Calculateur!AQ100*Calculateur!AS100*VLOOKUP('Données projet'!$B$10,Paramètres!$A$1:$I$89,3,0)*0.475*44/12</f>
        <v>3.8418780010601208</v>
      </c>
      <c r="AW100" s="21">
        <f>EXP(-LN(2)/2)*AW99+(1-EXP(-LN(2)/2))/(LN(2)/2)*AQ100*AT100*VLOOKUP('Données projet'!$B$10,Paramètres!$A$1:$I$89,3,0)*0.475*44/12</f>
        <v>7.6162578529353727E-10</v>
      </c>
      <c r="AX100" s="21">
        <f t="shared" si="60"/>
        <v>5.0104869004965042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8.3000000000000007</v>
      </c>
      <c r="BD100" s="12">
        <f>IF('Données projet'!$A$88&gt;35,BD99+BC100-BL99,IF(A100&lt;'Données projet'!$A$88,$BA$205^A100,IF(A100='Données projet'!$A$88,'Données projet'!$B$88,BD99+BC100-BL99)))</f>
        <v>294.10000000000002</v>
      </c>
      <c r="BE100" s="13">
        <f>BD100*VLOOKUP('Données projet'!$B$11,Paramètres!$A$1:$I$89,3,0)*VLOOKUP('Données projet'!$B$11,Paramètres!$A$1:$I$89,5,0)</f>
        <v>137.6388</v>
      </c>
      <c r="BF100" s="13">
        <f t="shared" si="91"/>
        <v>35.755553413044268</v>
      </c>
      <c r="BG100" s="20">
        <f t="shared" si="61"/>
        <v>301.99516552771871</v>
      </c>
      <c r="BH100" s="59">
        <f t="shared" si="62"/>
        <v>585.08787555814229</v>
      </c>
      <c r="BI100" s="59">
        <f ca="1">AVERAGE(OFFSET($BH$3,0,0,'Données projet'!$E$11+1,1))-AVERAGE(OFFSET($H$3,0,0,'Données projet'!$E$11+1,1))</f>
        <v>210.62109466714364</v>
      </c>
      <c r="BJ100" s="59">
        <f t="shared" si="92"/>
        <v>193.35729443770401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1.7317994204071947</v>
      </c>
      <c r="BQ100" s="21">
        <f>EXP(-LN(2)/25)*BQ99+(1-EXP(-LN(2)/25))/(LN(2)/25)*Calculateur!BL100*Calculateur!BN100*VLOOKUP('Données projet'!$B$11,Paramètres!$A$1:$I$89,3,0)*0.475*44/12</f>
        <v>1.2502468390211414</v>
      </c>
      <c r="BR100" s="21">
        <f>EXP(-LN(2)/2)*BR99+(1-EXP(-LN(2)/2))/(LN(2)/2)*BL100*BO100*VLOOKUP('Données projet'!$B$11,Paramètres!$A$1:$I$89,3,0)*0.475*44/12</f>
        <v>6.5162821662880658E-10</v>
      </c>
      <c r="BS100" s="22">
        <f t="shared" si="63"/>
        <v>2.9820462600799642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368.16165268258442</v>
      </c>
      <c r="CE100" s="59">
        <f t="shared" si="94"/>
        <v>291.32219253157041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1.9841541365129958</v>
      </c>
      <c r="CL100" s="21">
        <f>EXP(-LN(2)/25)*CL99+(1-EXP(-LN(2)/25))/(LN(2)/25)*Calculateur!CG100*Calculateur!CI100*VLOOKUP('Données projet'!$B$12,Paramètres!$A$1:$I$89,3,0)*0.475*44/12</f>
        <v>1.0366181621193318</v>
      </c>
      <c r="CM100" s="21">
        <f>EXP(-LN(2)/2)*CM99+(1-EXP(-LN(2)/2))/(LN(2)/2)*CG100*CJ100*VLOOKUP('Données projet'!$B$12,Paramètres!$A$1:$I$89,3,0)*0.475*44/12</f>
        <v>6.5219231160304899E-10</v>
      </c>
      <c r="CN100" s="22">
        <f t="shared" si="66"/>
        <v>3.0207722992845203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1.1368683772161603E-13</v>
      </c>
      <c r="CU100" s="17">
        <f>CT100*VLOOKUP('Données projet'!$B$13,Paramètres!$A$1:$I$89,3,0)*VLOOKUP('Données projet'!$B$13,Paramètres!$A$1:$I$89,5,0)</f>
        <v>6.7984728957526396E-14</v>
      </c>
      <c r="CV100" s="13">
        <f t="shared" si="95"/>
        <v>1.0682447123141398E-12</v>
      </c>
      <c r="CW100" s="20">
        <f t="shared" si="67"/>
        <v>1.978932943548152E-12</v>
      </c>
      <c r="CX100" s="59">
        <f t="shared" si="68"/>
        <v>283.09271003042551</v>
      </c>
      <c r="CY100" s="59">
        <f ca="1">AVERAGE(OFFSET($CX$3,0,0,'Données projet'!$E$13+1,1))-AVERAGE(OFFSET($H$3,0,0,'Données projet'!$E$13+1,1))</f>
        <v>317.12995176362455</v>
      </c>
      <c r="CZ100" s="59">
        <f t="shared" si="96"/>
        <v>328.11301015275262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4.7899115682188214</v>
      </c>
      <c r="DG100" s="21">
        <f>EXP(-LN(2)/25)*DG99+(1-EXP(-LN(2)/25))/(LN(2)/25)*Calculateur!DB100*Calculateur!DD100*VLOOKUP('Données projet'!$B$13,Paramètres!$A$1:$I$89,3,0)*0.475*44/12</f>
        <v>2.5163249784497719</v>
      </c>
      <c r="DH100" s="21">
        <f>EXP(-LN(2)/2)*DH99+(1-EXP(-LN(2)/2))/(LN(2)/2)*DB100*DE100*VLOOKUP('Données projet'!$B$13,Paramètres!$A$1:$I$89,3,0)*0.475*44/12</f>
        <v>4.7261958667633495E-10</v>
      </c>
      <c r="DI100" s="22">
        <f t="shared" si="69"/>
        <v>7.3062365471412125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2.8421709430404007E-14</v>
      </c>
      <c r="DP100" s="17">
        <f>DO100*VLOOKUP('Données projet'!$B$14,Paramètres!$A$1:$I$89,3,0)*VLOOKUP('Données projet'!$B$14,Paramètres!$A$1:$I$89,5,0)</f>
        <v>2.4829205358400945E-14</v>
      </c>
      <c r="DQ100" s="13">
        <f t="shared" si="97"/>
        <v>4.3867331143352915E-13</v>
      </c>
      <c r="DR100" s="20">
        <f t="shared" si="70"/>
        <v>8.0726688341261168E-13</v>
      </c>
      <c r="DS100" s="59">
        <f t="shared" si="71"/>
        <v>283.09271003042431</v>
      </c>
      <c r="DT100" s="59">
        <f ca="1">AVERAGE(OFFSET($DS$3,0,0,'Données projet'!$E$14+1,1))-AVERAGE(OFFSET($H$3,0,0,'Données projet'!$E$14+1,1))</f>
        <v>325.5873213944476</v>
      </c>
      <c r="DU100" s="59">
        <f t="shared" si="98"/>
        <v>347.9042278368363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0.7768415068158</v>
      </c>
      <c r="EB100" s="21">
        <f>EXP(-LN(2)/25)*EB99+(1-EXP(-LN(2)/25))/(LN(2)/25)*Calculateur!DW100*Calculateur!DY100*VLOOKUP('Données projet'!$B$14,Paramètres!$A$1:$I$89,3,0)*0.475*44/12</f>
        <v>1.3768071214098931</v>
      </c>
      <c r="EC100" s="21">
        <f>EXP(-LN(2)/2)*EC99+(1-EXP(-LN(2)/2))/(LN(2)/2)*DW100*DZ100*VLOOKUP('Données projet'!$B$14,Paramètres!$A$1:$I$89,3,0)*0.475*44/12</f>
        <v>9.8368609393031879E-10</v>
      </c>
      <c r="ED100" s="22">
        <f t="shared" si="72"/>
        <v>2.1536486292093793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205.5480000480477</v>
      </c>
      <c r="EP100" s="59">
        <f t="shared" si="100"/>
        <v>229.86812144828366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1.9513933752793615</v>
      </c>
      <c r="EW100" s="21">
        <f>EXP(-LN(2)/25)*EW99+(1-EXP(-LN(2)/25))/(LN(2)/25)*Calculateur!ER100*Calculateur!ET100*VLOOKUP('Données projet'!$B$15,Paramètres!$A$1:$I$89,3,0)*0.475*44/12</f>
        <v>0.93976472894627172</v>
      </c>
      <c r="EX100" s="21">
        <f>EXP(-LN(2)/2)*EX99+(1-EXP(-LN(2)/2))/(LN(2)/2)*ER100*EU100*VLOOKUP('Données projet'!$B$15,Paramètres!$A$1:$I$89,3,0)*0.475*44/12</f>
        <v>2.4349444708808418E-10</v>
      </c>
      <c r="EY100" s="22">
        <f t="shared" si="75"/>
        <v>2.8911581044691279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3.05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17.122560000000025</v>
      </c>
      <c r="D101" s="11">
        <f t="shared" si="86"/>
        <v>5.669351254442824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63.904686046062338</v>
      </c>
      <c r="H101" s="67">
        <f t="shared" si="56"/>
        <v>251.62924543482126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-3.4106051316484809E-13</v>
      </c>
      <c r="O101" s="13">
        <f>N101*VLOOKUP('Données projet'!$B$9,Paramètres!$A$1:$I$89,3,0)*VLOOKUP('Données projet'!$B$9,Paramètres!$A$1:$I$89,5,0)</f>
        <v>-1.9065282685915009E-13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542.23071537860039</v>
      </c>
      <c r="T101" s="59">
        <f t="shared" si="88"/>
        <v>667.26143680054633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1.9094886515879865</v>
      </c>
      <c r="AA101" s="21">
        <f>EXP(-LN(2)/25)*AA100+(1-EXP(-LN(2)/25))/(LN(2)/25)*Calculateur!V101*Calculateur!X101*VLOOKUP('Données projet'!$B$9,Paramètres!$A$1:$I$89,3,0)*0.475*44/12</f>
        <v>6.4674429861330465</v>
      </c>
      <c r="AB101" s="21">
        <f>EXP(-LN(2)/2)*AB100+(1-EXP(-LN(2)/2))/(LN(2)/2)*V101*Y101*VLOOKUP('Données projet'!$B$9,Paramètres!$A$1:$I$89,3,0)*0.475*44/12</f>
        <v>8.3923559663454313E-10</v>
      </c>
      <c r="AC101" s="22">
        <f t="shared" si="57"/>
        <v>8.3769316385602686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-1.2710188457276673E-13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427.83834708696861</v>
      </c>
      <c r="AO101" s="59">
        <f t="shared" si="90"/>
        <v>545.63950537101903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1.1456931909527932</v>
      </c>
      <c r="AV101" s="21">
        <f>EXP(-LN(2)/25)*AV100+(1-EXP(-LN(2)/25))/(LN(2)/25)*Calculateur!AQ101*Calculateur!AS101*VLOOKUP('Données projet'!$B$10,Paramètres!$A$1:$I$89,3,0)*0.475*44/12</f>
        <v>3.7368216450855485</v>
      </c>
      <c r="AW101" s="21">
        <f>EXP(-LN(2)/2)*AW100+(1-EXP(-LN(2)/2))/(LN(2)/2)*AQ101*AT101*VLOOKUP('Données projet'!$B$10,Paramètres!$A$1:$I$89,3,0)*0.475*44/12</f>
        <v>5.3855075750758967E-10</v>
      </c>
      <c r="AX101" s="21">
        <f t="shared" si="60"/>
        <v>4.8825148365768918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8.3000000000000007</v>
      </c>
      <c r="BD101" s="12">
        <f>IF('Données projet'!$A$88&gt;35,BD100+BC101-BL100,IF(A101&lt;'Données projet'!$A$88,$BA$205^A101,IF(A101='Données projet'!$A$88,'Données projet'!$B$88,BD100+BC101-BL100)))</f>
        <v>302.40000000000003</v>
      </c>
      <c r="BE101" s="13">
        <f>BD101*VLOOKUP('Données projet'!$B$11,Paramètres!$A$1:$I$89,3,0)*VLOOKUP('Données projet'!$B$11,Paramètres!$A$1:$I$89,5,0)</f>
        <v>141.5232</v>
      </c>
      <c r="BF101" s="13">
        <f t="shared" si="91"/>
        <v>36.645729158274158</v>
      </c>
      <c r="BG101" s="20">
        <f t="shared" si="61"/>
        <v>310.31088495066075</v>
      </c>
      <c r="BH101" s="59">
        <f t="shared" si="62"/>
        <v>593.58124690078591</v>
      </c>
      <c r="BI101" s="59">
        <f ca="1">AVERAGE(OFFSET($BH$3,0,0,'Données projet'!$E$11+1,1))-AVERAGE(OFFSET($H$3,0,0,'Données projet'!$E$11+1,1))</f>
        <v>210.62109466714364</v>
      </c>
      <c r="BJ101" s="59">
        <f t="shared" si="92"/>
        <v>193.35729443770401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1.6978398900663558</v>
      </c>
      <c r="BQ101" s="21">
        <f>EXP(-LN(2)/25)*BQ100+(1-EXP(-LN(2)/25))/(LN(2)/25)*Calculateur!BL101*Calculateur!BN101*VLOOKUP('Données projet'!$B$11,Paramètres!$A$1:$I$89,3,0)*0.475*44/12</f>
        <v>1.2160587734604846</v>
      </c>
      <c r="BR101" s="21">
        <f>EXP(-LN(2)/2)*BR100+(1-EXP(-LN(2)/2))/(LN(2)/2)*BL101*BO101*VLOOKUP('Données projet'!$B$11,Paramètres!$A$1:$I$89,3,0)*0.475*44/12</f>
        <v>4.6077073079072578E-10</v>
      </c>
      <c r="BS101" s="22">
        <f t="shared" si="63"/>
        <v>2.9138986639876108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368.16165268258442</v>
      </c>
      <c r="CE101" s="59">
        <f t="shared" si="94"/>
        <v>291.32219253157041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1.9452460841105004</v>
      </c>
      <c r="CL101" s="21">
        <f>EXP(-LN(2)/25)*CL100+(1-EXP(-LN(2)/25))/(LN(2)/25)*Calculateur!CG101*Calculateur!CI101*VLOOKUP('Données projet'!$B$12,Paramètres!$A$1:$I$89,3,0)*0.475*44/12</f>
        <v>1.0082717839627988</v>
      </c>
      <c r="CM101" s="21">
        <f>EXP(-LN(2)/2)*CM100+(1-EXP(-LN(2)/2))/(LN(2)/2)*CG101*CJ101*VLOOKUP('Données projet'!$B$12,Paramètres!$A$1:$I$89,3,0)*0.475*44/12</f>
        <v>4.611696061722458E-10</v>
      </c>
      <c r="CN101" s="22">
        <f t="shared" si="66"/>
        <v>2.953517868534469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1.1368683772161603E-13</v>
      </c>
      <c r="CU101" s="17">
        <f>CT101*VLOOKUP('Données projet'!$B$13,Paramètres!$A$1:$I$89,3,0)*VLOOKUP('Données projet'!$B$13,Paramètres!$A$1:$I$89,5,0)</f>
        <v>6.7984728957526396E-14</v>
      </c>
      <c r="CV101" s="13">
        <f t="shared" si="95"/>
        <v>1.0682447123141398E-12</v>
      </c>
      <c r="CW101" s="20">
        <f t="shared" si="67"/>
        <v>1.978932943548152E-12</v>
      </c>
      <c r="CX101" s="59">
        <f t="shared" si="68"/>
        <v>283.27036195012715</v>
      </c>
      <c r="CY101" s="59">
        <f ca="1">AVERAGE(OFFSET($CX$3,0,0,'Données projet'!$E$13+1,1))-AVERAGE(OFFSET($H$3,0,0,'Données projet'!$E$13+1,1))</f>
        <v>317.12995176362455</v>
      </c>
      <c r="CZ101" s="59">
        <f t="shared" si="96"/>
        <v>328.11301015275262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4.6959843239236267</v>
      </c>
      <c r="DG101" s="21">
        <f>EXP(-LN(2)/25)*DG100+(1-EXP(-LN(2)/25))/(LN(2)/25)*Calculateur!DB101*Calculateur!DD101*VLOOKUP('Données projet'!$B$13,Paramètres!$A$1:$I$89,3,0)*0.475*44/12</f>
        <v>2.4475159395862836</v>
      </c>
      <c r="DH101" s="21">
        <f>EXP(-LN(2)/2)*DH100+(1-EXP(-LN(2)/2))/(LN(2)/2)*DB101*DE101*VLOOKUP('Données projet'!$B$13,Paramètres!$A$1:$I$89,3,0)*0.475*44/12</f>
        <v>3.3419251466041971E-10</v>
      </c>
      <c r="DI101" s="22">
        <f t="shared" si="69"/>
        <v>7.1435002638441025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2.8421709430404007E-14</v>
      </c>
      <c r="DP101" s="17">
        <f>DO101*VLOOKUP('Données projet'!$B$14,Paramètres!$A$1:$I$89,3,0)*VLOOKUP('Données projet'!$B$14,Paramètres!$A$1:$I$89,5,0)</f>
        <v>2.4829205358400945E-14</v>
      </c>
      <c r="DQ101" s="13">
        <f t="shared" si="97"/>
        <v>4.3867331143352915E-13</v>
      </c>
      <c r="DR101" s="20">
        <f t="shared" si="70"/>
        <v>8.0726688341261168E-13</v>
      </c>
      <c r="DS101" s="59">
        <f t="shared" si="71"/>
        <v>283.27036195012596</v>
      </c>
      <c r="DT101" s="59">
        <f ca="1">AVERAGE(OFFSET($DS$3,0,0,'Données projet'!$E$14+1,1))-AVERAGE(OFFSET($H$3,0,0,'Données projet'!$E$14+1,1))</f>
        <v>325.5873213944476</v>
      </c>
      <c r="DU101" s="59">
        <f t="shared" si="98"/>
        <v>347.9042278368363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0.76160811869367484</v>
      </c>
      <c r="EB101" s="21">
        <f>EXP(-LN(2)/25)*EB100+(1-EXP(-LN(2)/25))/(LN(2)/25)*Calculateur!DW101*Calculateur!DY101*VLOOKUP('Données projet'!$B$14,Paramètres!$A$1:$I$89,3,0)*0.475*44/12</f>
        <v>1.3391582582717998</v>
      </c>
      <c r="EC101" s="21">
        <f>EXP(-LN(2)/2)*EC100+(1-EXP(-LN(2)/2))/(LN(2)/2)*DW101*DZ101*VLOOKUP('Données projet'!$B$14,Paramètres!$A$1:$I$89,3,0)*0.475*44/12</f>
        <v>6.9557110757703557E-10</v>
      </c>
      <c r="ED101" s="22">
        <f t="shared" si="72"/>
        <v>2.1007663776610457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205.5480000480477</v>
      </c>
      <c r="EP101" s="59">
        <f t="shared" si="100"/>
        <v>229.86812144828366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1.9131277414225665</v>
      </c>
      <c r="EW101" s="21">
        <f>EXP(-LN(2)/25)*EW100+(1-EXP(-LN(2)/25))/(LN(2)/25)*Calculateur!ER101*Calculateur!ET101*VLOOKUP('Données projet'!$B$15,Paramètres!$A$1:$I$89,3,0)*0.475*44/12</f>
        <v>0.91406681301315673</v>
      </c>
      <c r="EX101" s="21">
        <f>EXP(-LN(2)/2)*EX100+(1-EXP(-LN(2)/2))/(LN(2)/2)*ER101*EU101*VLOOKUP('Données projet'!$B$15,Paramètres!$A$1:$I$89,3,0)*0.475*44/12</f>
        <v>1.7217657471725332E-10</v>
      </c>
      <c r="EY101" s="22">
        <f t="shared" si="75"/>
        <v>2.8271945546078996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3.05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17.297280000000026</v>
      </c>
      <c r="D102" s="11">
        <f t="shared" si="86"/>
        <v>5.7204377341517061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64.462467666115174</v>
      </c>
      <c r="H102" s="67">
        <f t="shared" si="56"/>
        <v>252.02252505364757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-3.4106051316484809E-13</v>
      </c>
      <c r="O102" s="13">
        <f>N102*VLOOKUP('Données projet'!$B$9,Paramètres!$A$1:$I$89,3,0)*VLOOKUP('Données projet'!$B$9,Paramètres!$A$1:$I$89,5,0)</f>
        <v>-1.9065282685915009E-13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542.23071537860039</v>
      </c>
      <c r="T102" s="59">
        <f t="shared" si="88"/>
        <v>667.26143680054633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1.8720447438034216</v>
      </c>
      <c r="AA102" s="21">
        <f>EXP(-LN(2)/25)*AA101+(1-EXP(-LN(2)/25))/(LN(2)/25)*Calculateur!V102*Calculateur!X102*VLOOKUP('Données projet'!$B$9,Paramètres!$A$1:$I$89,3,0)*0.475*44/12</f>
        <v>6.2905904175691933</v>
      </c>
      <c r="AB102" s="21">
        <f>EXP(-LN(2)/2)*AB101+(1-EXP(-LN(2)/2))/(LN(2)/2)*V102*Y102*VLOOKUP('Données projet'!$B$9,Paramètres!$A$1:$I$89,3,0)*0.475*44/12</f>
        <v>5.9342918139342354E-10</v>
      </c>
      <c r="AC102" s="22">
        <f t="shared" si="57"/>
        <v>8.162635161966044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-1.2710188457276673E-13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427.83834708696861</v>
      </c>
      <c r="AO102" s="59">
        <f t="shared" si="90"/>
        <v>545.63950537101903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1.1232268462820543</v>
      </c>
      <c r="AV102" s="21">
        <f>EXP(-LN(2)/25)*AV101+(1-EXP(-LN(2)/25))/(LN(2)/25)*Calculateur!AQ102*Calculateur!AS102*VLOOKUP('Données projet'!$B$10,Paramètres!$A$1:$I$89,3,0)*0.475*44/12</f>
        <v>3.6346380606897744</v>
      </c>
      <c r="AW102" s="21">
        <f>EXP(-LN(2)/2)*AW101+(1-EXP(-LN(2)/2))/(LN(2)/2)*AQ102*AT102*VLOOKUP('Données projet'!$B$10,Paramètres!$A$1:$I$89,3,0)*0.475*44/12</f>
        <v>3.8081289264676863E-10</v>
      </c>
      <c r="AX102" s="21">
        <f t="shared" si="60"/>
        <v>4.7578649073526416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8.3000000000000007</v>
      </c>
      <c r="BD102" s="12">
        <f>IF('Données projet'!$A$88&gt;35,BD101+BC102-BL101,IF(A102&lt;'Données projet'!$A$88,$BA$205^A102,IF(A102='Données projet'!$A$88,'Données projet'!$B$88,BD101+BC102-BL101)))</f>
        <v>310.70000000000005</v>
      </c>
      <c r="BE102" s="13">
        <f>BD102*VLOOKUP('Données projet'!$B$11,Paramètres!$A$1:$I$89,3,0)*VLOOKUP('Données projet'!$B$11,Paramètres!$A$1:$I$89,5,0)</f>
        <v>145.40760000000003</v>
      </c>
      <c r="BF102" s="13">
        <f t="shared" si="91"/>
        <v>37.533065094701932</v>
      </c>
      <c r="BG102" s="20">
        <f t="shared" si="61"/>
        <v>318.62165837327257</v>
      </c>
      <c r="BH102" s="59">
        <f t="shared" si="62"/>
        <v>602.0665903794627</v>
      </c>
      <c r="BI102" s="59">
        <f ca="1">AVERAGE(OFFSET($BH$3,0,0,'Données projet'!$E$11+1,1))-AVERAGE(OFFSET($H$3,0,0,'Données projet'!$E$11+1,1))</f>
        <v>210.62109466714364</v>
      </c>
      <c r="BJ102" s="59">
        <f t="shared" si="92"/>
        <v>193.35729443770401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1.6645462854022326</v>
      </c>
      <c r="BQ102" s="21">
        <f>EXP(-LN(2)/25)*BQ101+(1-EXP(-LN(2)/25))/(LN(2)/25)*Calculateur!BL102*Calculateur!BN102*VLOOKUP('Données projet'!$B$11,Paramètres!$A$1:$I$89,3,0)*0.475*44/12</f>
        <v>1.1828055823504562</v>
      </c>
      <c r="BR102" s="21">
        <f>EXP(-LN(2)/2)*BR101+(1-EXP(-LN(2)/2))/(LN(2)/2)*BL102*BO102*VLOOKUP('Données projet'!$B$11,Paramètres!$A$1:$I$89,3,0)*0.475*44/12</f>
        <v>3.2581410831440334E-10</v>
      </c>
      <c r="BS102" s="22">
        <f t="shared" si="63"/>
        <v>2.847351868078503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368.16165268258442</v>
      </c>
      <c r="CE102" s="59">
        <f t="shared" si="94"/>
        <v>291.32219253157041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1.9071009948840494</v>
      </c>
      <c r="CL102" s="21">
        <f>EXP(-LN(2)/25)*CL101+(1-EXP(-LN(2)/25))/(LN(2)/25)*Calculateur!CG102*Calculateur!CI102*VLOOKUP('Données projet'!$B$12,Paramètres!$A$1:$I$89,3,0)*0.475*44/12</f>
        <v>0.98070053900762744</v>
      </c>
      <c r="CM102" s="21">
        <f>EXP(-LN(2)/2)*CM101+(1-EXP(-LN(2)/2))/(LN(2)/2)*CG102*CJ102*VLOOKUP('Données projet'!$B$12,Paramètres!$A$1:$I$89,3,0)*0.475*44/12</f>
        <v>3.2609615580152455E-10</v>
      </c>
      <c r="CN102" s="22">
        <f t="shared" si="66"/>
        <v>2.8878015342177727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1.1368683772161603E-13</v>
      </c>
      <c r="CU102" s="17">
        <f>CT102*VLOOKUP('Données projet'!$B$13,Paramètres!$A$1:$I$89,3,0)*VLOOKUP('Données projet'!$B$13,Paramètres!$A$1:$I$89,5,0)</f>
        <v>6.7984728957526396E-14</v>
      </c>
      <c r="CV102" s="13">
        <f t="shared" si="95"/>
        <v>1.0682447123141398E-12</v>
      </c>
      <c r="CW102" s="20">
        <f t="shared" si="67"/>
        <v>1.978932943548152E-12</v>
      </c>
      <c r="CX102" s="59">
        <f t="shared" si="68"/>
        <v>283.44493200619218</v>
      </c>
      <c r="CY102" s="59">
        <f ca="1">AVERAGE(OFFSET($CX$3,0,0,'Données projet'!$E$13+1,1))-AVERAGE(OFFSET($H$3,0,0,'Données projet'!$E$13+1,1))</f>
        <v>317.12995176362455</v>
      </c>
      <c r="CZ102" s="59">
        <f t="shared" si="96"/>
        <v>328.11301015275262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4.6038989355990987</v>
      </c>
      <c r="DG102" s="21">
        <f>EXP(-LN(2)/25)*DG101+(1-EXP(-LN(2)/25))/(LN(2)/25)*Calculateur!DB102*Calculateur!DD102*VLOOKUP('Données projet'!$B$13,Paramètres!$A$1:$I$89,3,0)*0.475*44/12</f>
        <v>2.3805884875090273</v>
      </c>
      <c r="DH102" s="21">
        <f>EXP(-LN(2)/2)*DH101+(1-EXP(-LN(2)/2))/(LN(2)/2)*DB102*DE102*VLOOKUP('Données projet'!$B$13,Paramètres!$A$1:$I$89,3,0)*0.475*44/12</f>
        <v>2.3630979333816747E-10</v>
      </c>
      <c r="DI102" s="22">
        <f t="shared" si="69"/>
        <v>6.9844874233444356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2.8421709430404007E-14</v>
      </c>
      <c r="DP102" s="17">
        <f>DO102*VLOOKUP('Données projet'!$B$14,Paramètres!$A$1:$I$89,3,0)*VLOOKUP('Données projet'!$B$14,Paramètres!$A$1:$I$89,5,0)</f>
        <v>2.4829205358400945E-14</v>
      </c>
      <c r="DQ102" s="13">
        <f t="shared" si="97"/>
        <v>4.3867331143352915E-13</v>
      </c>
      <c r="DR102" s="20">
        <f t="shared" si="70"/>
        <v>8.0726688341261168E-13</v>
      </c>
      <c r="DS102" s="59">
        <f t="shared" si="71"/>
        <v>283.44493200619098</v>
      </c>
      <c r="DT102" s="59">
        <f ca="1">AVERAGE(OFFSET($DS$3,0,0,'Données projet'!$E$14+1,1))-AVERAGE(OFFSET($H$3,0,0,'Données projet'!$E$14+1,1))</f>
        <v>325.5873213944476</v>
      </c>
      <c r="DU102" s="59">
        <f t="shared" si="98"/>
        <v>347.9042278368363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0.7466734480211753</v>
      </c>
      <c r="EB102" s="21">
        <f>EXP(-LN(2)/25)*EB101+(1-EXP(-LN(2)/25))/(LN(2)/25)*Calculateur!DW102*Calculateur!DY102*VLOOKUP('Données projet'!$B$14,Paramètres!$A$1:$I$89,3,0)*0.475*44/12</f>
        <v>1.3025389052760854</v>
      </c>
      <c r="EC102" s="21">
        <f>EXP(-LN(2)/2)*EC101+(1-EXP(-LN(2)/2))/(LN(2)/2)*DW102*DZ102*VLOOKUP('Données projet'!$B$14,Paramètres!$A$1:$I$89,3,0)*0.475*44/12</f>
        <v>4.918430469651594E-10</v>
      </c>
      <c r="ED102" s="22">
        <f t="shared" si="72"/>
        <v>2.0492123537891036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205.5480000480477</v>
      </c>
      <c r="EP102" s="59">
        <f t="shared" si="100"/>
        <v>229.86812144828366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1.8756124733059711</v>
      </c>
      <c r="EW102" s="21">
        <f>EXP(-LN(2)/25)*EW101+(1-EXP(-LN(2)/25))/(LN(2)/25)*Calculateur!ER102*Calculateur!ET102*VLOOKUP('Données projet'!$B$15,Paramètres!$A$1:$I$89,3,0)*0.475*44/12</f>
        <v>0.88907160794262741</v>
      </c>
      <c r="EX102" s="21">
        <f>EXP(-LN(2)/2)*EX101+(1-EXP(-LN(2)/2))/(LN(2)/2)*ER102*EU102*VLOOKUP('Données projet'!$B$15,Paramètres!$A$1:$I$89,3,0)*0.475*44/12</f>
        <v>1.2174722354404209E-10</v>
      </c>
      <c r="EY102" s="22">
        <f t="shared" si="75"/>
        <v>2.7646840813703455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3.05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17.472000000000026</v>
      </c>
      <c r="D103" s="11">
        <f t="shared" si="86"/>
        <v>5.7714641827627062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65.020100998824432</v>
      </c>
      <c r="H103" s="67">
        <f t="shared" si="56"/>
        <v>252.41570011831172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-3.4106051316484809E-13</v>
      </c>
      <c r="O103" s="13">
        <f>N103*VLOOKUP('Données projet'!$B$9,Paramètres!$A$1:$I$89,3,0)*VLOOKUP('Données projet'!$B$9,Paramètres!$A$1:$I$89,5,0)</f>
        <v>-1.9065282685915009E-13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542.23071537860039</v>
      </c>
      <c r="T103" s="59">
        <f t="shared" si="88"/>
        <v>667.26143680054633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1.8353350882119834</v>
      </c>
      <c r="AA103" s="21">
        <f>EXP(-LN(2)/25)*AA102+(1-EXP(-LN(2)/25))/(LN(2)/25)*Calculateur!V103*Calculateur!X103*VLOOKUP('Données projet'!$B$9,Paramètres!$A$1:$I$89,3,0)*0.475*44/12</f>
        <v>6.118573891792991</v>
      </c>
      <c r="AB103" s="21">
        <f>EXP(-LN(2)/2)*AB102+(1-EXP(-LN(2)/2))/(LN(2)/2)*V103*Y103*VLOOKUP('Données projet'!$B$9,Paramètres!$A$1:$I$89,3,0)*0.475*44/12</f>
        <v>4.1961779831727156E-10</v>
      </c>
      <c r="AC103" s="22">
        <f t="shared" si="57"/>
        <v>7.9539089804245924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-1.2710188457276673E-13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427.83834708696861</v>
      </c>
      <c r="AO103" s="59">
        <f t="shared" si="90"/>
        <v>545.63950537101903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1.1012010529271914</v>
      </c>
      <c r="AV103" s="21">
        <f>EXP(-LN(2)/25)*AV102+(1-EXP(-LN(2)/25))/(LN(2)/25)*Calculateur!AQ103*Calculateur!AS103*VLOOKUP('Données projet'!$B$10,Paramètres!$A$1:$I$89,3,0)*0.475*44/12</f>
        <v>3.535248691782904</v>
      </c>
      <c r="AW103" s="21">
        <f>EXP(-LN(2)/2)*AW102+(1-EXP(-LN(2)/2))/(LN(2)/2)*AQ103*AT103*VLOOKUP('Données projet'!$B$10,Paramètres!$A$1:$I$89,3,0)*0.475*44/12</f>
        <v>2.6927537875379484E-10</v>
      </c>
      <c r="AX103" s="21">
        <f t="shared" si="60"/>
        <v>4.6364497449793705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319</v>
      </c>
      <c r="BB103" s="12">
        <f>VLOOKUP(A103,'Données projet'!$A$87:$I$107,9,0)</f>
        <v>8.3000000000000007</v>
      </c>
      <c r="BC103" s="12">
        <f t="array" ref="BC103">INDEX(BB:BB,MIN(IF(ISNUMBER(BB103:BB299),ROW(BB103:BB299),"")))</f>
        <v>8.3000000000000007</v>
      </c>
      <c r="BD103" s="12">
        <f>IF('Données projet'!$A$88&gt;35,BD102+BC103-BL102,IF(A103&lt;'Données projet'!$A$88,$BA$205^A103,IF(A103='Données projet'!$A$88,'Données projet'!$B$88,BD102+BC103-BL102)))</f>
        <v>319.00000000000006</v>
      </c>
      <c r="BE103" s="13">
        <f>BD103*VLOOKUP('Données projet'!$B$11,Paramètres!$A$1:$I$89,3,0)*VLOOKUP('Données projet'!$B$11,Paramètres!$A$1:$I$89,5,0)</f>
        <v>149.29200000000003</v>
      </c>
      <c r="BF103" s="13">
        <f t="shared" si="91"/>
        <v>38.417645803815446</v>
      </c>
      <c r="BG103" s="20">
        <f t="shared" si="61"/>
        <v>326.92763310831191</v>
      </c>
      <c r="BH103" s="59">
        <f t="shared" si="62"/>
        <v>610.54410677037447</v>
      </c>
      <c r="BI103" s="59">
        <f ca="1">AVERAGE(OFFSET($BH$3,0,0,'Données projet'!$E$11+1,1))-AVERAGE(OFFSET($H$3,0,0,'Données projet'!$E$11+1,1))</f>
        <v>210.62109466714364</v>
      </c>
      <c r="BJ103" s="59">
        <f t="shared" si="92"/>
        <v>193.35729443770401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58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1.631905548018479</v>
      </c>
      <c r="BQ103" s="21">
        <f>EXP(-LN(2)/25)*BQ102+(1-EXP(-LN(2)/25))/(LN(2)/25)*Calculateur!BL103*Calculateur!BN103*VLOOKUP('Données projet'!$B$11,Paramètres!$A$1:$I$89,3,0)*0.475*44/12</f>
        <v>1.1504617015000407</v>
      </c>
      <c r="BR103" s="21">
        <f>EXP(-LN(2)/2)*BR102+(1-EXP(-LN(2)/2))/(LN(2)/2)*BL103*BO103*VLOOKUP('Données projet'!$B$11,Paramètres!$A$1:$I$89,3,0)*0.475*44/12</f>
        <v>2.3038536539536291E-10</v>
      </c>
      <c r="BS103" s="22">
        <f t="shared" si="63"/>
        <v>2.7823672497489049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368.16165268258442</v>
      </c>
      <c r="CE103" s="59">
        <f t="shared" si="94"/>
        <v>291.32219253157041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1.8697039075911219</v>
      </c>
      <c r="CL103" s="21">
        <f>EXP(-LN(2)/25)*CL102+(1-EXP(-LN(2)/25))/(LN(2)/25)*Calculateur!CG103*Calculateur!CI103*VLOOKUP('Données projet'!$B$12,Paramètres!$A$1:$I$89,3,0)*0.475*44/12</f>
        <v>0.95388323119566398</v>
      </c>
      <c r="CM103" s="21">
        <f>EXP(-LN(2)/2)*CM102+(1-EXP(-LN(2)/2))/(LN(2)/2)*CG103*CJ103*VLOOKUP('Données projet'!$B$12,Paramètres!$A$1:$I$89,3,0)*0.475*44/12</f>
        <v>2.3058480308612295E-10</v>
      </c>
      <c r="CN103" s="22">
        <f t="shared" si="66"/>
        <v>2.8235871390173708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1.1368683772161603E-13</v>
      </c>
      <c r="CU103" s="17">
        <f>CT103*VLOOKUP('Données projet'!$B$13,Paramètres!$A$1:$I$89,3,0)*VLOOKUP('Données projet'!$B$13,Paramètres!$A$1:$I$89,5,0)</f>
        <v>6.7984728957526396E-14</v>
      </c>
      <c r="CV103" s="13">
        <f t="shared" si="95"/>
        <v>1.0682447123141398E-12</v>
      </c>
      <c r="CW103" s="20">
        <f t="shared" si="67"/>
        <v>1.978932943548152E-12</v>
      </c>
      <c r="CX103" s="59">
        <f t="shared" si="68"/>
        <v>283.61647366206455</v>
      </c>
      <c r="CY103" s="59">
        <f ca="1">AVERAGE(OFFSET($CX$3,0,0,'Données projet'!$E$13+1,1))-AVERAGE(OFFSET($H$3,0,0,'Données projet'!$E$13+1,1))</f>
        <v>317.12995176362455</v>
      </c>
      <c r="CZ103" s="59">
        <f t="shared" si="96"/>
        <v>328.11301015275262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4.5136192855730739</v>
      </c>
      <c r="DG103" s="21">
        <f>EXP(-LN(2)/25)*DG102+(1-EXP(-LN(2)/25))/(LN(2)/25)*Calculateur!DB103*Calculateur!DD103*VLOOKUP('Données projet'!$B$13,Paramètres!$A$1:$I$89,3,0)*0.475*44/12</f>
        <v>2.3154911701283853</v>
      </c>
      <c r="DH103" s="21">
        <f>EXP(-LN(2)/2)*DH102+(1-EXP(-LN(2)/2))/(LN(2)/2)*DB103*DE103*VLOOKUP('Données projet'!$B$13,Paramètres!$A$1:$I$89,3,0)*0.475*44/12</f>
        <v>1.6709625733020986E-10</v>
      </c>
      <c r="DI103" s="22">
        <f t="shared" si="69"/>
        <v>6.8291104558685554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2.8421709430404007E-14</v>
      </c>
      <c r="DP103" s="17">
        <f>DO103*VLOOKUP('Données projet'!$B$14,Paramètres!$A$1:$I$89,3,0)*VLOOKUP('Données projet'!$B$14,Paramètres!$A$1:$I$89,5,0)</f>
        <v>2.4829205358400945E-14</v>
      </c>
      <c r="DQ103" s="13">
        <f t="shared" si="97"/>
        <v>4.3867331143352915E-13</v>
      </c>
      <c r="DR103" s="20">
        <f t="shared" si="70"/>
        <v>8.0726688341261168E-13</v>
      </c>
      <c r="DS103" s="59">
        <f t="shared" si="71"/>
        <v>283.61647366206336</v>
      </c>
      <c r="DT103" s="59">
        <f ca="1">AVERAGE(OFFSET($DS$3,0,0,'Données projet'!$E$14+1,1))-AVERAGE(OFFSET($H$3,0,0,'Données projet'!$E$14+1,1))</f>
        <v>325.5873213944476</v>
      </c>
      <c r="DU103" s="59">
        <f t="shared" si="98"/>
        <v>347.9042278368363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0.73203163713131381</v>
      </c>
      <c r="EB103" s="21">
        <f>EXP(-LN(2)/25)*EB102+(1-EXP(-LN(2)/25))/(LN(2)/25)*Calculateur!DW103*Calculateur!DY103*VLOOKUP('Données projet'!$B$14,Paramètres!$A$1:$I$89,3,0)*0.475*44/12</f>
        <v>1.2669209104137669</v>
      </c>
      <c r="EC103" s="21">
        <f>EXP(-LN(2)/2)*EC102+(1-EXP(-LN(2)/2))/(LN(2)/2)*DW103*DZ103*VLOOKUP('Données projet'!$B$14,Paramètres!$A$1:$I$89,3,0)*0.475*44/12</f>
        <v>3.4778555378851778E-10</v>
      </c>
      <c r="ED103" s="22">
        <f t="shared" si="72"/>
        <v>1.9989525478928662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205.5480000480477</v>
      </c>
      <c r="EP103" s="59">
        <f t="shared" si="100"/>
        <v>229.86812144828366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1.838832856715088</v>
      </c>
      <c r="EW103" s="21">
        <f>EXP(-LN(2)/25)*EW102+(1-EXP(-LN(2)/25))/(LN(2)/25)*Calculateur!ER103*Calculateur!ET103*VLOOKUP('Données projet'!$B$15,Paramètres!$A$1:$I$89,3,0)*0.475*44/12</f>
        <v>0.8647598980691924</v>
      </c>
      <c r="EX103" s="21">
        <f>EXP(-LN(2)/2)*EX102+(1-EXP(-LN(2)/2))/(LN(2)/2)*ER103*EU103*VLOOKUP('Données projet'!$B$15,Paramètres!$A$1:$I$89,3,0)*0.475*44/12</f>
        <v>8.6088287358626659E-11</v>
      </c>
      <c r="EY103" s="22">
        <f t="shared" si="75"/>
        <v>2.7035927548703689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3.05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17.646720000000027</v>
      </c>
      <c r="D104" s="11">
        <f t="shared" si="86"/>
        <v>5.8224312700955263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65.577587698762343</v>
      </c>
      <c r="H104" s="67">
        <f t="shared" si="56"/>
        <v>252.80877179541639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-3.4106051316484809E-13</v>
      </c>
      <c r="O104" s="13">
        <f>N104*VLOOKUP('Données projet'!$B$9,Paramètres!$A$1:$I$89,3,0)*VLOOKUP('Données projet'!$B$9,Paramètres!$A$1:$I$89,5,0)</f>
        <v>-1.9065282685915009E-13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542.23071537860039</v>
      </c>
      <c r="T104" s="59">
        <f t="shared" si="88"/>
        <v>667.26143680054633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1.7993452865760144</v>
      </c>
      <c r="AA104" s="21">
        <f>EXP(-LN(2)/25)*AA103+(1-EXP(-LN(2)/25))/(LN(2)/25)*Calculateur!V104*Calculateur!X104*VLOOKUP('Données projet'!$B$9,Paramètres!$A$1:$I$89,3,0)*0.475*44/12</f>
        <v>5.9512611669600952</v>
      </c>
      <c r="AB104" s="21">
        <f>EXP(-LN(2)/2)*AB103+(1-EXP(-LN(2)/2))/(LN(2)/2)*V104*Y104*VLOOKUP('Données projet'!$B$9,Paramètres!$A$1:$I$89,3,0)*0.475*44/12</f>
        <v>2.9671459069671177E-10</v>
      </c>
      <c r="AC104" s="22">
        <f t="shared" si="57"/>
        <v>7.7506064538328241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-1.2710188457276673E-13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427.83834708696861</v>
      </c>
      <c r="AO104" s="59">
        <f t="shared" si="90"/>
        <v>545.63950537101903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1.07960717194561</v>
      </c>
      <c r="AV104" s="21">
        <f>EXP(-LN(2)/25)*AV103+(1-EXP(-LN(2)/25))/(LN(2)/25)*Calculateur!AQ104*Calculateur!AS104*VLOOKUP('Données projet'!$B$10,Paramètres!$A$1:$I$89,3,0)*0.475*44/12</f>
        <v>3.4385771303954518</v>
      </c>
      <c r="AW104" s="21">
        <f>EXP(-LN(2)/2)*AW103+(1-EXP(-LN(2)/2))/(LN(2)/2)*AQ104*AT104*VLOOKUP('Données projet'!$B$10,Paramètres!$A$1:$I$89,3,0)*0.475*44/12</f>
        <v>1.9040644632338432E-10</v>
      </c>
      <c r="AX104" s="21">
        <f t="shared" si="60"/>
        <v>4.518184302531469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8.6999999999999993</v>
      </c>
      <c r="BD104" s="12">
        <f>IF('Données projet'!$A$88&gt;35,BD103+BC104-BL103,IF(A104&lt;'Données projet'!$A$88,$BA$205^A104,IF(A104='Données projet'!$A$88,'Données projet'!$B$88,BD103+BC104-BL103)))</f>
        <v>269.70000000000005</v>
      </c>
      <c r="BE104" s="13">
        <f>BD104*VLOOKUP('Données projet'!$B$11,Paramètres!$A$1:$I$89,3,0)*VLOOKUP('Données projet'!$B$11,Paramètres!$A$1:$I$89,5,0)</f>
        <v>126.21960000000003</v>
      </c>
      <c r="BF104" s="13">
        <f t="shared" si="91"/>
        <v>33.121325210832396</v>
      </c>
      <c r="BG104" s="20">
        <f t="shared" si="61"/>
        <v>277.51877807553313</v>
      </c>
      <c r="BH104" s="59">
        <f t="shared" si="62"/>
        <v>561.30381752924859</v>
      </c>
      <c r="BI104" s="59">
        <f ca="1">AVERAGE(OFFSET($BH$3,0,0,'Données projet'!$E$11+1,1))-AVERAGE(OFFSET($H$3,0,0,'Données projet'!$E$11+1,1))</f>
        <v>210.62109466714364</v>
      </c>
      <c r="BJ104" s="59">
        <f t="shared" si="92"/>
        <v>193.35729443770401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1.5999048755859369</v>
      </c>
      <c r="BQ104" s="21">
        <f>EXP(-LN(2)/25)*BQ103+(1-EXP(-LN(2)/25))/(LN(2)/25)*Calculateur!BL104*Calculateur!BN104*VLOOKUP('Données projet'!$B$11,Paramètres!$A$1:$I$89,3,0)*0.475*44/12</f>
        <v>1.1190022657723706</v>
      </c>
      <c r="BR104" s="21">
        <f>EXP(-LN(2)/2)*BR103+(1-EXP(-LN(2)/2))/(LN(2)/2)*BL104*BO104*VLOOKUP('Données projet'!$B$11,Paramètres!$A$1:$I$89,3,0)*0.475*44/12</f>
        <v>1.629070541572017E-10</v>
      </c>
      <c r="BS104" s="22">
        <f t="shared" si="63"/>
        <v>2.7189071415212145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368.16165268258442</v>
      </c>
      <c r="CE104" s="59">
        <f t="shared" si="94"/>
        <v>291.32219253157041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1.8330401543700379</v>
      </c>
      <c r="CL104" s="21">
        <f>EXP(-LN(2)/25)*CL103+(1-EXP(-LN(2)/25))/(LN(2)/25)*Calculateur!CG104*Calculateur!CI104*VLOOKUP('Données projet'!$B$12,Paramètres!$A$1:$I$89,3,0)*0.475*44/12</f>
        <v>0.9277992440760795</v>
      </c>
      <c r="CM104" s="21">
        <f>EXP(-LN(2)/2)*CM103+(1-EXP(-LN(2)/2))/(LN(2)/2)*CG104*CJ104*VLOOKUP('Données projet'!$B$12,Paramètres!$A$1:$I$89,3,0)*0.475*44/12</f>
        <v>1.630480779007623E-10</v>
      </c>
      <c r="CN104" s="22">
        <f t="shared" si="66"/>
        <v>2.7608393986091655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1.1368683772161603E-13</v>
      </c>
      <c r="CU104" s="17">
        <f>CT104*VLOOKUP('Données projet'!$B$13,Paramètres!$A$1:$I$89,3,0)*VLOOKUP('Données projet'!$B$13,Paramètres!$A$1:$I$89,5,0)</f>
        <v>6.7984728957526396E-14</v>
      </c>
      <c r="CV104" s="13">
        <f t="shared" si="95"/>
        <v>1.0682447123141398E-12</v>
      </c>
      <c r="CW104" s="20">
        <f t="shared" si="67"/>
        <v>1.978932943548152E-12</v>
      </c>
      <c r="CX104" s="59">
        <f t="shared" si="68"/>
        <v>283.78503945371739</v>
      </c>
      <c r="CY104" s="59">
        <f ca="1">AVERAGE(OFFSET($CX$3,0,0,'Données projet'!$E$13+1,1))-AVERAGE(OFFSET($H$3,0,0,'Données projet'!$E$13+1,1))</f>
        <v>317.12995176362455</v>
      </c>
      <c r="CZ104" s="59">
        <f t="shared" si="96"/>
        <v>328.11301015275262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4.42510996441891</v>
      </c>
      <c r="DG104" s="21">
        <f>EXP(-LN(2)/25)*DG103+(1-EXP(-LN(2)/25))/(LN(2)/25)*Calculateur!DB104*Calculateur!DD104*VLOOKUP('Données projet'!$B$13,Paramètres!$A$1:$I$89,3,0)*0.475*44/12</f>
        <v>2.2521739423148359</v>
      </c>
      <c r="DH104" s="21">
        <f>EXP(-LN(2)/2)*DH103+(1-EXP(-LN(2)/2))/(LN(2)/2)*DB104*DE104*VLOOKUP('Données projet'!$B$13,Paramètres!$A$1:$I$89,3,0)*0.475*44/12</f>
        <v>1.1815489666908374E-10</v>
      </c>
      <c r="DI104" s="22">
        <f t="shared" si="69"/>
        <v>6.6772839068519012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2.8421709430404007E-14</v>
      </c>
      <c r="DP104" s="17">
        <f>DO104*VLOOKUP('Données projet'!$B$14,Paramètres!$A$1:$I$89,3,0)*VLOOKUP('Données projet'!$B$14,Paramètres!$A$1:$I$89,5,0)</f>
        <v>2.4829205358400945E-14</v>
      </c>
      <c r="DQ104" s="13">
        <f t="shared" si="97"/>
        <v>4.3867331143352915E-13</v>
      </c>
      <c r="DR104" s="20">
        <f t="shared" si="70"/>
        <v>8.0726688341261168E-13</v>
      </c>
      <c r="DS104" s="59">
        <f t="shared" si="71"/>
        <v>283.78503945371619</v>
      </c>
      <c r="DT104" s="59">
        <f ca="1">AVERAGE(OFFSET($DS$3,0,0,'Données projet'!$E$14+1,1))-AVERAGE(OFFSET($H$3,0,0,'Données projet'!$E$14+1,1))</f>
        <v>325.5873213944476</v>
      </c>
      <c r="DU104" s="59">
        <f t="shared" si="98"/>
        <v>347.9042278368363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0.71767694322237963</v>
      </c>
      <c r="EB104" s="21">
        <f>EXP(-LN(2)/25)*EB103+(1-EXP(-LN(2)/25))/(LN(2)/25)*Calculateur!DW104*Calculateur!DY104*VLOOKUP('Données projet'!$B$14,Paramètres!$A$1:$I$89,3,0)*0.475*44/12</f>
        <v>1.2322768914940274</v>
      </c>
      <c r="EC104" s="21">
        <f>EXP(-LN(2)/2)*EC103+(1-EXP(-LN(2)/2))/(LN(2)/2)*DW104*DZ104*VLOOKUP('Données projet'!$B$14,Paramètres!$A$1:$I$89,3,0)*0.475*44/12</f>
        <v>2.459215234825797E-10</v>
      </c>
      <c r="ED104" s="22">
        <f t="shared" si="72"/>
        <v>1.9499538349623284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205.5480000480477</v>
      </c>
      <c r="EP104" s="59">
        <f t="shared" si="100"/>
        <v>229.86812144828366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1.8027744659722011</v>
      </c>
      <c r="EW104" s="21">
        <f>EXP(-LN(2)/25)*EW103+(1-EXP(-LN(2)/25))/(LN(2)/25)*Calculateur!ER104*Calculateur!ET104*VLOOKUP('Données projet'!$B$15,Paramètres!$A$1:$I$89,3,0)*0.475*44/12</f>
        <v>0.84111299318074373</v>
      </c>
      <c r="EX104" s="21">
        <f>EXP(-LN(2)/2)*EX103+(1-EXP(-LN(2)/2))/(LN(2)/2)*ER104*EU104*VLOOKUP('Données projet'!$B$15,Paramètres!$A$1:$I$89,3,0)*0.475*44/12</f>
        <v>6.0873611772021045E-11</v>
      </c>
      <c r="EY104" s="22">
        <f t="shared" si="75"/>
        <v>2.6438874592138184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3.05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17.821440000000027</v>
      </c>
      <c r="D105" s="11">
        <f t="shared" si="86"/>
        <v>5.8733396519415768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66.13492938584875</v>
      </c>
      <c r="H105" s="67">
        <f t="shared" si="56"/>
        <v>253.20174122713161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-3.4106051316484809E-13</v>
      </c>
      <c r="O105" s="13">
        <f>N105*VLOOKUP('Données projet'!$B$9,Paramètres!$A$1:$I$89,3,0)*VLOOKUP('Données projet'!$B$9,Paramètres!$A$1:$I$89,5,0)</f>
        <v>-1.9065282685915009E-13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542.23071537860039</v>
      </c>
      <c r="T105" s="59">
        <f t="shared" si="88"/>
        <v>667.26143680054633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1.7640612229985153</v>
      </c>
      <c r="AA105" s="21">
        <f>EXP(-LN(2)/25)*AA104+(1-EXP(-LN(2)/25))/(LN(2)/25)*Calculateur!V105*Calculateur!X105*VLOOKUP('Données projet'!$B$9,Paramètres!$A$1:$I$89,3,0)*0.475*44/12</f>
        <v>5.7885236173863488</v>
      </c>
      <c r="AB105" s="21">
        <f>EXP(-LN(2)/2)*AB104+(1-EXP(-LN(2)/2))/(LN(2)/2)*V105*Y105*VLOOKUP('Données projet'!$B$9,Paramètres!$A$1:$I$89,3,0)*0.475*44/12</f>
        <v>2.0980889915863578E-10</v>
      </c>
      <c r="AC105" s="22">
        <f t="shared" si="57"/>
        <v>7.5525848405946734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-1.2710188457276673E-13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427.83834708696861</v>
      </c>
      <c r="AO105" s="59">
        <f t="shared" si="90"/>
        <v>545.63950537101903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1.0584367337991105</v>
      </c>
      <c r="AV105" s="21">
        <f>EXP(-LN(2)/25)*AV104+(1-EXP(-LN(2)/25))/(LN(2)/25)*Calculateur!AQ105*Calculateur!AS105*VLOOKUP('Données projet'!$B$10,Paramètres!$A$1:$I$89,3,0)*0.475*44/12</f>
        <v>3.3445490579378756</v>
      </c>
      <c r="AW105" s="21">
        <f>EXP(-LN(2)/2)*AW104+(1-EXP(-LN(2)/2))/(LN(2)/2)*AQ105*AT105*VLOOKUP('Données projet'!$B$10,Paramètres!$A$1:$I$89,3,0)*0.475*44/12</f>
        <v>1.3463768937689742E-10</v>
      </c>
      <c r="AX105" s="21">
        <f t="shared" si="60"/>
        <v>4.4029857918716244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8.6999999999999993</v>
      </c>
      <c r="BD105" s="12">
        <f>IF('Données projet'!$A$88&gt;35,BD104+BC105-BL104,IF(A105&lt;'Données projet'!$A$88,$BA$205^A105,IF(A105='Données projet'!$A$88,'Données projet'!$B$88,BD104+BC105-BL104)))</f>
        <v>278.40000000000003</v>
      </c>
      <c r="BE105" s="13">
        <f>BD105*VLOOKUP('Données projet'!$B$11,Paramètres!$A$1:$I$89,3,0)*VLOOKUP('Données projet'!$B$11,Paramètres!$A$1:$I$89,5,0)</f>
        <v>130.2912</v>
      </c>
      <c r="BF105" s="13">
        <f t="shared" si="91"/>
        <v>34.063638337638949</v>
      </c>
      <c r="BG105" s="20">
        <f t="shared" si="61"/>
        <v>286.25134343805456</v>
      </c>
      <c r="BH105" s="59">
        <f t="shared" si="62"/>
        <v>570.20202444379413</v>
      </c>
      <c r="BI105" s="59">
        <f ca="1">AVERAGE(OFFSET($BH$3,0,0,'Données projet'!$E$11+1,1))-AVERAGE(OFFSET($H$3,0,0,'Données projet'!$E$11+1,1))</f>
        <v>210.62109466714364</v>
      </c>
      <c r="BJ105" s="59">
        <f t="shared" si="92"/>
        <v>193.35729443770401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1.568531716821314</v>
      </c>
      <c r="BQ105" s="21">
        <f>EXP(-LN(2)/25)*BQ104+(1-EXP(-LN(2)/25))/(LN(2)/25)*Calculateur!BL105*Calculateur!BN105*VLOOKUP('Données projet'!$B$11,Paramètres!$A$1:$I$89,3,0)*0.475*44/12</f>
        <v>1.0884030899690535</v>
      </c>
      <c r="BR105" s="21">
        <f>EXP(-LN(2)/2)*BR104+(1-EXP(-LN(2)/2))/(LN(2)/2)*BL105*BO105*VLOOKUP('Données projet'!$B$11,Paramètres!$A$1:$I$89,3,0)*0.475*44/12</f>
        <v>1.1519268269768147E-10</v>
      </c>
      <c r="BS105" s="22">
        <f t="shared" si="63"/>
        <v>2.6569348069055603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368.16165268258442</v>
      </c>
      <c r="CE105" s="59">
        <f t="shared" si="94"/>
        <v>291.32219253157041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1.797095354986938</v>
      </c>
      <c r="CL105" s="21">
        <f>EXP(-LN(2)/25)*CL104+(1-EXP(-LN(2)/25))/(LN(2)/25)*Calculateur!CG105*Calculateur!CI105*VLOOKUP('Données projet'!$B$12,Paramètres!$A$1:$I$89,3,0)*0.475*44/12</f>
        <v>0.90242852495597736</v>
      </c>
      <c r="CM105" s="21">
        <f>EXP(-LN(2)/2)*CM104+(1-EXP(-LN(2)/2))/(LN(2)/2)*CG105*CJ105*VLOOKUP('Données projet'!$B$12,Paramètres!$A$1:$I$89,3,0)*0.475*44/12</f>
        <v>1.1529240154306149E-10</v>
      </c>
      <c r="CN105" s="22">
        <f t="shared" si="66"/>
        <v>2.6995238800582073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1.1368683772161603E-13</v>
      </c>
      <c r="CU105" s="17">
        <f>CT105*VLOOKUP('Données projet'!$B$13,Paramètres!$A$1:$I$89,3,0)*VLOOKUP('Données projet'!$B$13,Paramètres!$A$1:$I$89,5,0)</f>
        <v>6.7984728957526396E-14</v>
      </c>
      <c r="CV105" s="13">
        <f t="shared" si="95"/>
        <v>1.0682447123141398E-12</v>
      </c>
      <c r="CW105" s="20">
        <f t="shared" si="67"/>
        <v>1.978932943548152E-12</v>
      </c>
      <c r="CX105" s="59">
        <f t="shared" si="68"/>
        <v>283.95068100574156</v>
      </c>
      <c r="CY105" s="59">
        <f ca="1">AVERAGE(OFFSET($CX$3,0,0,'Données projet'!$E$13+1,1))-AVERAGE(OFFSET($H$3,0,0,'Données projet'!$E$13+1,1))</f>
        <v>317.12995176362455</v>
      </c>
      <c r="CZ105" s="59">
        <f t="shared" si="96"/>
        <v>328.11301015275262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4.3383362570672244</v>
      </c>
      <c r="DG105" s="21">
        <f>EXP(-LN(2)/25)*DG104+(1-EXP(-LN(2)/25))/(LN(2)/25)*Calculateur!DB105*Calculateur!DD105*VLOOKUP('Données projet'!$B$13,Paramètres!$A$1:$I$89,3,0)*0.475*44/12</f>
        <v>2.1905881274255563</v>
      </c>
      <c r="DH105" s="21">
        <f>EXP(-LN(2)/2)*DH104+(1-EXP(-LN(2)/2))/(LN(2)/2)*DB105*DE105*VLOOKUP('Données projet'!$B$13,Paramètres!$A$1:$I$89,3,0)*0.475*44/12</f>
        <v>8.3548128665104928E-11</v>
      </c>
      <c r="DI105" s="22">
        <f t="shared" si="69"/>
        <v>6.528924384576329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2.8421709430404007E-14</v>
      </c>
      <c r="DP105" s="17">
        <f>DO105*VLOOKUP('Données projet'!$B$14,Paramètres!$A$1:$I$89,3,0)*VLOOKUP('Données projet'!$B$14,Paramètres!$A$1:$I$89,5,0)</f>
        <v>2.4829205358400945E-14</v>
      </c>
      <c r="DQ105" s="13">
        <f t="shared" si="97"/>
        <v>4.3867331143352915E-13</v>
      </c>
      <c r="DR105" s="20">
        <f t="shared" si="70"/>
        <v>8.0726688341261168E-13</v>
      </c>
      <c r="DS105" s="59">
        <f t="shared" si="71"/>
        <v>283.95068100574036</v>
      </c>
      <c r="DT105" s="59">
        <f ca="1">AVERAGE(OFFSET($DS$3,0,0,'Données projet'!$E$14+1,1))-AVERAGE(OFFSET($H$3,0,0,'Données projet'!$E$14+1,1))</f>
        <v>325.5873213944476</v>
      </c>
      <c r="DU105" s="59">
        <f t="shared" si="98"/>
        <v>347.9042278368363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0.70360373610550098</v>
      </c>
      <c r="EB105" s="21">
        <f>EXP(-LN(2)/25)*EB104+(1-EXP(-LN(2)/25))/(LN(2)/25)*Calculateur!DW105*Calculateur!DY105*VLOOKUP('Données projet'!$B$14,Paramètres!$A$1:$I$89,3,0)*0.475*44/12</f>
        <v>1.1985802150934979</v>
      </c>
      <c r="EC105" s="21">
        <f>EXP(-LN(2)/2)*EC104+(1-EXP(-LN(2)/2))/(LN(2)/2)*DW105*DZ105*VLOOKUP('Données projet'!$B$14,Paramètres!$A$1:$I$89,3,0)*0.475*44/12</f>
        <v>1.7389277689425889E-10</v>
      </c>
      <c r="ED105" s="22">
        <f t="shared" si="72"/>
        <v>1.9021839513728915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205.5480000480477</v>
      </c>
      <c r="EP105" s="59">
        <f t="shared" si="100"/>
        <v>229.86812144828366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1.7674231582783357</v>
      </c>
      <c r="EW105" s="21">
        <f>EXP(-LN(2)/25)*EW104+(1-EXP(-LN(2)/25))/(LN(2)/25)*Calculateur!ER105*Calculateur!ET105*VLOOKUP('Données projet'!$B$15,Paramètres!$A$1:$I$89,3,0)*0.475*44/12</f>
        <v>0.81811271415000641</v>
      </c>
      <c r="EX105" s="21">
        <f>EXP(-LN(2)/2)*EX104+(1-EXP(-LN(2)/2))/(LN(2)/2)*ER105*EU105*VLOOKUP('Données projet'!$B$15,Paramètres!$A$1:$I$89,3,0)*0.475*44/12</f>
        <v>4.3044143679313329E-11</v>
      </c>
      <c r="EY105" s="22">
        <f t="shared" si="75"/>
        <v>2.5855358724713864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3.05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17.996160000000028</v>
      </c>
      <c r="D106" s="11">
        <f t="shared" si="86"/>
        <v>5.9241899704923409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66.692127646409233</v>
      </c>
      <c r="H106" s="67">
        <f t="shared" si="56"/>
        <v>253.59460953194085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-3.4106051316484809E-13</v>
      </c>
      <c r="O106" s="13">
        <f>N106*VLOOKUP('Données projet'!$B$9,Paramètres!$A$1:$I$89,3,0)*VLOOKUP('Données projet'!$B$9,Paramètres!$A$1:$I$89,5,0)</f>
        <v>-1.9065282685915009E-13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542.23071537860039</v>
      </c>
      <c r="T106" s="59">
        <f t="shared" si="88"/>
        <v>667.26143680054633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1.7294690583866172</v>
      </c>
      <c r="AA106" s="21">
        <f>EXP(-LN(2)/25)*AA105+(1-EXP(-LN(2)/25))/(LN(2)/25)*Calculateur!V106*Calculateur!X106*VLOOKUP('Données projet'!$B$9,Paramètres!$A$1:$I$89,3,0)*0.475*44/12</f>
        <v>5.6302361346636918</v>
      </c>
      <c r="AB106" s="21">
        <f>EXP(-LN(2)/2)*AB105+(1-EXP(-LN(2)/2))/(LN(2)/2)*V106*Y106*VLOOKUP('Données projet'!$B$9,Paramètres!$A$1:$I$89,3,0)*0.475*44/12</f>
        <v>1.4835729534835588E-10</v>
      </c>
      <c r="AC106" s="22">
        <f t="shared" si="57"/>
        <v>7.3597051931986659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-1.2710188457276673E-13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427.83834708696861</v>
      </c>
      <c r="AO106" s="59">
        <f t="shared" si="90"/>
        <v>545.63950537101903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1.0376814350319716</v>
      </c>
      <c r="AV106" s="21">
        <f>EXP(-LN(2)/25)*AV105+(1-EXP(-LN(2)/25))/(LN(2)/25)*Calculateur!AQ106*Calculateur!AS106*VLOOKUP('Données projet'!$B$10,Paramètres!$A$1:$I$89,3,0)*0.475*44/12</f>
        <v>3.2530921880663737</v>
      </c>
      <c r="AW106" s="21">
        <f>EXP(-LN(2)/2)*AW105+(1-EXP(-LN(2)/2))/(LN(2)/2)*AQ106*AT106*VLOOKUP('Données projet'!$B$10,Paramètres!$A$1:$I$89,3,0)*0.475*44/12</f>
        <v>9.5203223161692159E-11</v>
      </c>
      <c r="AX106" s="21">
        <f t="shared" si="60"/>
        <v>4.290773623193548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8.6999999999999993</v>
      </c>
      <c r="BD106" s="12">
        <f>IF('Données projet'!$A$88&gt;35,BD105+BC106-BL105,IF(A106&lt;'Données projet'!$A$88,$BA$205^A106,IF(A106='Données projet'!$A$88,'Données projet'!$B$88,BD105+BC106-BL105)))</f>
        <v>287.10000000000002</v>
      </c>
      <c r="BE106" s="13">
        <f>BD106*VLOOKUP('Données projet'!$B$11,Paramètres!$A$1:$I$89,3,0)*VLOOKUP('Données projet'!$B$11,Paramètres!$A$1:$I$89,5,0)</f>
        <v>134.36280000000002</v>
      </c>
      <c r="BF106" s="13">
        <f t="shared" si="91"/>
        <v>35.002529438504695</v>
      </c>
      <c r="BG106" s="20">
        <f t="shared" si="61"/>
        <v>294.97794877206235</v>
      </c>
      <c r="BH106" s="59">
        <f t="shared" si="62"/>
        <v>579.0913978192176</v>
      </c>
      <c r="BI106" s="59">
        <f ca="1">AVERAGE(OFFSET($BH$3,0,0,'Données projet'!$E$11+1,1))-AVERAGE(OFFSET($H$3,0,0,'Données projet'!$E$11+1,1))</f>
        <v>210.62109466714364</v>
      </c>
      <c r="BJ106" s="59">
        <f t="shared" si="92"/>
        <v>193.35729443770401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1.5377737665643281</v>
      </c>
      <c r="BQ106" s="21">
        <f>EXP(-LN(2)/25)*BQ105+(1-EXP(-LN(2)/25))/(LN(2)/25)*Calculateur!BL106*Calculateur!BN106*VLOOKUP('Données projet'!$B$11,Paramètres!$A$1:$I$89,3,0)*0.475*44/12</f>
        <v>1.0586406502372188</v>
      </c>
      <c r="BR106" s="21">
        <f>EXP(-LN(2)/2)*BR105+(1-EXP(-LN(2)/2))/(LN(2)/2)*BL106*BO106*VLOOKUP('Données projet'!$B$11,Paramètres!$A$1:$I$89,3,0)*0.475*44/12</f>
        <v>8.1453527078600861E-11</v>
      </c>
      <c r="BS106" s="22">
        <f t="shared" si="63"/>
        <v>2.5964144168830003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368.16165268258442</v>
      </c>
      <c r="CE106" s="59">
        <f t="shared" si="94"/>
        <v>291.32219253157041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1.7618554111955778</v>
      </c>
      <c r="CL106" s="21">
        <f>EXP(-LN(2)/25)*CL105+(1-EXP(-LN(2)/25))/(LN(2)/25)*Calculateur!CG106*Calculateur!CI106*VLOOKUP('Données projet'!$B$12,Paramètres!$A$1:$I$89,3,0)*0.475*44/12</f>
        <v>0.87775156948440258</v>
      </c>
      <c r="CM106" s="21">
        <f>EXP(-LN(2)/2)*CM105+(1-EXP(-LN(2)/2))/(LN(2)/2)*CG106*CJ106*VLOOKUP('Données projet'!$B$12,Paramètres!$A$1:$I$89,3,0)*0.475*44/12</f>
        <v>8.1524038950381162E-11</v>
      </c>
      <c r="CN106" s="22">
        <f t="shared" si="66"/>
        <v>2.6396069807615046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1.1368683772161603E-13</v>
      </c>
      <c r="CU106" s="17">
        <f>CT106*VLOOKUP('Données projet'!$B$13,Paramètres!$A$1:$I$89,3,0)*VLOOKUP('Données projet'!$B$13,Paramètres!$A$1:$I$89,5,0)</f>
        <v>6.7984728957526396E-14</v>
      </c>
      <c r="CV106" s="13">
        <f t="shared" si="95"/>
        <v>1.0682447123141398E-12</v>
      </c>
      <c r="CW106" s="20">
        <f t="shared" si="67"/>
        <v>1.978932943548152E-12</v>
      </c>
      <c r="CX106" s="59">
        <f t="shared" si="68"/>
        <v>284.11344904715725</v>
      </c>
      <c r="CY106" s="59">
        <f ca="1">AVERAGE(OFFSET($CX$3,0,0,'Données projet'!$E$13+1,1))-AVERAGE(OFFSET($H$3,0,0,'Données projet'!$E$13+1,1))</f>
        <v>317.12995176362455</v>
      </c>
      <c r="CZ106" s="59">
        <f t="shared" si="96"/>
        <v>328.11301015275262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4.2532641291899695</v>
      </c>
      <c r="DG106" s="21">
        <f>EXP(-LN(2)/25)*DG105+(1-EXP(-LN(2)/25))/(LN(2)/25)*Calculateur!DB106*Calculateur!DD106*VLOOKUP('Données projet'!$B$13,Paramètres!$A$1:$I$89,3,0)*0.475*44/12</f>
        <v>2.1306863798830813</v>
      </c>
      <c r="DH106" s="21">
        <f>EXP(-LN(2)/2)*DH105+(1-EXP(-LN(2)/2))/(LN(2)/2)*DB106*DE106*VLOOKUP('Données projet'!$B$13,Paramètres!$A$1:$I$89,3,0)*0.475*44/12</f>
        <v>5.9077448334541868E-11</v>
      </c>
      <c r="DI106" s="22">
        <f t="shared" si="69"/>
        <v>6.383950509132128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2.8421709430404007E-14</v>
      </c>
      <c r="DP106" s="17">
        <f>DO106*VLOOKUP('Données projet'!$B$14,Paramètres!$A$1:$I$89,3,0)*VLOOKUP('Données projet'!$B$14,Paramètres!$A$1:$I$89,5,0)</f>
        <v>2.4829205358400945E-14</v>
      </c>
      <c r="DQ106" s="13">
        <f t="shared" si="97"/>
        <v>4.3867331143352915E-13</v>
      </c>
      <c r="DR106" s="20">
        <f t="shared" si="70"/>
        <v>8.0726688341261168E-13</v>
      </c>
      <c r="DS106" s="59">
        <f t="shared" si="71"/>
        <v>284.11344904715605</v>
      </c>
      <c r="DT106" s="59">
        <f ca="1">AVERAGE(OFFSET($DS$3,0,0,'Données projet'!$E$14+1,1))-AVERAGE(OFFSET($H$3,0,0,'Données projet'!$E$14+1,1))</f>
        <v>325.5873213944476</v>
      </c>
      <c r="DU106" s="59">
        <f t="shared" si="98"/>
        <v>347.9042278368363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0.68980649599637545</v>
      </c>
      <c r="EB106" s="21">
        <f>EXP(-LN(2)/25)*EB105+(1-EXP(-LN(2)/25))/(LN(2)/25)*Calculateur!DW106*Calculateur!DY106*VLOOKUP('Données projet'!$B$14,Paramètres!$A$1:$I$89,3,0)*0.475*44/12</f>
        <v>1.165804976081172</v>
      </c>
      <c r="EC106" s="21">
        <f>EXP(-LN(2)/2)*EC105+(1-EXP(-LN(2)/2))/(LN(2)/2)*DW106*DZ106*VLOOKUP('Données projet'!$B$14,Paramètres!$A$1:$I$89,3,0)*0.475*44/12</f>
        <v>1.2296076174128985E-10</v>
      </c>
      <c r="ED106" s="22">
        <f t="shared" si="72"/>
        <v>1.8556114722005081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205.5480000480477</v>
      </c>
      <c r="EP106" s="59">
        <f t="shared" si="100"/>
        <v>229.86812144828366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1.7327650681661784</v>
      </c>
      <c r="EW106" s="21">
        <f>EXP(-LN(2)/25)*EW105+(1-EXP(-LN(2)/25))/(LN(2)/25)*Calculateur!ER106*Calculateur!ET106*VLOOKUP('Données projet'!$B$15,Paramètres!$A$1:$I$89,3,0)*0.475*44/12</f>
        <v>0.79574137895889663</v>
      </c>
      <c r="EX106" s="21">
        <f>EXP(-LN(2)/2)*EX105+(1-EXP(-LN(2)/2))/(LN(2)/2)*ER106*EU106*VLOOKUP('Données projet'!$B$15,Paramètres!$A$1:$I$89,3,0)*0.475*44/12</f>
        <v>3.0436805886010523E-11</v>
      </c>
      <c r="EY106" s="22">
        <f t="shared" si="75"/>
        <v>2.5285064471555119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3.05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18.170880000000029</v>
      </c>
      <c r="D107" s="11">
        <f t="shared" si="86"/>
        <v>5.9749828547506674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67.249184034191202</v>
      </c>
      <c r="H107" s="67">
        <f t="shared" si="56"/>
        <v>253.98737780535743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-3.4106051316484809E-13</v>
      </c>
      <c r="O107" s="13">
        <f>N107*VLOOKUP('Données projet'!$B$9,Paramètres!$A$1:$I$89,3,0)*VLOOKUP('Données projet'!$B$9,Paramètres!$A$1:$I$89,5,0)</f>
        <v>-1.9065282685915009E-13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542.23071537860039</v>
      </c>
      <c r="T107" s="59">
        <f t="shared" si="88"/>
        <v>667.26143680054633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1.6955552250236214</v>
      </c>
      <c r="AA107" s="21">
        <f>EXP(-LN(2)/25)*AA106+(1-EXP(-LN(2)/25))/(LN(2)/25)*Calculateur!V107*Calculateur!X107*VLOOKUP('Données projet'!$B$9,Paramètres!$A$1:$I$89,3,0)*0.475*44/12</f>
        <v>5.4762770314800626</v>
      </c>
      <c r="AB107" s="21">
        <f>EXP(-LN(2)/2)*AB106+(1-EXP(-LN(2)/2))/(LN(2)/2)*V107*Y107*VLOOKUP('Données projet'!$B$9,Paramètres!$A$1:$I$89,3,0)*0.475*44/12</f>
        <v>1.0490444957931789E-10</v>
      </c>
      <c r="AC107" s="22">
        <f t="shared" si="57"/>
        <v>7.1718322566085888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-1.2710188457276673E-13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427.83834708696861</v>
      </c>
      <c r="AO107" s="59">
        <f t="shared" si="90"/>
        <v>545.63950537101903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1.0173331350141741</v>
      </c>
      <c r="AV107" s="21">
        <f>EXP(-LN(2)/25)*AV106+(1-EXP(-LN(2)/25))/(LN(2)/25)*Calculateur!AQ107*Calculateur!AS107*VLOOKUP('Données projet'!$B$10,Paramètres!$A$1:$I$89,3,0)*0.475*44/12</f>
        <v>3.1641362111110154</v>
      </c>
      <c r="AW107" s="21">
        <f>EXP(-LN(2)/2)*AW106+(1-EXP(-LN(2)/2))/(LN(2)/2)*AQ107*AT107*VLOOKUP('Données projet'!$B$10,Paramètres!$A$1:$I$89,3,0)*0.475*44/12</f>
        <v>6.7318844688448709E-11</v>
      </c>
      <c r="AX107" s="21">
        <f t="shared" si="60"/>
        <v>4.1814693461925083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8.6999999999999993</v>
      </c>
      <c r="BD107" s="12">
        <f>IF('Données projet'!$A$88&gt;35,BD106+BC107-BL106,IF(A107&lt;'Données projet'!$A$88,$BA$205^A107,IF(A107='Données projet'!$A$88,'Données projet'!$B$88,BD106+BC107-BL106)))</f>
        <v>295.8</v>
      </c>
      <c r="BE107" s="13">
        <f>BD107*VLOOKUP('Données projet'!$B$11,Paramètres!$A$1:$I$89,3,0)*VLOOKUP('Données projet'!$B$11,Paramètres!$A$1:$I$89,5,0)</f>
        <v>138.43440000000001</v>
      </c>
      <c r="BF107" s="13">
        <f t="shared" si="91"/>
        <v>35.938114113553581</v>
      </c>
      <c r="BG107" s="20">
        <f t="shared" si="61"/>
        <v>303.69879541443919</v>
      </c>
      <c r="BH107" s="59">
        <f t="shared" si="62"/>
        <v>587.97218884138636</v>
      </c>
      <c r="BI107" s="59">
        <f ca="1">AVERAGE(OFFSET($BH$3,0,0,'Données projet'!$E$11+1,1))-AVERAGE(OFFSET($H$3,0,0,'Données projet'!$E$11+1,1))</f>
        <v>210.62109466714364</v>
      </c>
      <c r="BJ107" s="59">
        <f t="shared" si="92"/>
        <v>193.35729443770401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1.5076189609513844</v>
      </c>
      <c r="BQ107" s="21">
        <f>EXP(-LN(2)/25)*BQ106+(1-EXP(-LN(2)/25))/(LN(2)/25)*Calculateur!BL107*Calculateur!BN107*VLOOKUP('Données projet'!$B$11,Paramètres!$A$1:$I$89,3,0)*0.475*44/12</f>
        <v>1.0296920659849897</v>
      </c>
      <c r="BR107" s="21">
        <f>EXP(-LN(2)/2)*BR106+(1-EXP(-LN(2)/2))/(LN(2)/2)*BL107*BO107*VLOOKUP('Données projet'!$B$11,Paramètres!$A$1:$I$89,3,0)*0.475*44/12</f>
        <v>5.7596341348840748E-11</v>
      </c>
      <c r="BS107" s="22">
        <f t="shared" si="63"/>
        <v>2.53731102699397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368.16165268258442</v>
      </c>
      <c r="CE107" s="59">
        <f t="shared" si="94"/>
        <v>291.32219253157041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1.7273065012077229</v>
      </c>
      <c r="CL107" s="21">
        <f>EXP(-LN(2)/25)*CL106+(1-EXP(-LN(2)/25))/(LN(2)/25)*Calculateur!CG107*Calculateur!CI107*VLOOKUP('Données projet'!$B$12,Paramètres!$A$1:$I$89,3,0)*0.475*44/12</f>
        <v>0.85374940665790267</v>
      </c>
      <c r="CM107" s="21">
        <f>EXP(-LN(2)/2)*CM106+(1-EXP(-LN(2)/2))/(LN(2)/2)*CG107*CJ107*VLOOKUP('Données projet'!$B$12,Paramètres!$A$1:$I$89,3,0)*0.475*44/12</f>
        <v>5.7646200771530757E-11</v>
      </c>
      <c r="CN107" s="22">
        <f t="shared" si="66"/>
        <v>2.5810559079232718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1.1368683772161603E-13</v>
      </c>
      <c r="CU107" s="17">
        <f>CT107*VLOOKUP('Données projet'!$B$13,Paramètres!$A$1:$I$89,3,0)*VLOOKUP('Données projet'!$B$13,Paramètres!$A$1:$I$89,5,0)</f>
        <v>6.7984728957526396E-14</v>
      </c>
      <c r="CV107" s="13">
        <f t="shared" si="95"/>
        <v>1.0682447123141398E-12</v>
      </c>
      <c r="CW107" s="20">
        <f t="shared" si="67"/>
        <v>1.978932943548152E-12</v>
      </c>
      <c r="CX107" s="59">
        <f t="shared" si="68"/>
        <v>284.27339342694916</v>
      </c>
      <c r="CY107" s="59">
        <f ca="1">AVERAGE(OFFSET($CX$3,0,0,'Données projet'!$E$13+1,1))-AVERAGE(OFFSET($H$3,0,0,'Données projet'!$E$13+1,1))</f>
        <v>317.12995176362455</v>
      </c>
      <c r="CZ107" s="59">
        <f t="shared" si="96"/>
        <v>328.11301015275262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4.1698602138515133</v>
      </c>
      <c r="DG107" s="21">
        <f>EXP(-LN(2)/25)*DG106+(1-EXP(-LN(2)/25))/(LN(2)/25)*Calculateur!DB107*Calculateur!DD107*VLOOKUP('Données projet'!$B$13,Paramètres!$A$1:$I$89,3,0)*0.475*44/12</f>
        <v>2.0724226487772515</v>
      </c>
      <c r="DH107" s="21">
        <f>EXP(-LN(2)/2)*DH106+(1-EXP(-LN(2)/2))/(LN(2)/2)*DB107*DE107*VLOOKUP('Données projet'!$B$13,Paramètres!$A$1:$I$89,3,0)*0.475*44/12</f>
        <v>4.1774064332552464E-11</v>
      </c>
      <c r="DI107" s="22">
        <f t="shared" si="69"/>
        <v>6.242282862670538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2.8421709430404007E-14</v>
      </c>
      <c r="DP107" s="17">
        <f>DO107*VLOOKUP('Données projet'!$B$14,Paramètres!$A$1:$I$89,3,0)*VLOOKUP('Données projet'!$B$14,Paramètres!$A$1:$I$89,5,0)</f>
        <v>2.4829205358400945E-14</v>
      </c>
      <c r="DQ107" s="13">
        <f t="shared" si="97"/>
        <v>4.3867331143352915E-13</v>
      </c>
      <c r="DR107" s="20">
        <f t="shared" si="70"/>
        <v>8.0726688341261168E-13</v>
      </c>
      <c r="DS107" s="59">
        <f t="shared" si="71"/>
        <v>284.27339342694796</v>
      </c>
      <c r="DT107" s="59">
        <f ca="1">AVERAGE(OFFSET($DS$3,0,0,'Données projet'!$E$14+1,1))-AVERAGE(OFFSET($H$3,0,0,'Données projet'!$E$14+1,1))</f>
        <v>325.5873213944476</v>
      </c>
      <c r="DU107" s="59">
        <f t="shared" si="98"/>
        <v>347.9042278368363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0.67627981135030446</v>
      </c>
      <c r="EB107" s="21">
        <f>EXP(-LN(2)/25)*EB106+(1-EXP(-LN(2)/25))/(LN(2)/25)*Calculateur!DW107*Calculateur!DY107*VLOOKUP('Données projet'!$B$14,Paramètres!$A$1:$I$89,3,0)*0.475*44/12</f>
        <v>1.1339259777032131</v>
      </c>
      <c r="EC107" s="21">
        <f>EXP(-LN(2)/2)*EC106+(1-EXP(-LN(2)/2))/(LN(2)/2)*DW107*DZ107*VLOOKUP('Données projet'!$B$14,Paramètres!$A$1:$I$89,3,0)*0.475*44/12</f>
        <v>8.6946388447129446E-11</v>
      </c>
      <c r="ED107" s="22">
        <f t="shared" si="72"/>
        <v>1.8102057891404639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205.5480000480477</v>
      </c>
      <c r="EP107" s="59">
        <f t="shared" si="100"/>
        <v>229.86812144828366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1.6987866020617728</v>
      </c>
      <c r="EW107" s="21">
        <f>EXP(-LN(2)/25)*EW106+(1-EXP(-LN(2)/25))/(LN(2)/25)*Calculateur!ER107*Calculateur!ET107*VLOOKUP('Données projet'!$B$15,Paramètres!$A$1:$I$89,3,0)*0.475*44/12</f>
        <v>0.77398178910504523</v>
      </c>
      <c r="EX107" s="21">
        <f>EXP(-LN(2)/2)*EX106+(1-EXP(-LN(2)/2))/(LN(2)/2)*ER107*EU107*VLOOKUP('Données projet'!$B$15,Paramètres!$A$1:$I$89,3,0)*0.475*44/12</f>
        <v>2.1522071839656665E-11</v>
      </c>
      <c r="EY107" s="22">
        <f t="shared" si="75"/>
        <v>2.4727683911883398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3.05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18.345600000000029</v>
      </c>
      <c r="D108" s="11">
        <f t="shared" si="86"/>
        <v>6.0257189209257787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67.806100071339557</v>
      </c>
      <c r="H108" s="67">
        <f t="shared" si="56"/>
        <v>254.38004712061243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-3.4106051316484809E-13</v>
      </c>
      <c r="O108" s="13">
        <f>N108*VLOOKUP('Données projet'!$B$9,Paramètres!$A$1:$I$89,3,0)*VLOOKUP('Données projet'!$B$9,Paramètres!$A$1:$I$89,5,0)</f>
        <v>-1.9065282685915009E-13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542.23071537860039</v>
      </c>
      <c r="T108" s="59">
        <f t="shared" si="88"/>
        <v>667.26143680054633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1.6623064212474781</v>
      </c>
      <c r="AA108" s="21">
        <f>EXP(-LN(2)/25)*AA107+(1-EXP(-LN(2)/25))/(LN(2)/25)*Calculateur!V108*Calculateur!X108*VLOOKUP('Données projet'!$B$9,Paramètres!$A$1:$I$89,3,0)*0.475*44/12</f>
        <v>5.326527948069347</v>
      </c>
      <c r="AB108" s="21">
        <f>EXP(-LN(2)/2)*AB107+(1-EXP(-LN(2)/2))/(LN(2)/2)*V108*Y108*VLOOKUP('Données projet'!$B$9,Paramètres!$A$1:$I$89,3,0)*0.475*44/12</f>
        <v>7.4178647674177942E-11</v>
      </c>
      <c r="AC108" s="22">
        <f t="shared" si="57"/>
        <v>6.9888343693910038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-1.2710188457276673E-13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427.83834708696861</v>
      </c>
      <c r="AO108" s="59">
        <f t="shared" si="90"/>
        <v>545.63950537101903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0.99738385274848806</v>
      </c>
      <c r="AV108" s="21">
        <f>EXP(-LN(2)/25)*AV107+(1-EXP(-LN(2)/25))/(LN(2)/25)*Calculateur!AQ108*Calculateur!AS108*VLOOKUP('Données projet'!$B$10,Paramètres!$A$1:$I$89,3,0)*0.475*44/12</f>
        <v>3.0776127400234929</v>
      </c>
      <c r="AW108" s="21">
        <f>EXP(-LN(2)/2)*AW107+(1-EXP(-LN(2)/2))/(LN(2)/2)*AQ108*AT108*VLOOKUP('Données projet'!$B$10,Paramètres!$A$1:$I$89,3,0)*0.475*44/12</f>
        <v>4.7601611580846079E-11</v>
      </c>
      <c r="AX108" s="21">
        <f t="shared" si="60"/>
        <v>4.0749965928195833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8.6999999999999993</v>
      </c>
      <c r="BD108" s="12">
        <f>IF('Données projet'!$A$88&gt;35,BD107+BC108-BL107,IF(A108&lt;'Données projet'!$A$88,$BA$205^A108,IF(A108='Données projet'!$A$88,'Données projet'!$B$88,BD107+BC108-BL107)))</f>
        <v>304.5</v>
      </c>
      <c r="BE108" s="13">
        <f>BD108*VLOOKUP('Données projet'!$B$11,Paramètres!$A$1:$I$89,3,0)*VLOOKUP('Données projet'!$B$11,Paramètres!$A$1:$I$89,5,0)</f>
        <v>142.506</v>
      </c>
      <c r="BF108" s="13">
        <f t="shared" si="91"/>
        <v>36.870500776307537</v>
      </c>
      <c r="BG108" s="20">
        <f t="shared" si="61"/>
        <v>312.41407218540223</v>
      </c>
      <c r="BH108" s="59">
        <f t="shared" si="62"/>
        <v>596.84463531473398</v>
      </c>
      <c r="BI108" s="59">
        <f ca="1">AVERAGE(OFFSET($BH$3,0,0,'Données projet'!$E$11+1,1))-AVERAGE(OFFSET($H$3,0,0,'Données projet'!$E$11+1,1))</f>
        <v>210.62109466714364</v>
      </c>
      <c r="BJ108" s="59">
        <f t="shared" si="92"/>
        <v>193.35729443770401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1.4780554726838953</v>
      </c>
      <c r="BQ108" s="21">
        <f>EXP(-LN(2)/25)*BQ107+(1-EXP(-LN(2)/25))/(LN(2)/25)*Calculateur!BL108*Calculateur!BN108*VLOOKUP('Données projet'!$B$11,Paramètres!$A$1:$I$89,3,0)*0.475*44/12</f>
        <v>1.0015350822914779</v>
      </c>
      <c r="BR108" s="21">
        <f>EXP(-LN(2)/2)*BR107+(1-EXP(-LN(2)/2))/(LN(2)/2)*BL108*BO108*VLOOKUP('Données projet'!$B$11,Paramètres!$A$1:$I$89,3,0)*0.475*44/12</f>
        <v>4.0726763539300437E-11</v>
      </c>
      <c r="BS108" s="22">
        <f t="shared" si="63"/>
        <v>2.4795905550161002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368.16165268258442</v>
      </c>
      <c r="CE108" s="59">
        <f t="shared" si="94"/>
        <v>291.32219253157041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1.6934350742719755</v>
      </c>
      <c r="CL108" s="21">
        <f>EXP(-LN(2)/25)*CL107+(1-EXP(-LN(2)/25))/(LN(2)/25)*Calculateur!CG108*Calculateur!CI108*VLOOKUP('Données projet'!$B$12,Paramètres!$A$1:$I$89,3,0)*0.475*44/12</f>
        <v>0.83040358423611227</v>
      </c>
      <c r="CM108" s="21">
        <f>EXP(-LN(2)/2)*CM107+(1-EXP(-LN(2)/2))/(LN(2)/2)*CG108*CJ108*VLOOKUP('Données projet'!$B$12,Paramètres!$A$1:$I$89,3,0)*0.475*44/12</f>
        <v>4.0762019475190588E-11</v>
      </c>
      <c r="CN108" s="22">
        <f t="shared" si="66"/>
        <v>2.5238386585488497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1.1368683772161603E-13</v>
      </c>
      <c r="CU108" s="17">
        <f>CT108*VLOOKUP('Données projet'!$B$13,Paramètres!$A$1:$I$89,3,0)*VLOOKUP('Données projet'!$B$13,Paramètres!$A$1:$I$89,5,0)</f>
        <v>6.7984728957526396E-14</v>
      </c>
      <c r="CV108" s="13">
        <f t="shared" si="95"/>
        <v>1.0682447123141398E-12</v>
      </c>
      <c r="CW108" s="20">
        <f t="shared" si="67"/>
        <v>1.978932943548152E-12</v>
      </c>
      <c r="CX108" s="59">
        <f t="shared" si="68"/>
        <v>284.43056312933379</v>
      </c>
      <c r="CY108" s="59">
        <f ca="1">AVERAGE(OFFSET($CX$3,0,0,'Données projet'!$E$13+1,1))-AVERAGE(OFFSET($H$3,0,0,'Données projet'!$E$13+1,1))</f>
        <v>317.12995176362455</v>
      </c>
      <c r="CZ108" s="59">
        <f t="shared" si="96"/>
        <v>328.11301015275262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4.0880917984214795</v>
      </c>
      <c r="DG108" s="21">
        <f>EXP(-LN(2)/25)*DG107+(1-EXP(-LN(2)/25))/(LN(2)/25)*Calculateur!DB108*Calculateur!DD108*VLOOKUP('Données projet'!$B$13,Paramètres!$A$1:$I$89,3,0)*0.475*44/12</f>
        <v>2.0157521424624671</v>
      </c>
      <c r="DH108" s="21">
        <f>EXP(-LN(2)/2)*DH107+(1-EXP(-LN(2)/2))/(LN(2)/2)*DB108*DE108*VLOOKUP('Données projet'!$B$13,Paramètres!$A$1:$I$89,3,0)*0.475*44/12</f>
        <v>2.9538724167270934E-11</v>
      </c>
      <c r="DI108" s="22">
        <f t="shared" si="69"/>
        <v>6.1038439409134853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2.8421709430404007E-14</v>
      </c>
      <c r="DP108" s="17">
        <f>DO108*VLOOKUP('Données projet'!$B$14,Paramètres!$A$1:$I$89,3,0)*VLOOKUP('Données projet'!$B$14,Paramètres!$A$1:$I$89,5,0)</f>
        <v>2.4829205358400945E-14</v>
      </c>
      <c r="DQ108" s="13">
        <f t="shared" si="97"/>
        <v>4.3867331143352915E-13</v>
      </c>
      <c r="DR108" s="20">
        <f t="shared" si="70"/>
        <v>8.0726688341261168E-13</v>
      </c>
      <c r="DS108" s="59">
        <f t="shared" si="71"/>
        <v>284.4305631293326</v>
      </c>
      <c r="DT108" s="59">
        <f ca="1">AVERAGE(OFFSET($DS$3,0,0,'Données projet'!$E$14+1,1))-AVERAGE(OFFSET($H$3,0,0,'Données projet'!$E$14+1,1))</f>
        <v>325.5873213944476</v>
      </c>
      <c r="DU108" s="59">
        <f t="shared" si="98"/>
        <v>347.9042278368363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0.66301837673967989</v>
      </c>
      <c r="EB108" s="21">
        <f>EXP(-LN(2)/25)*EB107+(1-EXP(-LN(2)/25))/(LN(2)/25)*Calculateur!DW108*Calculateur!DY108*VLOOKUP('Données projet'!$B$14,Paramètres!$A$1:$I$89,3,0)*0.475*44/12</f>
        <v>1.1029187122123432</v>
      </c>
      <c r="EC108" s="21">
        <f>EXP(-LN(2)/2)*EC107+(1-EXP(-LN(2)/2))/(LN(2)/2)*DW108*DZ108*VLOOKUP('Données projet'!$B$14,Paramètres!$A$1:$I$89,3,0)*0.475*44/12</f>
        <v>6.1480380870644925E-11</v>
      </c>
      <c r="ED108" s="22">
        <f t="shared" si="72"/>
        <v>1.7659370890135035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205.5480000480477</v>
      </c>
      <c r="EP108" s="59">
        <f t="shared" si="100"/>
        <v>229.86812144828366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1.6654744329528566</v>
      </c>
      <c r="EW108" s="21">
        <f>EXP(-LN(2)/25)*EW107+(1-EXP(-LN(2)/25))/(LN(2)/25)*Calculateur!ER108*Calculateur!ET108*VLOOKUP('Données projet'!$B$15,Paramètres!$A$1:$I$89,3,0)*0.475*44/12</f>
        <v>0.7528172163800344</v>
      </c>
      <c r="EX108" s="21">
        <f>EXP(-LN(2)/2)*EX107+(1-EXP(-LN(2)/2))/(LN(2)/2)*ER108*EU108*VLOOKUP('Données projet'!$B$15,Paramètres!$A$1:$I$89,3,0)*0.475*44/12</f>
        <v>1.5218402943005261E-11</v>
      </c>
      <c r="EY108" s="22">
        <f t="shared" si="75"/>
        <v>2.4182916493481095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3.05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18.52032000000003</v>
      </c>
      <c r="D109" s="11">
        <f t="shared" si="86"/>
        <v>6.0763987728127882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68.362877249334133</v>
      </c>
      <c r="H109" s="67">
        <f t="shared" si="56"/>
        <v>254.77261852931562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-3.4106051316484809E-13</v>
      </c>
      <c r="O109" s="13">
        <f>N109*VLOOKUP('Données projet'!$B$9,Paramètres!$A$1:$I$89,3,0)*VLOOKUP('Données projet'!$B$9,Paramètres!$A$1:$I$89,5,0)</f>
        <v>-1.9065282685915009E-13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542.23071537860039</v>
      </c>
      <c r="T109" s="59">
        <f t="shared" si="88"/>
        <v>667.26143680054633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1.6297096062336169</v>
      </c>
      <c r="AA109" s="21">
        <f>EXP(-LN(2)/25)*AA108+(1-EXP(-LN(2)/25))/(LN(2)/25)*Calculateur!V109*Calculateur!X109*VLOOKUP('Données projet'!$B$9,Paramètres!$A$1:$I$89,3,0)*0.475*44/12</f>
        <v>5.18087376121946</v>
      </c>
      <c r="AB109" s="21">
        <f>EXP(-LN(2)/2)*AB108+(1-EXP(-LN(2)/2))/(LN(2)/2)*V109*Y109*VLOOKUP('Données projet'!$B$9,Paramètres!$A$1:$I$89,3,0)*0.475*44/12</f>
        <v>5.2452224789658945E-11</v>
      </c>
      <c r="AC109" s="22">
        <f t="shared" si="57"/>
        <v>6.8105833675055294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-1.2710188457276673E-13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427.83834708696861</v>
      </c>
      <c r="AO109" s="59">
        <f t="shared" si="90"/>
        <v>545.63950537101903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0.97782576374017138</v>
      </c>
      <c r="AV109" s="21">
        <f>EXP(-LN(2)/25)*AV108+(1-EXP(-LN(2)/25))/(LN(2)/25)*Calculateur!AQ109*Calculateur!AS109*VLOOKUP('Données projet'!$B$10,Paramètres!$A$1:$I$89,3,0)*0.475*44/12</f>
        <v>2.9934552578029305</v>
      </c>
      <c r="AW109" s="21">
        <f>EXP(-LN(2)/2)*AW108+(1-EXP(-LN(2)/2))/(LN(2)/2)*AQ109*AT109*VLOOKUP('Données projet'!$B$10,Paramètres!$A$1:$I$89,3,0)*0.475*44/12</f>
        <v>3.3659422344224354E-11</v>
      </c>
      <c r="AX109" s="21">
        <f t="shared" si="60"/>
        <v>3.9712810215767611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8.6999999999999993</v>
      </c>
      <c r="BD109" s="12">
        <f>IF('Données projet'!$A$88&gt;35,BD108+BC109-BL108,IF(A109&lt;'Données projet'!$A$88,$BA$205^A109,IF(A109='Données projet'!$A$88,'Données projet'!$B$88,BD108+BC109-BL108)))</f>
        <v>313.2</v>
      </c>
      <c r="BE109" s="13">
        <f>BD109*VLOOKUP('Données projet'!$B$11,Paramètres!$A$1:$I$89,3,0)*VLOOKUP('Données projet'!$B$11,Paramètres!$A$1:$I$89,5,0)</f>
        <v>146.57759999999999</v>
      </c>
      <c r="BF109" s="13">
        <f t="shared" si="91"/>
        <v>37.799791292871248</v>
      </c>
      <c r="BG109" s="20">
        <f t="shared" si="61"/>
        <v>321.12395650175074</v>
      </c>
      <c r="BH109" s="59">
        <f t="shared" si="62"/>
        <v>605.70896279050953</v>
      </c>
      <c r="BI109" s="59">
        <f ca="1">AVERAGE(OFFSET($BH$3,0,0,'Données projet'!$E$11+1,1))-AVERAGE(OFFSET($H$3,0,0,'Données projet'!$E$11+1,1))</f>
        <v>210.62109466714364</v>
      </c>
      <c r="BJ109" s="59">
        <f t="shared" si="92"/>
        <v>193.35729443770401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1.4490717063893843</v>
      </c>
      <c r="BQ109" s="21">
        <f>EXP(-LN(2)/25)*BQ108+(1-EXP(-LN(2)/25))/(LN(2)/25)*Calculateur!BL109*Calculateur!BN109*VLOOKUP('Données projet'!$B$11,Paramètres!$A$1:$I$89,3,0)*0.475*44/12</f>
        <v>0.9741480527977765</v>
      </c>
      <c r="BR109" s="21">
        <f>EXP(-LN(2)/2)*BR108+(1-EXP(-LN(2)/2))/(LN(2)/2)*BL109*BO109*VLOOKUP('Données projet'!$B$11,Paramètres!$A$1:$I$89,3,0)*0.475*44/12</f>
        <v>2.8798170674420377E-11</v>
      </c>
      <c r="BS109" s="22">
        <f t="shared" si="63"/>
        <v>2.423219759215959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368.16165268258442</v>
      </c>
      <c r="CE109" s="59">
        <f t="shared" si="94"/>
        <v>291.32219253157041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1.6602278453589077</v>
      </c>
      <c r="CL109" s="21">
        <f>EXP(-LN(2)/25)*CL108+(1-EXP(-LN(2)/25))/(LN(2)/25)*Calculateur!CG109*Calculateur!CI109*VLOOKUP('Données projet'!$B$12,Paramètres!$A$1:$I$89,3,0)*0.475*44/12</f>
        <v>0.80769615455614918</v>
      </c>
      <c r="CM109" s="21">
        <f>EXP(-LN(2)/2)*CM108+(1-EXP(-LN(2)/2))/(LN(2)/2)*CG109*CJ109*VLOOKUP('Données projet'!$B$12,Paramètres!$A$1:$I$89,3,0)*0.475*44/12</f>
        <v>2.8823100385765382E-11</v>
      </c>
      <c r="CN109" s="22">
        <f t="shared" si="66"/>
        <v>2.46792399994388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1.1368683772161603E-13</v>
      </c>
      <c r="CU109" s="17">
        <f>CT109*VLOOKUP('Données projet'!$B$13,Paramètres!$A$1:$I$89,3,0)*VLOOKUP('Données projet'!$B$13,Paramètres!$A$1:$I$89,5,0)</f>
        <v>6.7984728957526396E-14</v>
      </c>
      <c r="CV109" s="13">
        <f t="shared" si="95"/>
        <v>1.0682447123141398E-12</v>
      </c>
      <c r="CW109" s="20">
        <f t="shared" si="67"/>
        <v>1.978932943548152E-12</v>
      </c>
      <c r="CX109" s="59">
        <f t="shared" si="68"/>
        <v>284.58500628876072</v>
      </c>
      <c r="CY109" s="59">
        <f ca="1">AVERAGE(OFFSET($CX$3,0,0,'Données projet'!$E$13+1,1))-AVERAGE(OFFSET($H$3,0,0,'Données projet'!$E$13+1,1))</f>
        <v>317.12995176362455</v>
      </c>
      <c r="CZ109" s="59">
        <f t="shared" si="96"/>
        <v>328.11301015275262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4.0079268117442197</v>
      </c>
      <c r="DG109" s="21">
        <f>EXP(-LN(2)/25)*DG108+(1-EXP(-LN(2)/25))/(LN(2)/25)*Calculateur!DB109*Calculateur!DD109*VLOOKUP('Données projet'!$B$13,Paramètres!$A$1:$I$89,3,0)*0.475*44/12</f>
        <v>1.9606312941230328</v>
      </c>
      <c r="DH109" s="21">
        <f>EXP(-LN(2)/2)*DH108+(1-EXP(-LN(2)/2))/(LN(2)/2)*DB109*DE109*VLOOKUP('Données projet'!$B$13,Paramètres!$A$1:$I$89,3,0)*0.475*44/12</f>
        <v>2.0887032166276232E-11</v>
      </c>
      <c r="DI109" s="22">
        <f t="shared" si="69"/>
        <v>5.9685581058881398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2.8421709430404007E-14</v>
      </c>
      <c r="DP109" s="17">
        <f>DO109*VLOOKUP('Données projet'!$B$14,Paramètres!$A$1:$I$89,3,0)*VLOOKUP('Données projet'!$B$14,Paramètres!$A$1:$I$89,5,0)</f>
        <v>2.4829205358400945E-14</v>
      </c>
      <c r="DQ109" s="13">
        <f t="shared" si="97"/>
        <v>4.3867331143352915E-13</v>
      </c>
      <c r="DR109" s="20">
        <f t="shared" si="70"/>
        <v>8.0726688341261168E-13</v>
      </c>
      <c r="DS109" s="59">
        <f t="shared" si="71"/>
        <v>284.58500628875953</v>
      </c>
      <c r="DT109" s="59">
        <f ca="1">AVERAGE(OFFSET($DS$3,0,0,'Données projet'!$E$14+1,1))-AVERAGE(OFFSET($H$3,0,0,'Données projet'!$E$14+1,1))</f>
        <v>325.5873213944476</v>
      </c>
      <c r="DU109" s="59">
        <f t="shared" si="98"/>
        <v>347.9042278368363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0.65001699077309327</v>
      </c>
      <c r="EB109" s="21">
        <f>EXP(-LN(2)/25)*EB108+(1-EXP(-LN(2)/25))/(LN(2)/25)*Calculateur!DW109*Calculateur!DY109*VLOOKUP('Données projet'!$B$14,Paramètres!$A$1:$I$89,3,0)*0.475*44/12</f>
        <v>1.0727593420269224</v>
      </c>
      <c r="EC109" s="21">
        <f>EXP(-LN(2)/2)*EC108+(1-EXP(-LN(2)/2))/(LN(2)/2)*DW109*DZ109*VLOOKUP('Données projet'!$B$14,Paramètres!$A$1:$I$89,3,0)*0.475*44/12</f>
        <v>4.3473194223564723E-11</v>
      </c>
      <c r="ED109" s="22">
        <f t="shared" si="72"/>
        <v>1.7227763328434889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205.5480000480477</v>
      </c>
      <c r="EP109" s="59">
        <f t="shared" si="100"/>
        <v>229.86812144828366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1.6328154951617493</v>
      </c>
      <c r="EW109" s="21">
        <f>EXP(-LN(2)/25)*EW108+(1-EXP(-LN(2)/25))/(LN(2)/25)*Calculateur!ER109*Calculateur!ET109*VLOOKUP('Données projet'!$B$15,Paramètres!$A$1:$I$89,3,0)*0.475*44/12</f>
        <v>0.73223139000918558</v>
      </c>
      <c r="EX109" s="21">
        <f>EXP(-LN(2)/2)*EX108+(1-EXP(-LN(2)/2))/(LN(2)/2)*ER109*EU109*VLOOKUP('Données projet'!$B$15,Paramètres!$A$1:$I$89,3,0)*0.475*44/12</f>
        <v>1.0761035919828332E-11</v>
      </c>
      <c r="EY109" s="22">
        <f t="shared" si="75"/>
        <v>2.3650468851816959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3.05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18.695040000000031</v>
      </c>
      <c r="D110" s="11">
        <f t="shared" si="86"/>
        <v>6.1270230021574932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68.919517029890869</v>
      </c>
      <c r="H110" s="67">
        <f t="shared" si="56"/>
        <v>255.16509306209099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-3.4106051316484809E-13</v>
      </c>
      <c r="O110" s="13">
        <f>N110*VLOOKUP('Données projet'!$B$9,Paramètres!$A$1:$I$89,3,0)*VLOOKUP('Données projet'!$B$9,Paramètres!$A$1:$I$89,5,0)</f>
        <v>-1.9065282685915009E-13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542.23071537860039</v>
      </c>
      <c r="T110" s="59">
        <f t="shared" si="88"/>
        <v>667.26143680054633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1.5977519948800838</v>
      </c>
      <c r="AA110" s="21">
        <f>EXP(-LN(2)/25)*AA109+(1-EXP(-LN(2)/25))/(LN(2)/25)*Calculateur!V110*Calculateur!X110*VLOOKUP('Données projet'!$B$9,Paramètres!$A$1:$I$89,3,0)*0.475*44/12</f>
        <v>5.0392024957686035</v>
      </c>
      <c r="AB110" s="21">
        <f>EXP(-LN(2)/2)*AB109+(1-EXP(-LN(2)/2))/(LN(2)/2)*V110*Y110*VLOOKUP('Données projet'!$B$9,Paramètres!$A$1:$I$89,3,0)*0.475*44/12</f>
        <v>3.7089323837088971E-11</v>
      </c>
      <c r="AC110" s="22">
        <f t="shared" si="57"/>
        <v>6.6369544906857767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-1.2710188457276673E-13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427.83834708696861</v>
      </c>
      <c r="AO110" s="59">
        <f t="shared" si="90"/>
        <v>545.63950537101903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0.95865119692805145</v>
      </c>
      <c r="AV110" s="21">
        <f>EXP(-LN(2)/25)*AV109+(1-EXP(-LN(2)/25))/(LN(2)/25)*Calculateur!AQ110*Calculateur!AS110*VLOOKUP('Données projet'!$B$10,Paramètres!$A$1:$I$89,3,0)*0.475*44/12</f>
        <v>2.9115990663593392</v>
      </c>
      <c r="AW110" s="21">
        <f>EXP(-LN(2)/2)*AW109+(1-EXP(-LN(2)/2))/(LN(2)/2)*AQ110*AT110*VLOOKUP('Données projet'!$B$10,Paramètres!$A$1:$I$89,3,0)*0.475*44/12</f>
        <v>2.380080579042304E-11</v>
      </c>
      <c r="AX110" s="21">
        <f t="shared" si="60"/>
        <v>3.8702502633111915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8.6999999999999993</v>
      </c>
      <c r="BD110" s="12">
        <f>IF('Données projet'!$A$88&gt;35,BD109+BC110-BL109,IF(A110&lt;'Données projet'!$A$88,$BA$205^A110,IF(A110='Données projet'!$A$88,'Données projet'!$B$88,BD109+BC110-BL109)))</f>
        <v>321.89999999999998</v>
      </c>
      <c r="BE110" s="13">
        <f>BD110*VLOOKUP('Données projet'!$B$11,Paramètres!$A$1:$I$89,3,0)*VLOOKUP('Données projet'!$B$11,Paramètres!$A$1:$I$89,5,0)</f>
        <v>150.64919999999998</v>
      </c>
      <c r="BF110" s="13">
        <f t="shared" si="91"/>
        <v>38.726081548099948</v>
      </c>
      <c r="BG110" s="20">
        <f t="shared" si="61"/>
        <v>329.8286153629407</v>
      </c>
      <c r="BH110" s="59">
        <f t="shared" si="62"/>
        <v>614.56538556759369</v>
      </c>
      <c r="BI110" s="59">
        <f ca="1">AVERAGE(OFFSET($BH$3,0,0,'Données projet'!$E$11+1,1))-AVERAGE(OFFSET($H$3,0,0,'Données projet'!$E$11+1,1))</f>
        <v>210.62109466714364</v>
      </c>
      <c r="BJ110" s="59">
        <f t="shared" si="92"/>
        <v>193.35729443770401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1.4206562940735568</v>
      </c>
      <c r="BQ110" s="21">
        <f>EXP(-LN(2)/25)*BQ109+(1-EXP(-LN(2)/25))/(LN(2)/25)*Calculateur!BL110*Calculateur!BN110*VLOOKUP('Données projet'!$B$11,Paramètres!$A$1:$I$89,3,0)*0.475*44/12</f>
        <v>0.94750992306580162</v>
      </c>
      <c r="BR110" s="21">
        <f>EXP(-LN(2)/2)*BR109+(1-EXP(-LN(2)/2))/(LN(2)/2)*BL110*BO110*VLOOKUP('Données projet'!$B$11,Paramètres!$A$1:$I$89,3,0)*0.475*44/12</f>
        <v>2.0363381769650222E-11</v>
      </c>
      <c r="BS110" s="22">
        <f t="shared" si="63"/>
        <v>2.3681662171597218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368.16165268258442</v>
      </c>
      <c r="CE110" s="59">
        <f t="shared" si="94"/>
        <v>291.32219253157041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1.6276717899504154</v>
      </c>
      <c r="CL110" s="21">
        <f>EXP(-LN(2)/25)*CL109+(1-EXP(-LN(2)/25))/(LN(2)/25)*Calculateur!CG110*Calculateur!CI110*VLOOKUP('Données projet'!$B$12,Paramètres!$A$1:$I$89,3,0)*0.475*44/12</f>
        <v>0.78560966073491656</v>
      </c>
      <c r="CM110" s="21">
        <f>EXP(-LN(2)/2)*CM109+(1-EXP(-LN(2)/2))/(LN(2)/2)*CG110*CJ110*VLOOKUP('Données projet'!$B$12,Paramètres!$A$1:$I$89,3,0)*0.475*44/12</f>
        <v>2.0381009737595297E-11</v>
      </c>
      <c r="CN110" s="22">
        <f t="shared" si="66"/>
        <v>2.4132814507057132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1.1368683772161603E-13</v>
      </c>
      <c r="CU110" s="17">
        <f>CT110*VLOOKUP('Données projet'!$B$13,Paramètres!$A$1:$I$89,3,0)*VLOOKUP('Données projet'!$B$13,Paramètres!$A$1:$I$89,5,0)</f>
        <v>6.7984728957526396E-14</v>
      </c>
      <c r="CV110" s="13">
        <f t="shared" si="95"/>
        <v>1.0682447123141398E-12</v>
      </c>
      <c r="CW110" s="20">
        <f t="shared" si="67"/>
        <v>1.978932943548152E-12</v>
      </c>
      <c r="CX110" s="59">
        <f t="shared" si="68"/>
        <v>284.73677020465493</v>
      </c>
      <c r="CY110" s="59">
        <f ca="1">AVERAGE(OFFSET($CX$3,0,0,'Données projet'!$E$13+1,1))-AVERAGE(OFFSET($H$3,0,0,'Données projet'!$E$13+1,1))</f>
        <v>317.12995176362455</v>
      </c>
      <c r="CZ110" s="59">
        <f t="shared" si="96"/>
        <v>328.11301015275262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3.929333811559887</v>
      </c>
      <c r="DG110" s="21">
        <f>EXP(-LN(2)/25)*DG109+(1-EXP(-LN(2)/25))/(LN(2)/25)*Calculateur!DB110*Calculateur!DD110*VLOOKUP('Données projet'!$B$13,Paramètres!$A$1:$I$89,3,0)*0.475*44/12</f>
        <v>1.9070177282801197</v>
      </c>
      <c r="DH110" s="21">
        <f>EXP(-LN(2)/2)*DH109+(1-EXP(-LN(2)/2))/(LN(2)/2)*DB110*DE110*VLOOKUP('Données projet'!$B$13,Paramètres!$A$1:$I$89,3,0)*0.475*44/12</f>
        <v>1.4769362083635467E-11</v>
      </c>
      <c r="DI110" s="22">
        <f t="shared" si="69"/>
        <v>5.8363515398547765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2.8421709430404007E-14</v>
      </c>
      <c r="DP110" s="17">
        <f>DO110*VLOOKUP('Données projet'!$B$14,Paramètres!$A$1:$I$89,3,0)*VLOOKUP('Données projet'!$B$14,Paramètres!$A$1:$I$89,5,0)</f>
        <v>2.4829205358400945E-14</v>
      </c>
      <c r="DQ110" s="13">
        <f t="shared" si="97"/>
        <v>4.3867331143352915E-13</v>
      </c>
      <c r="DR110" s="20">
        <f t="shared" si="70"/>
        <v>8.0726688341261168E-13</v>
      </c>
      <c r="DS110" s="59">
        <f t="shared" si="71"/>
        <v>284.73677020465374</v>
      </c>
      <c r="DT110" s="59">
        <f ca="1">AVERAGE(OFFSET($DS$3,0,0,'Données projet'!$E$14+1,1))-AVERAGE(OFFSET($H$3,0,0,'Données projet'!$E$14+1,1))</f>
        <v>325.5873213944476</v>
      </c>
      <c r="DU110" s="59">
        <f t="shared" si="98"/>
        <v>347.9042278368363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0.63727055405524902</v>
      </c>
      <c r="EB110" s="21">
        <f>EXP(-LN(2)/25)*EB109+(1-EXP(-LN(2)/25))/(LN(2)/25)*Calculateur!DW110*Calculateur!DY110*VLOOKUP('Données projet'!$B$14,Paramètres!$A$1:$I$89,3,0)*0.475*44/12</f>
        <v>1.0434246814052341</v>
      </c>
      <c r="EC110" s="21">
        <f>EXP(-LN(2)/2)*EC109+(1-EXP(-LN(2)/2))/(LN(2)/2)*DW110*DZ110*VLOOKUP('Données projet'!$B$14,Paramètres!$A$1:$I$89,3,0)*0.475*44/12</f>
        <v>3.0740190435322462E-11</v>
      </c>
      <c r="ED110" s="22">
        <f t="shared" si="72"/>
        <v>1.6806952354912235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205.5480000480477</v>
      </c>
      <c r="EP110" s="59">
        <f t="shared" si="100"/>
        <v>229.86812144828366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1.6007969792207406</v>
      </c>
      <c r="EW110" s="21">
        <f>EXP(-LN(2)/25)*EW109+(1-EXP(-LN(2)/25))/(LN(2)/25)*Calculateur!ER110*Calculateur!ET110*VLOOKUP('Données projet'!$B$15,Paramètres!$A$1:$I$89,3,0)*0.475*44/12</f>
        <v>0.71220848414300919</v>
      </c>
      <c r="EX110" s="21">
        <f>EXP(-LN(2)/2)*EX109+(1-EXP(-LN(2)/2))/(LN(2)/2)*ER110*EU110*VLOOKUP('Données projet'!$B$15,Paramètres!$A$1:$I$89,3,0)*0.475*44/12</f>
        <v>7.6092014715026307E-12</v>
      </c>
      <c r="EY110" s="22">
        <f t="shared" si="75"/>
        <v>2.3130054633713586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3.05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18.869760000000031</v>
      </c>
      <c r="D111" s="11">
        <f t="shared" si="86"/>
        <v>6.1775921890071572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69.476020845828288</v>
      </c>
      <c r="H111" s="67">
        <f t="shared" si="56"/>
        <v>255.55747172918748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-3.4106051316484809E-13</v>
      </c>
      <c r="O111" s="13">
        <f>N111*VLOOKUP('Données projet'!$B$9,Paramètres!$A$1:$I$89,3,0)*VLOOKUP('Données projet'!$B$9,Paramètres!$A$1:$I$89,5,0)</f>
        <v>-1.9065282685915009E-13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542.23071537860039</v>
      </c>
      <c r="T111" s="59">
        <f t="shared" si="88"/>
        <v>667.26143680054633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1.5664210527929752</v>
      </c>
      <c r="AA111" s="21">
        <f>EXP(-LN(2)/25)*AA110+(1-EXP(-LN(2)/25))/(LN(2)/25)*Calculateur!V111*Calculateur!X111*VLOOKUP('Données projet'!$B$9,Paramètres!$A$1:$I$89,3,0)*0.475*44/12</f>
        <v>4.9014052385216687</v>
      </c>
      <c r="AB111" s="21">
        <f>EXP(-LN(2)/2)*AB110+(1-EXP(-LN(2)/2))/(LN(2)/2)*V111*Y111*VLOOKUP('Données projet'!$B$9,Paramètres!$A$1:$I$89,3,0)*0.475*44/12</f>
        <v>2.6226112394829473E-11</v>
      </c>
      <c r="AC111" s="22">
        <f t="shared" si="57"/>
        <v>6.4678262913408702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-1.2710188457276673E-13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427.83834708696861</v>
      </c>
      <c r="AO111" s="59">
        <f t="shared" si="90"/>
        <v>545.63950537101903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0.93985263167578625</v>
      </c>
      <c r="AV111" s="21">
        <f>EXP(-LN(2)/25)*AV110+(1-EXP(-LN(2)/25))/(LN(2)/25)*Calculateur!AQ111*Calculateur!AS111*VLOOKUP('Données projet'!$B$10,Paramètres!$A$1:$I$89,3,0)*0.475*44/12</f>
        <v>2.8319812367754027</v>
      </c>
      <c r="AW111" s="21">
        <f>EXP(-LN(2)/2)*AW110+(1-EXP(-LN(2)/2))/(LN(2)/2)*AQ111*AT111*VLOOKUP('Données projet'!$B$10,Paramètres!$A$1:$I$89,3,0)*0.475*44/12</f>
        <v>1.6829711172112177E-11</v>
      </c>
      <c r="AX111" s="21">
        <f t="shared" si="60"/>
        <v>3.7718338684680188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8.6999999999999993</v>
      </c>
      <c r="BD111" s="12">
        <f>IF('Données projet'!$A$88&gt;35,BD110+BC111-BL110,IF(A111&lt;'Données projet'!$A$88,$BA$205^A111,IF(A111='Données projet'!$A$88,'Données projet'!$B$88,BD110+BC111-BL110)))</f>
        <v>330.59999999999997</v>
      </c>
      <c r="BE111" s="13">
        <f>BD111*VLOOKUP('Données projet'!$B$11,Paramètres!$A$1:$I$89,3,0)*VLOOKUP('Données projet'!$B$11,Paramètres!$A$1:$I$89,5,0)</f>
        <v>154.72079999999997</v>
      </c>
      <c r="BF111" s="13">
        <f t="shared" si="91"/>
        <v>39.649461948838557</v>
      </c>
      <c r="BG111" s="20">
        <f t="shared" si="61"/>
        <v>338.52820622756047</v>
      </c>
      <c r="BH111" s="59">
        <f t="shared" si="62"/>
        <v>623.41410758346001</v>
      </c>
      <c r="BI111" s="59">
        <f ca="1">AVERAGE(OFFSET($BH$3,0,0,'Données projet'!$E$11+1,1))-AVERAGE(OFFSET($H$3,0,0,'Données projet'!$E$11+1,1))</f>
        <v>210.62109466714364</v>
      </c>
      <c r="BJ111" s="59">
        <f t="shared" si="92"/>
        <v>193.35729443770401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1.3927980906615525</v>
      </c>
      <c r="BQ111" s="21">
        <f>EXP(-LN(2)/25)*BQ110+(1-EXP(-LN(2)/25))/(LN(2)/25)*Calculateur!BL111*Calculateur!BN111*VLOOKUP('Données projet'!$B$11,Paramètres!$A$1:$I$89,3,0)*0.475*44/12</f>
        <v>0.92160021439218598</v>
      </c>
      <c r="BR111" s="21">
        <f>EXP(-LN(2)/2)*BR110+(1-EXP(-LN(2)/2))/(LN(2)/2)*BL111*BO111*VLOOKUP('Données projet'!$B$11,Paramètres!$A$1:$I$89,3,0)*0.475*44/12</f>
        <v>1.4399085337210192E-11</v>
      </c>
      <c r="BS111" s="22">
        <f t="shared" si="63"/>
        <v>2.3143983050681376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368.16165268258442</v>
      </c>
      <c r="CE111" s="59">
        <f t="shared" si="94"/>
        <v>291.32219253157041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1.5957541389312506</v>
      </c>
      <c r="CL111" s="21">
        <f>EXP(-LN(2)/25)*CL110+(1-EXP(-LN(2)/25))/(LN(2)/25)*Calculateur!CG111*Calculateur!CI111*VLOOKUP('Données projet'!$B$12,Paramètres!$A$1:$I$89,3,0)*0.475*44/12</f>
        <v>0.76412712324870369</v>
      </c>
      <c r="CM111" s="21">
        <f>EXP(-LN(2)/2)*CM110+(1-EXP(-LN(2)/2))/(LN(2)/2)*CG111*CJ111*VLOOKUP('Données projet'!$B$12,Paramètres!$A$1:$I$89,3,0)*0.475*44/12</f>
        <v>1.4411550192882692E-11</v>
      </c>
      <c r="CN111" s="22">
        <f t="shared" si="66"/>
        <v>2.3598812621943659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1.1368683772161603E-13</v>
      </c>
      <c r="CU111" s="17">
        <f>CT111*VLOOKUP('Données projet'!$B$13,Paramètres!$A$1:$I$89,3,0)*VLOOKUP('Données projet'!$B$13,Paramètres!$A$1:$I$89,5,0)</f>
        <v>6.7984728957526396E-14</v>
      </c>
      <c r="CV111" s="13">
        <f t="shared" si="95"/>
        <v>1.0682447123141398E-12</v>
      </c>
      <c r="CW111" s="20">
        <f t="shared" si="67"/>
        <v>1.978932943548152E-12</v>
      </c>
      <c r="CX111" s="59">
        <f t="shared" si="68"/>
        <v>284.88590135590158</v>
      </c>
      <c r="CY111" s="59">
        <f ca="1">AVERAGE(OFFSET($CX$3,0,0,'Données projet'!$E$13+1,1))-AVERAGE(OFFSET($H$3,0,0,'Données projet'!$E$13+1,1))</f>
        <v>317.12995176362455</v>
      </c>
      <c r="CZ111" s="59">
        <f t="shared" si="96"/>
        <v>328.11301015275262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3.8522819721721726</v>
      </c>
      <c r="DG111" s="21">
        <f>EXP(-LN(2)/25)*DG110+(1-EXP(-LN(2)/25))/(LN(2)/25)*Calculateur!DB111*Calculateur!DD111*VLOOKUP('Données projet'!$B$13,Paramètres!$A$1:$I$89,3,0)*0.475*44/12</f>
        <v>1.8548702282145961</v>
      </c>
      <c r="DH111" s="21">
        <f>EXP(-LN(2)/2)*DH110+(1-EXP(-LN(2)/2))/(LN(2)/2)*DB111*DE111*VLOOKUP('Données projet'!$B$13,Paramètres!$A$1:$I$89,3,0)*0.475*44/12</f>
        <v>1.0443516083138116E-11</v>
      </c>
      <c r="DI111" s="22">
        <f t="shared" si="69"/>
        <v>5.7071522003972124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2.8421709430404007E-14</v>
      </c>
      <c r="DP111" s="17">
        <f>DO111*VLOOKUP('Données projet'!$B$14,Paramètres!$A$1:$I$89,3,0)*VLOOKUP('Données projet'!$B$14,Paramètres!$A$1:$I$89,5,0)</f>
        <v>2.4829205358400945E-14</v>
      </c>
      <c r="DQ111" s="13">
        <f t="shared" si="97"/>
        <v>4.3867331143352915E-13</v>
      </c>
      <c r="DR111" s="20">
        <f t="shared" si="70"/>
        <v>8.0726688341261168E-13</v>
      </c>
      <c r="DS111" s="59">
        <f t="shared" si="71"/>
        <v>284.88590135590039</v>
      </c>
      <c r="DT111" s="59">
        <f ca="1">AVERAGE(OFFSET($DS$3,0,0,'Données projet'!$E$14+1,1))-AVERAGE(OFFSET($H$3,0,0,'Données projet'!$E$14+1,1))</f>
        <v>325.5873213944476</v>
      </c>
      <c r="DU111" s="59">
        <f t="shared" si="98"/>
        <v>347.9042278368363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0.624774067186883</v>
      </c>
      <c r="EB111" s="21">
        <f>EXP(-LN(2)/25)*EB110+(1-EXP(-LN(2)/25))/(LN(2)/25)*Calculateur!DW111*Calculateur!DY111*VLOOKUP('Données projet'!$B$14,Paramètres!$A$1:$I$89,3,0)*0.475*44/12</f>
        <v>1.0148921786208889</v>
      </c>
      <c r="EC111" s="21">
        <f>EXP(-LN(2)/2)*EC110+(1-EXP(-LN(2)/2))/(LN(2)/2)*DW111*DZ111*VLOOKUP('Données projet'!$B$14,Paramètres!$A$1:$I$89,3,0)*0.475*44/12</f>
        <v>2.1736597111782361E-11</v>
      </c>
      <c r="ED111" s="22">
        <f t="shared" si="72"/>
        <v>1.6396662458295086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205.5480000480477</v>
      </c>
      <c r="EP111" s="59">
        <f t="shared" si="100"/>
        <v>229.86812144828366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1.5694063268479688</v>
      </c>
      <c r="EW111" s="21">
        <f>EXP(-LN(2)/25)*EW110+(1-EXP(-LN(2)/25))/(LN(2)/25)*Calculateur!ER111*Calculateur!ET111*VLOOKUP('Données projet'!$B$15,Paramètres!$A$1:$I$89,3,0)*0.475*44/12</f>
        <v>0.69273310569070223</v>
      </c>
      <c r="EX111" s="21">
        <f>EXP(-LN(2)/2)*EX110+(1-EXP(-LN(2)/2))/(LN(2)/2)*ER111*EU111*VLOOKUP('Données projet'!$B$15,Paramètres!$A$1:$I$89,3,0)*0.475*44/12</f>
        <v>5.3805179599141662E-12</v>
      </c>
      <c r="EY111" s="22">
        <f t="shared" si="75"/>
        <v>2.2621394325440516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3.05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19.044480000000032</v>
      </c>
      <c r="D112" s="11">
        <f t="shared" si="86"/>
        <v>6.2281069020479078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70.032390101900873</v>
      </c>
      <c r="H112" s="67">
        <f t="shared" si="56"/>
        <v>255.94975552106681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-3.4106051316484809E-13</v>
      </c>
      <c r="O112" s="13">
        <f>N112*VLOOKUP('Données projet'!$B$9,Paramètres!$A$1:$I$89,3,0)*VLOOKUP('Données projet'!$B$9,Paramètres!$A$1:$I$89,5,0)</f>
        <v>-1.9065282685915009E-13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542.23071537860039</v>
      </c>
      <c r="T112" s="59">
        <f t="shared" si="88"/>
        <v>667.26143680054633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1.5357044913702069</v>
      </c>
      <c r="AA112" s="21">
        <f>EXP(-LN(2)/25)*AA111+(1-EXP(-LN(2)/25))/(LN(2)/25)*Calculateur!V112*Calculateur!X112*VLOOKUP('Données projet'!$B$9,Paramètres!$A$1:$I$89,3,0)*0.475*44/12</f>
        <v>4.7673760545205948</v>
      </c>
      <c r="AB112" s="21">
        <f>EXP(-LN(2)/2)*AB111+(1-EXP(-LN(2)/2))/(LN(2)/2)*V112*Y112*VLOOKUP('Données projet'!$B$9,Paramètres!$A$1:$I$89,3,0)*0.475*44/12</f>
        <v>1.8544661918544486E-11</v>
      </c>
      <c r="AC112" s="22">
        <f t="shared" si="57"/>
        <v>6.3030805459093457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-1.2710188457276673E-13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427.83834708696861</v>
      </c>
      <c r="AO112" s="59">
        <f t="shared" si="90"/>
        <v>545.63950537101903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0.92142269482212535</v>
      </c>
      <c r="AV112" s="21">
        <f>EXP(-LN(2)/25)*AV111+(1-EXP(-LN(2)/25))/(LN(2)/25)*Calculateur!AQ112*Calculateur!AS112*VLOOKUP('Données projet'!$B$10,Paramètres!$A$1:$I$89,3,0)*0.475*44/12</f>
        <v>2.7545405609283589</v>
      </c>
      <c r="AW112" s="21">
        <f>EXP(-LN(2)/2)*AW111+(1-EXP(-LN(2)/2))/(LN(2)/2)*AQ112*AT112*VLOOKUP('Données projet'!$B$10,Paramètres!$A$1:$I$89,3,0)*0.475*44/12</f>
        <v>1.190040289521152E-11</v>
      </c>
      <c r="AX112" s="21">
        <f t="shared" si="60"/>
        <v>3.6759632557623845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8.6999999999999993</v>
      </c>
      <c r="BD112" s="12">
        <f>IF('Données projet'!$A$88&gt;35,BD111+BC112-BL111,IF(A112&lt;'Données projet'!$A$88,$BA$205^A112,IF(A112='Données projet'!$A$88,'Données projet'!$B$88,BD111+BC112-BL111)))</f>
        <v>339.29999999999995</v>
      </c>
      <c r="BE112" s="13">
        <f>BD112*VLOOKUP('Données projet'!$B$11,Paramètres!$A$1:$I$89,3,0)*VLOOKUP('Données projet'!$B$11,Paramètres!$A$1:$I$89,5,0)</f>
        <v>158.79239999999999</v>
      </c>
      <c r="BF112" s="13">
        <f t="shared" si="91"/>
        <v>40.570017872698244</v>
      </c>
      <c r="BG112" s="20">
        <f t="shared" si="61"/>
        <v>347.2228777949494</v>
      </c>
      <c r="BH112" s="59">
        <f t="shared" si="62"/>
        <v>632.25532321002891</v>
      </c>
      <c r="BI112" s="59">
        <f ca="1">AVERAGE(OFFSET($BH$3,0,0,'Données projet'!$E$11+1,1))-AVERAGE(OFFSET($H$3,0,0,'Données projet'!$E$11+1,1))</f>
        <v>210.62109466714364</v>
      </c>
      <c r="BJ112" s="59">
        <f t="shared" si="92"/>
        <v>193.35729443770401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1.3654861696266314</v>
      </c>
      <c r="BQ112" s="21">
        <f>EXP(-LN(2)/25)*BQ111+(1-EXP(-LN(2)/25))/(LN(2)/25)*Calculateur!BL112*Calculateur!BN112*VLOOKUP('Données projet'!$B$11,Paramètres!$A$1:$I$89,3,0)*0.475*44/12</f>
        <v>0.89639900806478268</v>
      </c>
      <c r="BR112" s="21">
        <f>EXP(-LN(2)/2)*BR111+(1-EXP(-LN(2)/2))/(LN(2)/2)*BL112*BO112*VLOOKUP('Données projet'!$B$11,Paramètres!$A$1:$I$89,3,0)*0.475*44/12</f>
        <v>1.0181690884825112E-11</v>
      </c>
      <c r="BS112" s="22">
        <f t="shared" si="63"/>
        <v>2.2618851777015956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368.16165268258442</v>
      </c>
      <c r="CE112" s="59">
        <f t="shared" si="94"/>
        <v>291.32219253157041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1.5644623735807268</v>
      </c>
      <c r="CL112" s="21">
        <f>EXP(-LN(2)/25)*CL111+(1-EXP(-LN(2)/25))/(LN(2)/25)*Calculateur!CG112*Calculateur!CI112*VLOOKUP('Données projet'!$B$12,Paramètres!$A$1:$I$89,3,0)*0.475*44/12</f>
        <v>0.74323202687976886</v>
      </c>
      <c r="CM112" s="21">
        <f>EXP(-LN(2)/2)*CM111+(1-EXP(-LN(2)/2))/(LN(2)/2)*CG112*CJ112*VLOOKUP('Données projet'!$B$12,Paramètres!$A$1:$I$89,3,0)*0.475*44/12</f>
        <v>1.019050486879765E-11</v>
      </c>
      <c r="CN112" s="22">
        <f t="shared" si="66"/>
        <v>2.3076944004706861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1.1368683772161603E-13</v>
      </c>
      <c r="CU112" s="17">
        <f>CT112*VLOOKUP('Données projet'!$B$13,Paramètres!$A$1:$I$89,3,0)*VLOOKUP('Données projet'!$B$13,Paramètres!$A$1:$I$89,5,0)</f>
        <v>6.7984728957526396E-14</v>
      </c>
      <c r="CV112" s="13">
        <f t="shared" si="95"/>
        <v>1.0682447123141398E-12</v>
      </c>
      <c r="CW112" s="20">
        <f t="shared" si="67"/>
        <v>1.978932943548152E-12</v>
      </c>
      <c r="CX112" s="59">
        <f t="shared" si="68"/>
        <v>285.0324454150815</v>
      </c>
      <c r="CY112" s="59">
        <f ca="1">AVERAGE(OFFSET($CX$3,0,0,'Données projet'!$E$13+1,1))-AVERAGE(OFFSET($H$3,0,0,'Données projet'!$E$13+1,1))</f>
        <v>317.12995176362455</v>
      </c>
      <c r="CZ112" s="59">
        <f t="shared" si="96"/>
        <v>328.11301015275262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3.7767410723578698</v>
      </c>
      <c r="DG112" s="21">
        <f>EXP(-LN(2)/25)*DG111+(1-EXP(-LN(2)/25))/(LN(2)/25)*Calculateur!DB112*Calculateur!DD112*VLOOKUP('Données projet'!$B$13,Paramètres!$A$1:$I$89,3,0)*0.475*44/12</f>
        <v>1.8041487042806821</v>
      </c>
      <c r="DH112" s="21">
        <f>EXP(-LN(2)/2)*DH111+(1-EXP(-LN(2)/2))/(LN(2)/2)*DB112*DE112*VLOOKUP('Données projet'!$B$13,Paramètres!$A$1:$I$89,3,0)*0.475*44/12</f>
        <v>7.3846810418177335E-12</v>
      </c>
      <c r="DI112" s="22">
        <f t="shared" si="69"/>
        <v>5.580889776645936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2.8421709430404007E-14</v>
      </c>
      <c r="DP112" s="17">
        <f>DO112*VLOOKUP('Données projet'!$B$14,Paramètres!$A$1:$I$89,3,0)*VLOOKUP('Données projet'!$B$14,Paramètres!$A$1:$I$89,5,0)</f>
        <v>2.4829205358400945E-14</v>
      </c>
      <c r="DQ112" s="13">
        <f t="shared" si="97"/>
        <v>4.3867331143352915E-13</v>
      </c>
      <c r="DR112" s="20">
        <f t="shared" si="70"/>
        <v>8.0726688341261168E-13</v>
      </c>
      <c r="DS112" s="59">
        <f t="shared" si="71"/>
        <v>285.0324454150803</v>
      </c>
      <c r="DT112" s="59">
        <f ca="1">AVERAGE(OFFSET($DS$3,0,0,'Données projet'!$E$14+1,1))-AVERAGE(OFFSET($H$3,0,0,'Données projet'!$E$14+1,1))</f>
        <v>325.5873213944476</v>
      </c>
      <c r="DU112" s="59">
        <f t="shared" si="98"/>
        <v>347.9042278368363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0.61252262880390118</v>
      </c>
      <c r="EB112" s="21">
        <f>EXP(-LN(2)/25)*EB111+(1-EXP(-LN(2)/25))/(LN(2)/25)*Calculateur!DW112*Calculateur!DY112*VLOOKUP('Données projet'!$B$14,Paramètres!$A$1:$I$89,3,0)*0.475*44/12</f>
        <v>0.98713989862564055</v>
      </c>
      <c r="EC112" s="21">
        <f>EXP(-LN(2)/2)*EC111+(1-EXP(-LN(2)/2))/(LN(2)/2)*DW112*DZ112*VLOOKUP('Données projet'!$B$14,Paramètres!$A$1:$I$89,3,0)*0.475*44/12</f>
        <v>1.5370095217661231E-11</v>
      </c>
      <c r="ED112" s="22">
        <f t="shared" si="72"/>
        <v>1.5996625274449119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205.5480000480477</v>
      </c>
      <c r="EP112" s="59">
        <f t="shared" si="100"/>
        <v>229.86812144828366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1.5386312260218196</v>
      </c>
      <c r="EW112" s="21">
        <f>EXP(-LN(2)/25)*EW111+(1-EXP(-LN(2)/25))/(LN(2)/25)*Calculateur!ER112*Calculateur!ET112*VLOOKUP('Données projet'!$B$15,Paramètres!$A$1:$I$89,3,0)*0.475*44/12</f>
        <v>0.67379028248633921</v>
      </c>
      <c r="EX112" s="21">
        <f>EXP(-LN(2)/2)*EX111+(1-EXP(-LN(2)/2))/(LN(2)/2)*ER112*EU112*VLOOKUP('Données projet'!$B$15,Paramètres!$A$1:$I$89,3,0)*0.475*44/12</f>
        <v>3.8046007357513153E-12</v>
      </c>
      <c r="EY112" s="22">
        <f t="shared" si="75"/>
        <v>2.2124215085119632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3.05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19.219200000000033</v>
      </c>
      <c r="D113" s="11">
        <f t="shared" si="86"/>
        <v>6.2785676989293915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70.588626175601121</v>
      </c>
      <c r="H113" s="67">
        <f t="shared" si="56"/>
        <v>256.34194540896874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-3.4106051316484809E-13</v>
      </c>
      <c r="O113" s="13">
        <f>N113*VLOOKUP('Données projet'!$B$9,Paramètres!$A$1:$I$89,3,0)*VLOOKUP('Données projet'!$B$9,Paramètres!$A$1:$I$89,5,0)</f>
        <v>-1.9065282685915009E-13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542.23071537860039</v>
      </c>
      <c r="T113" s="59">
        <f t="shared" si="88"/>
        <v>667.26143680054633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1.5055902629816866</v>
      </c>
      <c r="AA113" s="21">
        <f>EXP(-LN(2)/25)*AA112+(1-EXP(-LN(2)/25))/(LN(2)/25)*Calculateur!V113*Calculateur!X113*VLOOKUP('Données projet'!$B$9,Paramètres!$A$1:$I$89,3,0)*0.475*44/12</f>
        <v>4.637011905604318</v>
      </c>
      <c r="AB113" s="21">
        <f>EXP(-LN(2)/2)*AB112+(1-EXP(-LN(2)/2))/(LN(2)/2)*V113*Y113*VLOOKUP('Données projet'!$B$9,Paramètres!$A$1:$I$89,3,0)*0.475*44/12</f>
        <v>1.3113056197414736E-11</v>
      </c>
      <c r="AC113" s="22">
        <f t="shared" si="57"/>
        <v>6.1426021685991179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-1.2710188457276673E-13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427.83834708696861</v>
      </c>
      <c r="AO113" s="59">
        <f t="shared" si="90"/>
        <v>545.63950537101903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0.90335415778901318</v>
      </c>
      <c r="AV113" s="21">
        <f>EXP(-LN(2)/25)*AV112+(1-EXP(-LN(2)/25))/(LN(2)/25)*Calculateur!AQ113*Calculateur!AS113*VLOOKUP('Données projet'!$B$10,Paramètres!$A$1:$I$89,3,0)*0.475*44/12</f>
        <v>2.6792175044347806</v>
      </c>
      <c r="AW113" s="21">
        <f>EXP(-LN(2)/2)*AW112+(1-EXP(-LN(2)/2))/(LN(2)/2)*AQ113*AT113*VLOOKUP('Données projet'!$B$10,Paramètres!$A$1:$I$89,3,0)*0.475*44/12</f>
        <v>8.4148555860560886E-12</v>
      </c>
      <c r="AX113" s="21">
        <f t="shared" si="60"/>
        <v>3.5825716622322088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348</v>
      </c>
      <c r="BB113" s="12">
        <f>VLOOKUP(A113,'Données projet'!$A$87:$I$107,9,0)</f>
        <v>8.6999999999999993</v>
      </c>
      <c r="BC113" s="12">
        <f t="array" ref="BC113">INDEX(BB:BB,MIN(IF(ISNUMBER(BB113:BB309),ROW(BB113:BB309),"")))</f>
        <v>8.6999999999999993</v>
      </c>
      <c r="BD113" s="12">
        <f>IF('Données projet'!$A$88&gt;35,BD112+BC113-BL112,IF(A113&lt;'Données projet'!$A$88,$BA$205^A113,IF(A113='Données projet'!$A$88,'Données projet'!$B$88,BD112+BC113-BL112)))</f>
        <v>347.99999999999994</v>
      </c>
      <c r="BE113" s="13">
        <f>BD113*VLOOKUP('Données projet'!$B$11,Paramètres!$A$1:$I$89,3,0)*VLOOKUP('Données projet'!$B$11,Paramètres!$A$1:$I$89,5,0)</f>
        <v>162.86399999999998</v>
      </c>
      <c r="BF113" s="13">
        <f t="shared" si="91"/>
        <v>41.487830069509123</v>
      </c>
      <c r="BG113" s="20">
        <f t="shared" si="61"/>
        <v>355.91277070439497</v>
      </c>
      <c r="BH113" s="59">
        <f t="shared" si="62"/>
        <v>641.08921796685092</v>
      </c>
      <c r="BI113" s="59">
        <f ca="1">AVERAGE(OFFSET($BH$3,0,0,'Données projet'!$E$11+1,1))-AVERAGE(OFFSET($H$3,0,0,'Données projet'!$E$11+1,1))</f>
        <v>210.62109466714364</v>
      </c>
      <c r="BJ113" s="59">
        <f t="shared" si="92"/>
        <v>193.35729443770401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348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1.3387098187045781</v>
      </c>
      <c r="BQ113" s="21">
        <f>EXP(-LN(2)/25)*BQ112+(1-EXP(-LN(2)/25))/(LN(2)/25)*Calculateur!BL113*Calculateur!BN113*VLOOKUP('Données projet'!$B$11,Paramètres!$A$1:$I$89,3,0)*0.475*44/12</f>
        <v>0.8718869300496761</v>
      </c>
      <c r="BR113" s="21">
        <f>EXP(-LN(2)/2)*BR112+(1-EXP(-LN(2)/2))/(LN(2)/2)*BL113*BO113*VLOOKUP('Données projet'!$B$11,Paramètres!$A$1:$I$89,3,0)*0.475*44/12</f>
        <v>7.1995426686050967E-12</v>
      </c>
      <c r="BS113" s="22">
        <f t="shared" si="63"/>
        <v>2.2105967487614535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368.16165268258442</v>
      </c>
      <c r="CE113" s="59">
        <f t="shared" si="94"/>
        <v>291.32219253157041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1.5337842206626344</v>
      </c>
      <c r="CL113" s="21">
        <f>EXP(-LN(2)/25)*CL112+(1-EXP(-LN(2)/25))/(LN(2)/25)*Calculateur!CG113*Calculateur!CI113*VLOOKUP('Données projet'!$B$12,Paramètres!$A$1:$I$89,3,0)*0.475*44/12</f>
        <v>0.72290830801986794</v>
      </c>
      <c r="CM113" s="21">
        <f>EXP(-LN(2)/2)*CM112+(1-EXP(-LN(2)/2))/(LN(2)/2)*CG113*CJ113*VLOOKUP('Données projet'!$B$12,Paramètres!$A$1:$I$89,3,0)*0.475*44/12</f>
        <v>7.2057750964413479E-12</v>
      </c>
      <c r="CN113" s="22">
        <f t="shared" si="66"/>
        <v>2.2566925286897082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1.1368683772161603E-13</v>
      </c>
      <c r="CU113" s="17">
        <f>CT113*VLOOKUP('Données projet'!$B$13,Paramètres!$A$1:$I$89,3,0)*VLOOKUP('Données projet'!$B$13,Paramètres!$A$1:$I$89,5,0)</f>
        <v>6.7984728957526396E-14</v>
      </c>
      <c r="CV113" s="13">
        <f t="shared" si="95"/>
        <v>1.0682447123141398E-12</v>
      </c>
      <c r="CW113" s="20">
        <f t="shared" si="67"/>
        <v>1.978932943548152E-12</v>
      </c>
      <c r="CX113" s="59">
        <f t="shared" si="68"/>
        <v>285.17644726245794</v>
      </c>
      <c r="CY113" s="59">
        <f ca="1">AVERAGE(OFFSET($CX$3,0,0,'Données projet'!$E$13+1,1))-AVERAGE(OFFSET($H$3,0,0,'Données projet'!$E$13+1,1))</f>
        <v>317.12995176362455</v>
      </c>
      <c r="CZ113" s="59">
        <f t="shared" si="96"/>
        <v>328.11301015275262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3.7026814835135262</v>
      </c>
      <c r="DG113" s="21">
        <f>EXP(-LN(2)/25)*DG112+(1-EXP(-LN(2)/25))/(LN(2)/25)*Calculateur!DB113*Calculateur!DD113*VLOOKUP('Données projet'!$B$13,Paramètres!$A$1:$I$89,3,0)*0.475*44/12</f>
        <v>1.7548141630860699</v>
      </c>
      <c r="DH113" s="21">
        <f>EXP(-LN(2)/2)*DH112+(1-EXP(-LN(2)/2))/(LN(2)/2)*DB113*DE113*VLOOKUP('Données projet'!$B$13,Paramètres!$A$1:$I$89,3,0)*0.475*44/12</f>
        <v>5.221758041569058E-12</v>
      </c>
      <c r="DI113" s="22">
        <f t="shared" si="69"/>
        <v>5.4574956466048175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2.8421709430404007E-14</v>
      </c>
      <c r="DP113" s="17">
        <f>DO113*VLOOKUP('Données projet'!$B$14,Paramètres!$A$1:$I$89,3,0)*VLOOKUP('Données projet'!$B$14,Paramètres!$A$1:$I$89,5,0)</f>
        <v>2.4829205358400945E-14</v>
      </c>
      <c r="DQ113" s="13">
        <f t="shared" si="97"/>
        <v>4.3867331143352915E-13</v>
      </c>
      <c r="DR113" s="20">
        <f t="shared" si="70"/>
        <v>8.0726688341261168E-13</v>
      </c>
      <c r="DS113" s="59">
        <f t="shared" si="71"/>
        <v>285.17644726245675</v>
      </c>
      <c r="DT113" s="59">
        <f ca="1">AVERAGE(OFFSET($DS$3,0,0,'Données projet'!$E$14+1,1))-AVERAGE(OFFSET($H$3,0,0,'Données projet'!$E$14+1,1))</f>
        <v>325.5873213944476</v>
      </c>
      <c r="DU113" s="59">
        <f t="shared" si="98"/>
        <v>347.9042278368363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0.60051143365497017</v>
      </c>
      <c r="EB113" s="21">
        <f>EXP(-LN(2)/25)*EB112+(1-EXP(-LN(2)/25))/(LN(2)/25)*Calculateur!DW113*Calculateur!DY113*VLOOKUP('Données projet'!$B$14,Paramètres!$A$1:$I$89,3,0)*0.475*44/12</f>
        <v>0.96014650618629127</v>
      </c>
      <c r="EC113" s="21">
        <f>EXP(-LN(2)/2)*EC112+(1-EXP(-LN(2)/2))/(LN(2)/2)*DW113*DZ113*VLOOKUP('Données projet'!$B$14,Paramètres!$A$1:$I$89,3,0)*0.475*44/12</f>
        <v>1.0868298555891181E-11</v>
      </c>
      <c r="ED113" s="22">
        <f t="shared" si="72"/>
        <v>1.5606579398521296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205.5480000480477</v>
      </c>
      <c r="EP113" s="59">
        <f t="shared" si="100"/>
        <v>229.86812144828366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1.5084596061519131</v>
      </c>
      <c r="EW113" s="21">
        <f>EXP(-LN(2)/25)*EW112+(1-EXP(-LN(2)/25))/(LN(2)/25)*Calculateur!ER113*Calculateur!ET113*VLOOKUP('Données projet'!$B$15,Paramètres!$A$1:$I$89,3,0)*0.475*44/12</f>
        <v>0.65536545177865924</v>
      </c>
      <c r="EX113" s="21">
        <f>EXP(-LN(2)/2)*EX112+(1-EXP(-LN(2)/2))/(LN(2)/2)*ER113*EU113*VLOOKUP('Données projet'!$B$15,Paramètres!$A$1:$I$89,3,0)*0.475*44/12</f>
        <v>2.6902589799570831E-12</v>
      </c>
      <c r="EY113" s="22">
        <f t="shared" si="75"/>
        <v>2.1638250579332627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3.05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19.393920000000033</v>
      </c>
      <c r="D114" s="11">
        <f t="shared" si="86"/>
        <v>6.3289751265773351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71.14473041793147</v>
      </c>
      <c r="H114" s="67">
        <f t="shared" si="56"/>
        <v>256.73404234545558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-3.4106051316484809E-13</v>
      </c>
      <c r="O114" s="13">
        <f>N114*VLOOKUP('Données projet'!$B$9,Paramètres!$A$1:$I$89,3,0)*VLOOKUP('Données projet'!$B$9,Paramètres!$A$1:$I$89,5,0)</f>
        <v>-1.9065282685915009E-13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542.23071537860039</v>
      </c>
      <c r="T114" s="59">
        <f t="shared" si="88"/>
        <v>667.26143680054633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1.4760665562439996</v>
      </c>
      <c r="AA114" s="21">
        <f>EXP(-LN(2)/25)*AA113+(1-EXP(-LN(2)/25))/(LN(2)/25)*Calculateur!V114*Calculateur!X114*VLOOKUP('Données projet'!$B$9,Paramètres!$A$1:$I$89,3,0)*0.475*44/12</f>
        <v>4.5102125711957095</v>
      </c>
      <c r="AB114" s="21">
        <f>EXP(-LN(2)/2)*AB113+(1-EXP(-LN(2)/2))/(LN(2)/2)*V114*Y114*VLOOKUP('Données projet'!$B$9,Paramètres!$A$1:$I$89,3,0)*0.475*44/12</f>
        <v>9.2723309592722428E-12</v>
      </c>
      <c r="AC114" s="22">
        <f t="shared" si="57"/>
        <v>5.9862791274489817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-1.2710188457276673E-13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427.83834708696861</v>
      </c>
      <c r="AO114" s="59">
        <f t="shared" si="90"/>
        <v>545.63950537101903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0.88563993374640093</v>
      </c>
      <c r="AV114" s="21">
        <f>EXP(-LN(2)/25)*AV113+(1-EXP(-LN(2)/25))/(LN(2)/25)*Calculateur!AQ114*Calculateur!AS114*VLOOKUP('Données projet'!$B$10,Paramètres!$A$1:$I$89,3,0)*0.475*44/12</f>
        <v>2.6059541608820864</v>
      </c>
      <c r="AW114" s="21">
        <f>EXP(-LN(2)/2)*AW113+(1-EXP(-LN(2)/2))/(LN(2)/2)*AQ114*AT114*VLOOKUP('Données projet'!$B$10,Paramètres!$A$1:$I$89,3,0)*0.475*44/12</f>
        <v>5.9502014476057599E-12</v>
      </c>
      <c r="AX114" s="21">
        <f t="shared" si="60"/>
        <v>3.4915940946344377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-2.6602720026858149E-14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210.62109466714364</v>
      </c>
      <c r="BJ114" s="59">
        <f t="shared" si="92"/>
        <v>193.35729443770401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1.3124585356921448</v>
      </c>
      <c r="BQ114" s="21">
        <f>EXP(-LN(2)/25)*BQ113+(1-EXP(-LN(2)/25))/(LN(2)/25)*Calculateur!BL114*Calculateur!BN114*VLOOKUP('Données projet'!$B$11,Paramètres!$A$1:$I$89,3,0)*0.475*44/12</f>
        <v>0.84804513609692678</v>
      </c>
      <c r="BR114" s="21">
        <f>EXP(-LN(2)/2)*BR113+(1-EXP(-LN(2)/2))/(LN(2)/2)*BL114*BO114*VLOOKUP('Données projet'!$B$11,Paramètres!$A$1:$I$89,3,0)*0.475*44/12</f>
        <v>5.090845442412557E-12</v>
      </c>
      <c r="BS114" s="22">
        <f t="shared" si="63"/>
        <v>2.1605036717941628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368.16165268258442</v>
      </c>
      <c r="CE114" s="59">
        <f t="shared" si="94"/>
        <v>291.32219253157041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1.5037076476114402</v>
      </c>
      <c r="CL114" s="21">
        <f>EXP(-LN(2)/25)*CL113+(1-EXP(-LN(2)/25))/(LN(2)/25)*Calculateur!CG114*Calculateur!CI114*VLOOKUP('Données projet'!$B$12,Paramètres!$A$1:$I$89,3,0)*0.475*44/12</f>
        <v>0.703140342320969</v>
      </c>
      <c r="CM114" s="21">
        <f>EXP(-LN(2)/2)*CM113+(1-EXP(-LN(2)/2))/(LN(2)/2)*CG114*CJ114*VLOOKUP('Données projet'!$B$12,Paramètres!$A$1:$I$89,3,0)*0.475*44/12</f>
        <v>5.0952524343988259E-12</v>
      </c>
      <c r="CN114" s="22">
        <f t="shared" si="66"/>
        <v>2.2068479899375042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1.1368683772161603E-13</v>
      </c>
      <c r="CU114" s="17">
        <f>CT114*VLOOKUP('Données projet'!$B$13,Paramètres!$A$1:$I$89,3,0)*VLOOKUP('Données projet'!$B$13,Paramètres!$A$1:$I$89,5,0)</f>
        <v>6.7984728957526396E-14</v>
      </c>
      <c r="CV114" s="13">
        <f t="shared" si="95"/>
        <v>1.0682447123141398E-12</v>
      </c>
      <c r="CW114" s="20">
        <f t="shared" si="67"/>
        <v>1.978932943548152E-12</v>
      </c>
      <c r="CX114" s="59">
        <f t="shared" si="68"/>
        <v>285.31795099972237</v>
      </c>
      <c r="CY114" s="59">
        <f ca="1">AVERAGE(OFFSET($CX$3,0,0,'Données projet'!$E$13+1,1))-AVERAGE(OFFSET($H$3,0,0,'Données projet'!$E$13+1,1))</f>
        <v>317.12995176362455</v>
      </c>
      <c r="CZ114" s="59">
        <f t="shared" si="96"/>
        <v>328.11301015275262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3.6300741580345313</v>
      </c>
      <c r="DG114" s="21">
        <f>EXP(-LN(2)/25)*DG113+(1-EXP(-LN(2)/25))/(LN(2)/25)*Calculateur!DB114*Calculateur!DD114*VLOOKUP('Données projet'!$B$13,Paramètres!$A$1:$I$89,3,0)*0.475*44/12</f>
        <v>1.7068286775148152</v>
      </c>
      <c r="DH114" s="21">
        <f>EXP(-LN(2)/2)*DH113+(1-EXP(-LN(2)/2))/(LN(2)/2)*DB114*DE114*VLOOKUP('Données projet'!$B$13,Paramètres!$A$1:$I$89,3,0)*0.475*44/12</f>
        <v>3.6923405209088668E-12</v>
      </c>
      <c r="DI114" s="22">
        <f t="shared" si="69"/>
        <v>5.3369028355530386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2.8421709430404007E-14</v>
      </c>
      <c r="DP114" s="17">
        <f>DO114*VLOOKUP('Données projet'!$B$14,Paramètres!$A$1:$I$89,3,0)*VLOOKUP('Données projet'!$B$14,Paramètres!$A$1:$I$89,5,0)</f>
        <v>2.4829205358400945E-14</v>
      </c>
      <c r="DQ114" s="13">
        <f t="shared" si="97"/>
        <v>4.3867331143352915E-13</v>
      </c>
      <c r="DR114" s="20">
        <f t="shared" si="70"/>
        <v>8.0726688341261168E-13</v>
      </c>
      <c r="DS114" s="59">
        <f t="shared" si="71"/>
        <v>285.31795099972118</v>
      </c>
      <c r="DT114" s="59">
        <f ca="1">AVERAGE(OFFSET($DS$3,0,0,'Données projet'!$E$14+1,1))-AVERAGE(OFFSET($H$3,0,0,'Données projet'!$E$14+1,1))</f>
        <v>325.5873213944476</v>
      </c>
      <c r="DU114" s="59">
        <f t="shared" si="98"/>
        <v>347.9042278368363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0.58873577071680405</v>
      </c>
      <c r="EB114" s="21">
        <f>EXP(-LN(2)/25)*EB113+(1-EXP(-LN(2)/25))/(LN(2)/25)*Calculateur!DW114*Calculateur!DY114*VLOOKUP('Données projet'!$B$14,Paramètres!$A$1:$I$89,3,0)*0.475*44/12</f>
        <v>0.93389124948271685</v>
      </c>
      <c r="EC114" s="21">
        <f>EXP(-LN(2)/2)*EC113+(1-EXP(-LN(2)/2))/(LN(2)/2)*DW114*DZ114*VLOOKUP('Données projet'!$B$14,Paramètres!$A$1:$I$89,3,0)*0.475*44/12</f>
        <v>7.6850476088306156E-12</v>
      </c>
      <c r="ED114" s="22">
        <f t="shared" si="72"/>
        <v>1.5226270202072059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205.5480000480477</v>
      </c>
      <c r="EP114" s="59">
        <f t="shared" si="100"/>
        <v>229.86812144828366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1.4788796333447844</v>
      </c>
      <c r="EW114" s="21">
        <f>EXP(-LN(2)/25)*EW113+(1-EXP(-LN(2)/25))/(LN(2)/25)*Calculateur!ER114*Calculateur!ET114*VLOOKUP('Données projet'!$B$15,Paramètres!$A$1:$I$89,3,0)*0.475*44/12</f>
        <v>0.6374444490356006</v>
      </c>
      <c r="EX114" s="21">
        <f>EXP(-LN(2)/2)*EX113+(1-EXP(-LN(2)/2))/(LN(2)/2)*ER114*EU114*VLOOKUP('Données projet'!$B$15,Paramètres!$A$1:$I$89,3,0)*0.475*44/12</f>
        <v>1.9023003678756577E-12</v>
      </c>
      <c r="EY114" s="22">
        <f t="shared" si="75"/>
        <v>2.1163240823822873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3.05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19.568640000000034</v>
      </c>
      <c r="D115" s="11">
        <f t="shared" si="86"/>
        <v>6.3793297214944369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71.700704154147729</v>
      </c>
      <c r="H115" s="67">
        <f t="shared" si="56"/>
        <v>257.12604726493618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-3.4106051316484809E-13</v>
      </c>
      <c r="O115" s="13">
        <f>N115*VLOOKUP('Données projet'!$B$9,Paramètres!$A$1:$I$89,3,0)*VLOOKUP('Données projet'!$B$9,Paramètres!$A$1:$I$89,5,0)</f>
        <v>-1.9065282685915009E-13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542.23071537860039</v>
      </c>
      <c r="T115" s="59">
        <f t="shared" si="88"/>
        <v>667.26143680054633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1.4471217913877557</v>
      </c>
      <c r="AA115" s="21">
        <f>EXP(-LN(2)/25)*AA114+(1-EXP(-LN(2)/25))/(LN(2)/25)*Calculateur!V115*Calculateur!X115*VLOOKUP('Données projet'!$B$9,Paramètres!$A$1:$I$89,3,0)*0.475*44/12</f>
        <v>4.3868805712545917</v>
      </c>
      <c r="AB115" s="21">
        <f>EXP(-LN(2)/2)*AB114+(1-EXP(-LN(2)/2))/(LN(2)/2)*V115*Y115*VLOOKUP('Données projet'!$B$9,Paramètres!$A$1:$I$89,3,0)*0.475*44/12</f>
        <v>6.5565280987073682E-12</v>
      </c>
      <c r="AC115" s="22">
        <f t="shared" si="57"/>
        <v>5.8340023626489037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-1.2710188457276673E-13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427.83834708696861</v>
      </c>
      <c r="AO115" s="59">
        <f t="shared" si="90"/>
        <v>545.63950537101903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0.86827307483265459</v>
      </c>
      <c r="AV115" s="21">
        <f>EXP(-LN(2)/25)*AV114+(1-EXP(-LN(2)/25))/(LN(2)/25)*Calculateur!AQ115*Calculateur!AS115*VLOOKUP('Données projet'!$B$10,Paramètres!$A$1:$I$89,3,0)*0.475*44/12</f>
        <v>2.5346942073115923</v>
      </c>
      <c r="AW115" s="21">
        <f>EXP(-LN(2)/2)*AW114+(1-EXP(-LN(2)/2))/(LN(2)/2)*AQ115*AT115*VLOOKUP('Données projet'!$B$10,Paramètres!$A$1:$I$89,3,0)*0.475*44/12</f>
        <v>4.2074277930280443E-12</v>
      </c>
      <c r="AX115" s="21">
        <f t="shared" si="60"/>
        <v>3.4029672821484542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-2.6602720026858149E-14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210.62109466714364</v>
      </c>
      <c r="BJ115" s="59">
        <f t="shared" si="92"/>
        <v>193.35729443770401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1.2867220243278836</v>
      </c>
      <c r="BQ115" s="21">
        <f>EXP(-LN(2)/25)*BQ114+(1-EXP(-LN(2)/25))/(LN(2)/25)*Calculateur!BL115*Calculateur!BN115*VLOOKUP('Données projet'!$B$11,Paramètres!$A$1:$I$89,3,0)*0.475*44/12</f>
        <v>0.82485529725360085</v>
      </c>
      <c r="BR115" s="21">
        <f>EXP(-LN(2)/2)*BR114+(1-EXP(-LN(2)/2))/(LN(2)/2)*BL115*BO115*VLOOKUP('Données projet'!$B$11,Paramètres!$A$1:$I$89,3,0)*0.475*44/12</f>
        <v>3.5997713343025488E-12</v>
      </c>
      <c r="BS115" s="22">
        <f t="shared" si="63"/>
        <v>2.1115773215850844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368.16165268258442</v>
      </c>
      <c r="CE115" s="59">
        <f t="shared" si="94"/>
        <v>291.32219253157041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1.4742208578128817</v>
      </c>
      <c r="CL115" s="21">
        <f>EXP(-LN(2)/25)*CL114+(1-EXP(-LN(2)/25))/(LN(2)/25)*Calculateur!CG115*Calculateur!CI115*VLOOKUP('Données projet'!$B$12,Paramètres!$A$1:$I$89,3,0)*0.475*44/12</f>
        <v>0.6839129326836586</v>
      </c>
      <c r="CM115" s="21">
        <f>EXP(-LN(2)/2)*CM114+(1-EXP(-LN(2)/2))/(LN(2)/2)*CG115*CJ115*VLOOKUP('Données projet'!$B$12,Paramètres!$A$1:$I$89,3,0)*0.475*44/12</f>
        <v>3.6028875482206743E-12</v>
      </c>
      <c r="CN115" s="22">
        <f t="shared" si="66"/>
        <v>2.1581337905001434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1.1368683772161603E-13</v>
      </c>
      <c r="CU115" s="17">
        <f>CT115*VLOOKUP('Données projet'!$B$13,Paramètres!$A$1:$I$89,3,0)*VLOOKUP('Données projet'!$B$13,Paramètres!$A$1:$I$89,5,0)</f>
        <v>6.7984728957526396E-14</v>
      </c>
      <c r="CV115" s="13">
        <f t="shared" si="95"/>
        <v>1.0682447123141398E-12</v>
      </c>
      <c r="CW115" s="20">
        <f t="shared" si="67"/>
        <v>1.978932943548152E-12</v>
      </c>
      <c r="CX115" s="59">
        <f t="shared" si="68"/>
        <v>285.45699996350027</v>
      </c>
      <c r="CY115" s="59">
        <f ca="1">AVERAGE(OFFSET($CX$3,0,0,'Données projet'!$E$13+1,1))-AVERAGE(OFFSET($H$3,0,0,'Données projet'!$E$13+1,1))</f>
        <v>317.12995176362455</v>
      </c>
      <c r="CZ115" s="59">
        <f t="shared" si="96"/>
        <v>328.11301015275262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3.5588906179220836</v>
      </c>
      <c r="DG115" s="21">
        <f>EXP(-LN(2)/25)*DG114+(1-EXP(-LN(2)/25))/(LN(2)/25)*Calculateur!DB115*Calculateur!DD115*VLOOKUP('Données projet'!$B$13,Paramètres!$A$1:$I$89,3,0)*0.475*44/12</f>
        <v>1.6601553575699535</v>
      </c>
      <c r="DH115" s="21">
        <f>EXP(-LN(2)/2)*DH114+(1-EXP(-LN(2)/2))/(LN(2)/2)*DB115*DE115*VLOOKUP('Données projet'!$B$13,Paramètres!$A$1:$I$89,3,0)*0.475*44/12</f>
        <v>2.610879020784529E-12</v>
      </c>
      <c r="DI115" s="22">
        <f t="shared" si="69"/>
        <v>5.2190459754946481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2.8421709430404007E-14</v>
      </c>
      <c r="DP115" s="17">
        <f>DO115*VLOOKUP('Données projet'!$B$14,Paramètres!$A$1:$I$89,3,0)*VLOOKUP('Données projet'!$B$14,Paramètres!$A$1:$I$89,5,0)</f>
        <v>2.4829205358400945E-14</v>
      </c>
      <c r="DQ115" s="13">
        <f t="shared" si="97"/>
        <v>4.3867331143352915E-13</v>
      </c>
      <c r="DR115" s="20">
        <f t="shared" si="70"/>
        <v>8.0726688341261168E-13</v>
      </c>
      <c r="DS115" s="59">
        <f t="shared" si="71"/>
        <v>285.45699996349907</v>
      </c>
      <c r="DT115" s="59">
        <f ca="1">AVERAGE(OFFSET($DS$3,0,0,'Données projet'!$E$14+1,1))-AVERAGE(OFFSET($H$3,0,0,'Données projet'!$E$14+1,1))</f>
        <v>325.5873213944476</v>
      </c>
      <c r="DU115" s="59">
        <f t="shared" si="98"/>
        <v>347.9042278368363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0.57719102134641009</v>
      </c>
      <c r="EB115" s="21">
        <f>EXP(-LN(2)/25)*EB114+(1-EXP(-LN(2)/25))/(LN(2)/25)*Calculateur!DW115*Calculateur!DY115*VLOOKUP('Données projet'!$B$14,Paramètres!$A$1:$I$89,3,0)*0.475*44/12</f>
        <v>0.90835394415440562</v>
      </c>
      <c r="EC115" s="21">
        <f>EXP(-LN(2)/2)*EC114+(1-EXP(-LN(2)/2))/(LN(2)/2)*DW115*DZ115*VLOOKUP('Données projet'!$B$14,Paramètres!$A$1:$I$89,3,0)*0.475*44/12</f>
        <v>5.4341492779455904E-12</v>
      </c>
      <c r="ED115" s="22">
        <f t="shared" si="72"/>
        <v>1.4855449655062498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205.5480000480477</v>
      </c>
      <c r="EP115" s="59">
        <f t="shared" si="100"/>
        <v>229.86812144828366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1.4498797057624018</v>
      </c>
      <c r="EW115" s="21">
        <f>EXP(-LN(2)/25)*EW114+(1-EXP(-LN(2)/25))/(LN(2)/25)*Calculateur!ER115*Calculateur!ET115*VLOOKUP('Données projet'!$B$15,Paramètres!$A$1:$I$89,3,0)*0.475*44/12</f>
        <v>0.62001349705497544</v>
      </c>
      <c r="EX115" s="21">
        <f>EXP(-LN(2)/2)*EX114+(1-EXP(-LN(2)/2))/(LN(2)/2)*ER115*EU115*VLOOKUP('Données projet'!$B$15,Paramètres!$A$1:$I$89,3,0)*0.475*44/12</f>
        <v>1.3451294899785415E-12</v>
      </c>
      <c r="EY115" s="22">
        <f t="shared" si="75"/>
        <v>2.0698932028187222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3.05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19.743360000000035</v>
      </c>
      <c r="D116" s="11">
        <f t="shared" si="86"/>
        <v>6.4296320100502955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72.256548684475206</v>
      </c>
      <c r="H116" s="67">
        <f t="shared" si="56"/>
        <v>257.51796108417096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-3.4106051316484809E-13</v>
      </c>
      <c r="O116" s="13">
        <f>N116*VLOOKUP('Données projet'!$B$9,Paramètres!$A$1:$I$89,3,0)*VLOOKUP('Données projet'!$B$9,Paramètres!$A$1:$I$89,5,0)</f>
        <v>-1.9065282685915009E-13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542.23071537860039</v>
      </c>
      <c r="T116" s="59">
        <f t="shared" si="88"/>
        <v>667.26143680054633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1.4187446157157793</v>
      </c>
      <c r="AA116" s="21">
        <f>EXP(-LN(2)/25)*AA115+(1-EXP(-LN(2)/25))/(LN(2)/25)*Calculateur!V116*Calculateur!X116*VLOOKUP('Données projet'!$B$9,Paramètres!$A$1:$I$89,3,0)*0.475*44/12</f>
        <v>4.2669210913376121</v>
      </c>
      <c r="AB116" s="21">
        <f>EXP(-LN(2)/2)*AB115+(1-EXP(-LN(2)/2))/(LN(2)/2)*V116*Y116*VLOOKUP('Données projet'!$B$9,Paramètres!$A$1:$I$89,3,0)*0.475*44/12</f>
        <v>4.6361654796361214E-12</v>
      </c>
      <c r="AC116" s="22">
        <f t="shared" si="57"/>
        <v>5.6856657070580274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-1.2710188457276673E-13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427.83834708696861</v>
      </c>
      <c r="AO116" s="59">
        <f t="shared" si="90"/>
        <v>545.63950537101903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0.85124676942946875</v>
      </c>
      <c r="AV116" s="21">
        <f>EXP(-LN(2)/25)*AV115+(1-EXP(-LN(2)/25))/(LN(2)/25)*Calculateur!AQ116*Calculateur!AS116*VLOOKUP('Données projet'!$B$10,Paramètres!$A$1:$I$89,3,0)*0.475*44/12</f>
        <v>2.4653828609188815</v>
      </c>
      <c r="AW116" s="21">
        <f>EXP(-LN(2)/2)*AW115+(1-EXP(-LN(2)/2))/(LN(2)/2)*AQ116*AT116*VLOOKUP('Données projet'!$B$10,Paramètres!$A$1:$I$89,3,0)*0.475*44/12</f>
        <v>2.97510072380288E-12</v>
      </c>
      <c r="AX116" s="21">
        <f t="shared" si="60"/>
        <v>3.3166296303513252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-2.6602720026858149E-14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210.62109466714364</v>
      </c>
      <c r="BJ116" s="59">
        <f t="shared" si="92"/>
        <v>193.35729443770401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1.2614901902537539</v>
      </c>
      <c r="BQ116" s="21">
        <f>EXP(-LN(2)/25)*BQ115+(1-EXP(-LN(2)/25))/(LN(2)/25)*Calculateur!BL116*Calculateur!BN116*VLOOKUP('Données projet'!$B$11,Paramètres!$A$1:$I$89,3,0)*0.475*44/12</f>
        <v>0.80229958577294624</v>
      </c>
      <c r="BR116" s="21">
        <f>EXP(-LN(2)/2)*BR115+(1-EXP(-LN(2)/2))/(LN(2)/2)*BL116*BO116*VLOOKUP('Données projet'!$B$11,Paramètres!$A$1:$I$89,3,0)*0.475*44/12</f>
        <v>2.5454227212062789E-12</v>
      </c>
      <c r="BS116" s="22">
        <f t="shared" si="63"/>
        <v>2.0637897760292456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368.16165268258442</v>
      </c>
      <c r="CE116" s="59">
        <f t="shared" si="94"/>
        <v>291.32219253157041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1.445312285977107</v>
      </c>
      <c r="CL116" s="21">
        <f>EXP(-LN(2)/25)*CL115+(1-EXP(-LN(2)/25))/(LN(2)/25)*Calculateur!CG116*Calculateur!CI116*VLOOKUP('Données projet'!$B$12,Paramètres!$A$1:$I$89,3,0)*0.475*44/12</f>
        <v>0.66521129757400588</v>
      </c>
      <c r="CM116" s="21">
        <f>EXP(-LN(2)/2)*CM115+(1-EXP(-LN(2)/2))/(LN(2)/2)*CG116*CJ116*VLOOKUP('Données projet'!$B$12,Paramètres!$A$1:$I$89,3,0)*0.475*44/12</f>
        <v>2.5476262171994133E-12</v>
      </c>
      <c r="CN116" s="22">
        <f t="shared" si="66"/>
        <v>2.1105235835536607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1.1368683772161603E-13</v>
      </c>
      <c r="CU116" s="17">
        <f>CT116*VLOOKUP('Données projet'!$B$13,Paramètres!$A$1:$I$89,3,0)*VLOOKUP('Données projet'!$B$13,Paramètres!$A$1:$I$89,5,0)</f>
        <v>6.7984728957526396E-14</v>
      </c>
      <c r="CV116" s="13">
        <f t="shared" si="95"/>
        <v>1.0682447123141398E-12</v>
      </c>
      <c r="CW116" s="20">
        <f t="shared" si="67"/>
        <v>1.978932943548152E-12</v>
      </c>
      <c r="CX116" s="59">
        <f t="shared" si="68"/>
        <v>285.59363673862345</v>
      </c>
      <c r="CY116" s="59">
        <f ca="1">AVERAGE(OFFSET($CX$3,0,0,'Données projet'!$E$13+1,1))-AVERAGE(OFFSET($H$3,0,0,'Données projet'!$E$13+1,1))</f>
        <v>317.12995176362455</v>
      </c>
      <c r="CZ116" s="59">
        <f t="shared" si="96"/>
        <v>328.11301015275262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3.489102943613569</v>
      </c>
      <c r="DG116" s="21">
        <f>EXP(-LN(2)/25)*DG115+(1-EXP(-LN(2)/25))/(LN(2)/25)*Calculateur!DB116*Calculateur!DD116*VLOOKUP('Données projet'!$B$13,Paramètres!$A$1:$I$89,3,0)*0.475*44/12</f>
        <v>1.6147583220134272</v>
      </c>
      <c r="DH116" s="21">
        <f>EXP(-LN(2)/2)*DH115+(1-EXP(-LN(2)/2))/(LN(2)/2)*DB116*DE116*VLOOKUP('Données projet'!$B$13,Paramètres!$A$1:$I$89,3,0)*0.475*44/12</f>
        <v>1.8461702604544334E-12</v>
      </c>
      <c r="DI116" s="22">
        <f t="shared" si="69"/>
        <v>5.1038612656288427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2.8421709430404007E-14</v>
      </c>
      <c r="DP116" s="17">
        <f>DO116*VLOOKUP('Données projet'!$B$14,Paramètres!$A$1:$I$89,3,0)*VLOOKUP('Données projet'!$B$14,Paramètres!$A$1:$I$89,5,0)</f>
        <v>2.4829205358400945E-14</v>
      </c>
      <c r="DQ116" s="13">
        <f t="shared" si="97"/>
        <v>4.3867331143352915E-13</v>
      </c>
      <c r="DR116" s="20">
        <f t="shared" si="70"/>
        <v>8.0726688341261168E-13</v>
      </c>
      <c r="DS116" s="59">
        <f t="shared" si="71"/>
        <v>285.59363673862225</v>
      </c>
      <c r="DT116" s="59">
        <f ca="1">AVERAGE(OFFSET($DS$3,0,0,'Données projet'!$E$14+1,1))-AVERAGE(OFFSET($H$3,0,0,'Données projet'!$E$14+1,1))</f>
        <v>325.5873213944476</v>
      </c>
      <c r="DU116" s="59">
        <f t="shared" si="98"/>
        <v>347.9042278368363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0.56587265746956783</v>
      </c>
      <c r="EB116" s="21">
        <f>EXP(-LN(2)/25)*EB115+(1-EXP(-LN(2)/25))/(LN(2)/25)*Calculateur!DW116*Calculateur!DY116*VLOOKUP('Données projet'!$B$14,Paramètres!$A$1:$I$89,3,0)*0.475*44/12</f>
        <v>0.88351495778324551</v>
      </c>
      <c r="EC116" s="21">
        <f>EXP(-LN(2)/2)*EC115+(1-EXP(-LN(2)/2))/(LN(2)/2)*DW116*DZ116*VLOOKUP('Données projet'!$B$14,Paramètres!$A$1:$I$89,3,0)*0.475*44/12</f>
        <v>3.8425238044153078E-12</v>
      </c>
      <c r="ED116" s="22">
        <f t="shared" si="72"/>
        <v>1.4493876152566558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205.5480000480477</v>
      </c>
      <c r="EP116" s="59">
        <f t="shared" si="100"/>
        <v>229.86812144828366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1.4214484490717003</v>
      </c>
      <c r="EW116" s="21">
        <f>EXP(-LN(2)/25)*EW115+(1-EXP(-LN(2)/25))/(LN(2)/25)*Calculateur!ER116*Calculateur!ET116*VLOOKUP('Données projet'!$B$15,Paramètres!$A$1:$I$89,3,0)*0.475*44/12</f>
        <v>0.60305919537291441</v>
      </c>
      <c r="EX116" s="21">
        <f>EXP(-LN(2)/2)*EX115+(1-EXP(-LN(2)/2))/(LN(2)/2)*ER116*EU116*VLOOKUP('Données projet'!$B$15,Paramètres!$A$1:$I$89,3,0)*0.475*44/12</f>
        <v>9.5115018393782883E-13</v>
      </c>
      <c r="EY116" s="22">
        <f t="shared" si="75"/>
        <v>2.0245076444455661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3.05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19.918080000000035</v>
      </c>
      <c r="D117" s="11">
        <f t="shared" si="86"/>
        <v>6.4798825087607126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72.812265284798485</v>
      </c>
      <c r="H117" s="67">
        <f t="shared" si="56"/>
        <v>257.90978470275826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-3.4106051316484809E-13</v>
      </c>
      <c r="O117" s="13">
        <f>N117*VLOOKUP('Données projet'!$B$9,Paramètres!$A$1:$I$89,3,0)*VLOOKUP('Données projet'!$B$9,Paramètres!$A$1:$I$89,5,0)</f>
        <v>-1.9065282685915009E-13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542.23071537860039</v>
      </c>
      <c r="T117" s="59">
        <f t="shared" si="88"/>
        <v>667.26143680054633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1.3909238991503623</v>
      </c>
      <c r="AA117" s="21">
        <f>EXP(-LN(2)/25)*AA116+(1-EXP(-LN(2)/25))/(LN(2)/25)*Calculateur!V117*Calculateur!X117*VLOOKUP('Données projet'!$B$9,Paramètres!$A$1:$I$89,3,0)*0.475*44/12</f>
        <v>4.1502419097073568</v>
      </c>
      <c r="AB117" s="21">
        <f>EXP(-LN(2)/2)*AB116+(1-EXP(-LN(2)/2))/(LN(2)/2)*V117*Y117*VLOOKUP('Données projet'!$B$9,Paramètres!$A$1:$I$89,3,0)*0.475*44/12</f>
        <v>3.2782640493536841E-12</v>
      </c>
      <c r="AC117" s="22">
        <f t="shared" si="57"/>
        <v>5.5411658088609972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-1.2710188457276673E-13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427.83834708696861</v>
      </c>
      <c r="AO117" s="59">
        <f t="shared" si="90"/>
        <v>545.63950537101903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0.83455433949021851</v>
      </c>
      <c r="AV117" s="21">
        <f>EXP(-LN(2)/25)*AV116+(1-EXP(-LN(2)/25))/(LN(2)/25)*Calculateur!AQ117*Calculateur!AS117*VLOOKUP('Données projet'!$B$10,Paramètres!$A$1:$I$89,3,0)*0.475*44/12</f>
        <v>2.3979668369382048</v>
      </c>
      <c r="AW117" s="21">
        <f>EXP(-LN(2)/2)*AW116+(1-EXP(-LN(2)/2))/(LN(2)/2)*AQ117*AT117*VLOOKUP('Données projet'!$B$10,Paramètres!$A$1:$I$89,3,0)*0.475*44/12</f>
        <v>2.1037138965140222E-12</v>
      </c>
      <c r="AX117" s="21">
        <f t="shared" si="60"/>
        <v>3.2325211764305268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-2.6602720026858149E-14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210.62109466714364</v>
      </c>
      <c r="BJ117" s="59">
        <f t="shared" si="92"/>
        <v>193.35729443770401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1.2367531370559186</v>
      </c>
      <c r="BQ117" s="21">
        <f>EXP(-LN(2)/25)*BQ116+(1-EXP(-LN(2)/25))/(LN(2)/25)*Calculateur!BL117*Calculateur!BN117*VLOOKUP('Données projet'!$B$11,Paramètres!$A$1:$I$89,3,0)*0.475*44/12</f>
        <v>0.78036066140888349</v>
      </c>
      <c r="BR117" s="21">
        <f>EXP(-LN(2)/2)*BR116+(1-EXP(-LN(2)/2))/(LN(2)/2)*BL117*BO117*VLOOKUP('Données projet'!$B$11,Paramètres!$A$1:$I$89,3,0)*0.475*44/12</f>
        <v>1.7998856671512748E-12</v>
      </c>
      <c r="BS117" s="22">
        <f t="shared" si="63"/>
        <v>2.0171137984666019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368.16165268258442</v>
      </c>
      <c r="CE117" s="59">
        <f t="shared" si="94"/>
        <v>291.32219253157041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1.4169705936025443</v>
      </c>
      <c r="CL117" s="21">
        <f>EXP(-LN(2)/25)*CL116+(1-EXP(-LN(2)/25))/(LN(2)/25)*Calculateur!CG117*Calculateur!CI117*VLOOKUP('Données projet'!$B$12,Paramètres!$A$1:$I$89,3,0)*0.475*44/12</f>
        <v>0.64702105965990286</v>
      </c>
      <c r="CM117" s="21">
        <f>EXP(-LN(2)/2)*CM116+(1-EXP(-LN(2)/2))/(LN(2)/2)*CG117*CJ117*VLOOKUP('Données projet'!$B$12,Paramètres!$A$1:$I$89,3,0)*0.475*44/12</f>
        <v>1.8014437741103376E-12</v>
      </c>
      <c r="CN117" s="22">
        <f t="shared" si="66"/>
        <v>2.0639916532642486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1.1368683772161603E-13</v>
      </c>
      <c r="CU117" s="17">
        <f>CT117*VLOOKUP('Données projet'!$B$13,Paramètres!$A$1:$I$89,3,0)*VLOOKUP('Données projet'!$B$13,Paramètres!$A$1:$I$89,5,0)</f>
        <v>6.7984728957526396E-14</v>
      </c>
      <c r="CV117" s="13">
        <f t="shared" si="95"/>
        <v>1.0682447123141398E-12</v>
      </c>
      <c r="CW117" s="20">
        <f t="shared" si="67"/>
        <v>1.978932943548152E-12</v>
      </c>
      <c r="CX117" s="59">
        <f t="shared" si="68"/>
        <v>285.72790317117233</v>
      </c>
      <c r="CY117" s="59">
        <f ca="1">AVERAGE(OFFSET($CX$3,0,0,'Données projet'!$E$13+1,1))-AVERAGE(OFFSET($H$3,0,0,'Données projet'!$E$13+1,1))</f>
        <v>317.12995176362455</v>
      </c>
      <c r="CZ117" s="59">
        <f t="shared" si="96"/>
        <v>328.11301015275262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3.420683763031966</v>
      </c>
      <c r="DG117" s="21">
        <f>EXP(-LN(2)/25)*DG116+(1-EXP(-LN(2)/25))/(LN(2)/25)*Calculateur!DB117*Calculateur!DD117*VLOOKUP('Données projet'!$B$13,Paramètres!$A$1:$I$89,3,0)*0.475*44/12</f>
        <v>1.5706026707815204</v>
      </c>
      <c r="DH117" s="21">
        <f>EXP(-LN(2)/2)*DH116+(1-EXP(-LN(2)/2))/(LN(2)/2)*DB117*DE117*VLOOKUP('Données projet'!$B$13,Paramètres!$A$1:$I$89,3,0)*0.475*44/12</f>
        <v>1.3054395103922645E-12</v>
      </c>
      <c r="DI117" s="22">
        <f t="shared" si="69"/>
        <v>4.9912864338147918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2.8421709430404007E-14</v>
      </c>
      <c r="DP117" s="17">
        <f>DO117*VLOOKUP('Données projet'!$B$14,Paramètres!$A$1:$I$89,3,0)*VLOOKUP('Données projet'!$B$14,Paramètres!$A$1:$I$89,5,0)</f>
        <v>2.4829205358400945E-14</v>
      </c>
      <c r="DQ117" s="13">
        <f t="shared" si="97"/>
        <v>4.3867331143352915E-13</v>
      </c>
      <c r="DR117" s="20">
        <f t="shared" si="70"/>
        <v>8.0726688341261168E-13</v>
      </c>
      <c r="DS117" s="59">
        <f t="shared" si="71"/>
        <v>285.72790317117114</v>
      </c>
      <c r="DT117" s="59">
        <f ca="1">AVERAGE(OFFSET($DS$3,0,0,'Données projet'!$E$14+1,1))-AVERAGE(OFFSET($H$3,0,0,'Données projet'!$E$14+1,1))</f>
        <v>325.5873213944476</v>
      </c>
      <c r="DU117" s="59">
        <f t="shared" si="98"/>
        <v>347.9042278368363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0.55477623980483015</v>
      </c>
      <c r="EB117" s="21">
        <f>EXP(-LN(2)/25)*EB116+(1-EXP(-LN(2)/25))/(LN(2)/25)*Calculateur!DW117*Calculateur!DY117*VLOOKUP('Données projet'!$B$14,Paramètres!$A$1:$I$89,3,0)*0.475*44/12</f>
        <v>0.85935519480063038</v>
      </c>
      <c r="EC117" s="21">
        <f>EXP(-LN(2)/2)*EC116+(1-EXP(-LN(2)/2))/(LN(2)/2)*DW117*DZ117*VLOOKUP('Données projet'!$B$14,Paramètres!$A$1:$I$89,3,0)*0.475*44/12</f>
        <v>2.7170746389727952E-12</v>
      </c>
      <c r="ED117" s="22">
        <f t="shared" si="72"/>
        <v>1.4141314346081777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205.5480000480477</v>
      </c>
      <c r="EP117" s="59">
        <f t="shared" si="100"/>
        <v>229.86812144828366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1.3935747119833493</v>
      </c>
      <c r="EW117" s="21">
        <f>EXP(-LN(2)/25)*EW116+(1-EXP(-LN(2)/25))/(LN(2)/25)*Calculateur!ER117*Calculateur!ET117*VLOOKUP('Données projet'!$B$15,Paramètres!$A$1:$I$89,3,0)*0.475*44/12</f>
        <v>0.58656850996193732</v>
      </c>
      <c r="EX117" s="21">
        <f>EXP(-LN(2)/2)*EX116+(1-EXP(-LN(2)/2))/(LN(2)/2)*ER117*EU117*VLOOKUP('Données projet'!$B$15,Paramètres!$A$1:$I$89,3,0)*0.475*44/12</f>
        <v>6.7256474498927077E-13</v>
      </c>
      <c r="EY117" s="22">
        <f t="shared" si="75"/>
        <v>1.9801432219459592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3.05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20.092800000000036</v>
      </c>
      <c r="D118" s="11">
        <f t="shared" si="86"/>
        <v>6.5300817245569522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73.367855207326755</v>
      </c>
      <c r="H118" s="67">
        <f t="shared" si="56"/>
        <v>258.3015190036034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-3.4106051316484809E-13</v>
      </c>
      <c r="O118" s="13">
        <f>N118*VLOOKUP('Données projet'!$B$9,Paramètres!$A$1:$I$89,3,0)*VLOOKUP('Données projet'!$B$9,Paramètres!$A$1:$I$89,5,0)</f>
        <v>-1.9065282685915009E-13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542.23071537860039</v>
      </c>
      <c r="T118" s="59">
        <f t="shared" si="88"/>
        <v>667.26143680054633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1.3636487298678317</v>
      </c>
      <c r="AA118" s="21">
        <f>EXP(-LN(2)/25)*AA117+(1-EXP(-LN(2)/25))/(LN(2)/25)*Calculateur!V118*Calculateur!X118*VLOOKUP('Données projet'!$B$9,Paramètres!$A$1:$I$89,3,0)*0.475*44/12</f>
        <v>4.0367533264346722</v>
      </c>
      <c r="AB118" s="21">
        <f>EXP(-LN(2)/2)*AB117+(1-EXP(-LN(2)/2))/(LN(2)/2)*V118*Y118*VLOOKUP('Données projet'!$B$9,Paramètres!$A$1:$I$89,3,0)*0.475*44/12</f>
        <v>2.3180827398180607E-12</v>
      </c>
      <c r="AC118" s="22">
        <f t="shared" si="57"/>
        <v>5.4004020563048218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-1.2710188457276673E-13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427.83834708696861</v>
      </c>
      <c r="AO118" s="59">
        <f t="shared" si="90"/>
        <v>545.63950537101903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0.81818923792070009</v>
      </c>
      <c r="AV118" s="21">
        <f>EXP(-LN(2)/25)*AV117+(1-EXP(-LN(2)/25))/(LN(2)/25)*Calculateur!AQ118*Calculateur!AS118*VLOOKUP('Données projet'!$B$10,Paramètres!$A$1:$I$89,3,0)*0.475*44/12</f>
        <v>2.3323943076785341</v>
      </c>
      <c r="AW118" s="21">
        <f>EXP(-LN(2)/2)*AW117+(1-EXP(-LN(2)/2))/(LN(2)/2)*AQ118*AT118*VLOOKUP('Données projet'!$B$10,Paramètres!$A$1:$I$89,3,0)*0.475*44/12</f>
        <v>1.48755036190144E-12</v>
      </c>
      <c r="AX118" s="21">
        <f t="shared" si="60"/>
        <v>3.1505835456007221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-2.6602720026858149E-14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210.62109466714364</v>
      </c>
      <c r="BJ118" s="59">
        <f t="shared" si="92"/>
        <v>193.35729443770401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1.2125011623831803</v>
      </c>
      <c r="BQ118" s="21">
        <f>EXP(-LN(2)/25)*BQ117+(1-EXP(-LN(2)/25))/(LN(2)/25)*Calculateur!BL118*Calculateur!BN118*VLOOKUP('Données projet'!$B$11,Paramètres!$A$1:$I$89,3,0)*0.475*44/12</f>
        <v>0.75902165808527389</v>
      </c>
      <c r="BR118" s="21">
        <f>EXP(-LN(2)/2)*BR117+(1-EXP(-LN(2)/2))/(LN(2)/2)*BL118*BO118*VLOOKUP('Données projet'!$B$11,Paramètres!$A$1:$I$89,3,0)*0.475*44/12</f>
        <v>1.2727113606031397E-12</v>
      </c>
      <c r="BS118" s="22">
        <f t="shared" si="63"/>
        <v>1.971522820469727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368.16165268258442</v>
      </c>
      <c r="CE118" s="59">
        <f t="shared" si="94"/>
        <v>291.32219253157041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1.3891846645287211</v>
      </c>
      <c r="CL118" s="21">
        <f>EXP(-LN(2)/25)*CL117+(1-EXP(-LN(2)/25))/(LN(2)/25)*Calculateur!CG118*Calculateur!CI118*VLOOKUP('Données projet'!$B$12,Paramètres!$A$1:$I$89,3,0)*0.475*44/12</f>
        <v>0.62932823475814403</v>
      </c>
      <c r="CM118" s="21">
        <f>EXP(-LN(2)/2)*CM117+(1-EXP(-LN(2)/2))/(LN(2)/2)*CG118*CJ118*VLOOKUP('Données projet'!$B$12,Paramètres!$A$1:$I$89,3,0)*0.475*44/12</f>
        <v>1.2738131085997069E-12</v>
      </c>
      <c r="CN118" s="22">
        <f t="shared" si="66"/>
        <v>2.0185128992881389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1.1368683772161603E-13</v>
      </c>
      <c r="CU118" s="17">
        <f>CT118*VLOOKUP('Données projet'!$B$13,Paramètres!$A$1:$I$89,3,0)*VLOOKUP('Données projet'!$B$13,Paramètres!$A$1:$I$89,5,0)</f>
        <v>6.7984728957526396E-14</v>
      </c>
      <c r="CV118" s="13">
        <f t="shared" si="95"/>
        <v>1.0682447123141398E-12</v>
      </c>
      <c r="CW118" s="20">
        <f t="shared" si="67"/>
        <v>1.978932943548152E-12</v>
      </c>
      <c r="CX118" s="59">
        <f t="shared" si="68"/>
        <v>285.85984038129129</v>
      </c>
      <c r="CY118" s="59">
        <f ca="1">AVERAGE(OFFSET($CX$3,0,0,'Données projet'!$E$13+1,1))-AVERAGE(OFFSET($H$3,0,0,'Données projet'!$E$13+1,1))</f>
        <v>317.12995176362455</v>
      </c>
      <c r="CZ118" s="59">
        <f t="shared" si="96"/>
        <v>328.11301015275262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3.3536062408499885</v>
      </c>
      <c r="DG118" s="21">
        <f>EXP(-LN(2)/25)*DG117+(1-EXP(-LN(2)/25))/(LN(2)/25)*Calculateur!DB118*Calculateur!DD118*VLOOKUP('Données projet'!$B$13,Paramètres!$A$1:$I$89,3,0)*0.475*44/12</f>
        <v>1.527654458154595</v>
      </c>
      <c r="DH118" s="21">
        <f>EXP(-LN(2)/2)*DH117+(1-EXP(-LN(2)/2))/(LN(2)/2)*DB118*DE118*VLOOKUP('Données projet'!$B$13,Paramètres!$A$1:$I$89,3,0)*0.475*44/12</f>
        <v>9.2308513022721669E-13</v>
      </c>
      <c r="DI118" s="22">
        <f t="shared" si="69"/>
        <v>4.8812606990055061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2.8421709430404007E-14</v>
      </c>
      <c r="DP118" s="17">
        <f>DO118*VLOOKUP('Données projet'!$B$14,Paramètres!$A$1:$I$89,3,0)*VLOOKUP('Données projet'!$B$14,Paramètres!$A$1:$I$89,5,0)</f>
        <v>2.4829205358400945E-14</v>
      </c>
      <c r="DQ118" s="13">
        <f t="shared" si="97"/>
        <v>4.3867331143352915E-13</v>
      </c>
      <c r="DR118" s="20">
        <f t="shared" si="70"/>
        <v>8.0726688341261168E-13</v>
      </c>
      <c r="DS118" s="59">
        <f t="shared" si="71"/>
        <v>285.8598403812901</v>
      </c>
      <c r="DT118" s="59">
        <f ca="1">AVERAGE(OFFSET($DS$3,0,0,'Données projet'!$E$14+1,1))-AVERAGE(OFFSET($H$3,0,0,'Données projet'!$E$14+1,1))</f>
        <v>325.5873213944476</v>
      </c>
      <c r="DU118" s="59">
        <f t="shared" si="98"/>
        <v>347.9042278368363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0.54389741612235143</v>
      </c>
      <c r="EB118" s="21">
        <f>EXP(-LN(2)/25)*EB117+(1-EXP(-LN(2)/25))/(LN(2)/25)*Calculateur!DW118*Calculateur!DY118*VLOOKUP('Données projet'!$B$14,Paramètres!$A$1:$I$89,3,0)*0.475*44/12</f>
        <v>0.83585608180728155</v>
      </c>
      <c r="EC118" s="21">
        <f>EXP(-LN(2)/2)*EC117+(1-EXP(-LN(2)/2))/(LN(2)/2)*DW118*DZ118*VLOOKUP('Données projet'!$B$14,Paramètres!$A$1:$I$89,3,0)*0.475*44/12</f>
        <v>1.9212619022076539E-12</v>
      </c>
      <c r="ED118" s="22">
        <f t="shared" si="72"/>
        <v>1.3797534979315544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205.5480000480477</v>
      </c>
      <c r="EP118" s="59">
        <f t="shared" si="100"/>
        <v>229.86812144828366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1.3662475618779999</v>
      </c>
      <c r="EW118" s="21">
        <f>EXP(-LN(2)/25)*EW117+(1-EXP(-LN(2)/25))/(LN(2)/25)*Calculateur!ER118*Calculateur!ET118*VLOOKUP('Données projet'!$B$15,Paramètres!$A$1:$I$89,3,0)*0.475*44/12</f>
        <v>0.57052876321073087</v>
      </c>
      <c r="EX118" s="21">
        <f>EXP(-LN(2)/2)*EX117+(1-EXP(-LN(2)/2))/(LN(2)/2)*ER118*EU118*VLOOKUP('Données projet'!$B$15,Paramètres!$A$1:$I$89,3,0)*0.475*44/12</f>
        <v>4.7557509196891442E-13</v>
      </c>
      <c r="EY118" s="22">
        <f t="shared" si="75"/>
        <v>1.9367763250892063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3.05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20.267520000000037</v>
      </c>
      <c r="D119" s="11">
        <f t="shared" si="86"/>
        <v>6.5802301550453475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73.923319681234915</v>
      </c>
      <c r="H119" s="67">
        <f t="shared" si="56"/>
        <v>258.69316485337066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-3.4106051316484809E-13</v>
      </c>
      <c r="O119" s="13">
        <f>N119*VLOOKUP('Données projet'!$B$9,Paramètres!$A$1:$I$89,3,0)*VLOOKUP('Données projet'!$B$9,Paramètres!$A$1:$I$89,5,0)</f>
        <v>-1.9065282685915009E-13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542.23071537860039</v>
      </c>
      <c r="T119" s="59">
        <f t="shared" si="88"/>
        <v>667.26143680054633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1.336908410018721</v>
      </c>
      <c r="AA119" s="21">
        <f>EXP(-LN(2)/25)*AA118+(1-EXP(-LN(2)/25))/(LN(2)/25)*Calculateur!V119*Calculateur!X119*VLOOKUP('Données projet'!$B$9,Paramètres!$A$1:$I$89,3,0)*0.475*44/12</f>
        <v>3.9263680944396846</v>
      </c>
      <c r="AB119" s="21">
        <f>EXP(-LN(2)/2)*AB118+(1-EXP(-LN(2)/2))/(LN(2)/2)*V119*Y119*VLOOKUP('Données projet'!$B$9,Paramètres!$A$1:$I$89,3,0)*0.475*44/12</f>
        <v>1.639132024676842E-12</v>
      </c>
      <c r="AC119" s="22">
        <f t="shared" si="57"/>
        <v>5.2632765044600438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-1.2710188457276673E-13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427.83834708696861</v>
      </c>
      <c r="AO119" s="59">
        <f t="shared" si="90"/>
        <v>545.63950537101903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0.8021450460112336</v>
      </c>
      <c r="AV119" s="21">
        <f>EXP(-LN(2)/25)*AV118+(1-EXP(-LN(2)/25))/(LN(2)/25)*Calculateur!AQ119*Calculateur!AS119*VLOOKUP('Données projet'!$B$10,Paramètres!$A$1:$I$89,3,0)*0.475*44/12</f>
        <v>2.2686148626797786</v>
      </c>
      <c r="AW119" s="21">
        <f>EXP(-LN(2)/2)*AW118+(1-EXP(-LN(2)/2))/(LN(2)/2)*AQ119*AT119*VLOOKUP('Données projet'!$B$10,Paramètres!$A$1:$I$89,3,0)*0.475*44/12</f>
        <v>1.0518569482570111E-12</v>
      </c>
      <c r="AX119" s="21">
        <f t="shared" si="60"/>
        <v>3.0707599086920641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-2.6602720026858149E-14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210.62109466714364</v>
      </c>
      <c r="BJ119" s="59">
        <f t="shared" si="92"/>
        <v>193.35729443770401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1.1887247541415304</v>
      </c>
      <c r="BQ119" s="21">
        <f>EXP(-LN(2)/25)*BQ118+(1-EXP(-LN(2)/25))/(LN(2)/25)*Calculateur!BL119*Calculateur!BN119*VLOOKUP('Données projet'!$B$11,Paramètres!$A$1:$I$89,3,0)*0.475*44/12</f>
        <v>0.7382661709297178</v>
      </c>
      <c r="BR119" s="21">
        <f>EXP(-LN(2)/2)*BR118+(1-EXP(-LN(2)/2))/(LN(2)/2)*BL119*BO119*VLOOKUP('Données projet'!$B$11,Paramètres!$A$1:$I$89,3,0)*0.475*44/12</f>
        <v>8.999428335756375E-13</v>
      </c>
      <c r="BS119" s="22">
        <f t="shared" si="63"/>
        <v>1.9269909250721482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368.16165268258442</v>
      </c>
      <c r="CE119" s="59">
        <f t="shared" si="94"/>
        <v>291.32219253157041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1.3619436005762924</v>
      </c>
      <c r="CL119" s="21">
        <f>EXP(-LN(2)/25)*CL118+(1-EXP(-LN(2)/25))/(LN(2)/25)*Calculateur!CG119*Calculateur!CI119*VLOOKUP('Données projet'!$B$12,Paramètres!$A$1:$I$89,3,0)*0.475*44/12</f>
        <v>0.61211922108374905</v>
      </c>
      <c r="CM119" s="21">
        <f>EXP(-LN(2)/2)*CM118+(1-EXP(-LN(2)/2))/(LN(2)/2)*CG119*CJ119*VLOOKUP('Données projet'!$B$12,Paramètres!$A$1:$I$89,3,0)*0.475*44/12</f>
        <v>9.0072188705516889E-13</v>
      </c>
      <c r="CN119" s="22">
        <f t="shared" si="66"/>
        <v>1.9740628216609419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1.1368683772161603E-13</v>
      </c>
      <c r="CU119" s="17">
        <f>CT119*VLOOKUP('Données projet'!$B$13,Paramètres!$A$1:$I$89,3,0)*VLOOKUP('Données projet'!$B$13,Paramètres!$A$1:$I$89,5,0)</f>
        <v>6.7984728957526396E-14</v>
      </c>
      <c r="CV119" s="13">
        <f t="shared" si="95"/>
        <v>1.0682447123141398E-12</v>
      </c>
      <c r="CW119" s="20">
        <f t="shared" si="67"/>
        <v>1.978932943548152E-12</v>
      </c>
      <c r="CX119" s="59">
        <f t="shared" si="68"/>
        <v>285.98948877578209</v>
      </c>
      <c r="CY119" s="59">
        <f ca="1">AVERAGE(OFFSET($CX$3,0,0,'Données projet'!$E$13+1,1))-AVERAGE(OFFSET($H$3,0,0,'Données projet'!$E$13+1,1))</f>
        <v>317.12995176362455</v>
      </c>
      <c r="CZ119" s="59">
        <f t="shared" si="96"/>
        <v>328.11301015275262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3.2878440679647509</v>
      </c>
      <c r="DG119" s="21">
        <f>EXP(-LN(2)/25)*DG118+(1-EXP(-LN(2)/25))/(LN(2)/25)*Calculateur!DB119*Calculateur!DD119*VLOOKUP('Données projet'!$B$13,Paramètres!$A$1:$I$89,3,0)*0.475*44/12</f>
        <v>1.4858806666605011</v>
      </c>
      <c r="DH119" s="21">
        <f>EXP(-LN(2)/2)*DH118+(1-EXP(-LN(2)/2))/(LN(2)/2)*DB119*DE119*VLOOKUP('Données projet'!$B$13,Paramètres!$A$1:$I$89,3,0)*0.475*44/12</f>
        <v>6.5271975519613225E-13</v>
      </c>
      <c r="DI119" s="22">
        <f t="shared" si="69"/>
        <v>4.7737247346259046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2.8421709430404007E-14</v>
      </c>
      <c r="DP119" s="17">
        <f>DO119*VLOOKUP('Données projet'!$B$14,Paramètres!$A$1:$I$89,3,0)*VLOOKUP('Données projet'!$B$14,Paramètres!$A$1:$I$89,5,0)</f>
        <v>2.4829205358400945E-14</v>
      </c>
      <c r="DQ119" s="13">
        <f t="shared" si="97"/>
        <v>4.3867331143352915E-13</v>
      </c>
      <c r="DR119" s="20">
        <f t="shared" si="70"/>
        <v>8.0726688341261168E-13</v>
      </c>
      <c r="DS119" s="59">
        <f t="shared" si="71"/>
        <v>285.9894887757809</v>
      </c>
      <c r="DT119" s="59">
        <f ca="1">AVERAGE(OFFSET($DS$3,0,0,'Données projet'!$E$14+1,1))-AVERAGE(OFFSET($H$3,0,0,'Données projet'!$E$14+1,1))</f>
        <v>325.5873213944476</v>
      </c>
      <c r="DU119" s="59">
        <f t="shared" si="98"/>
        <v>347.9042278368363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0.53323191953685889</v>
      </c>
      <c r="EB119" s="21">
        <f>EXP(-LN(2)/25)*EB118+(1-EXP(-LN(2)/25))/(LN(2)/25)*Calculateur!DW119*Calculateur!DY119*VLOOKUP('Données projet'!$B$14,Paramètres!$A$1:$I$89,3,0)*0.475*44/12</f>
        <v>0.81299955329450047</v>
      </c>
      <c r="EC119" s="21">
        <f>EXP(-LN(2)/2)*EC118+(1-EXP(-LN(2)/2))/(LN(2)/2)*DW119*DZ119*VLOOKUP('Données projet'!$B$14,Paramètres!$A$1:$I$89,3,0)*0.475*44/12</f>
        <v>1.3585373194863976E-12</v>
      </c>
      <c r="ED119" s="22">
        <f t="shared" si="72"/>
        <v>1.3462314728327178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205.5480000480477</v>
      </c>
      <c r="EP119" s="59">
        <f t="shared" si="100"/>
        <v>229.86812144828366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1.3394562805183008</v>
      </c>
      <c r="EW119" s="21">
        <f>EXP(-LN(2)/25)*EW118+(1-EXP(-LN(2)/25))/(LN(2)/25)*Calculateur!ER119*Calculateur!ET119*VLOOKUP('Données projet'!$B$15,Paramètres!$A$1:$I$89,3,0)*0.475*44/12</f>
        <v>0.55492762417792973</v>
      </c>
      <c r="EX119" s="21">
        <f>EXP(-LN(2)/2)*EX118+(1-EXP(-LN(2)/2))/(LN(2)/2)*ER119*EU119*VLOOKUP('Données projet'!$B$15,Paramètres!$A$1:$I$89,3,0)*0.475*44/12</f>
        <v>3.3628237249463539E-13</v>
      </c>
      <c r="EY119" s="22">
        <f t="shared" si="75"/>
        <v>1.8943839046965667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3.05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20.442240000000037</v>
      </c>
      <c r="D120" s="11">
        <f t="shared" si="86"/>
        <v>6.6303282887577089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74.478659913282286</v>
      </c>
      <c r="H120" s="67">
        <f t="shared" si="56"/>
        <v>259.08472310291972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-3.4106051316484809E-13</v>
      </c>
      <c r="O120" s="13">
        <f>N120*VLOOKUP('Données projet'!$B$9,Paramètres!$A$1:$I$89,3,0)*VLOOKUP('Données projet'!$B$9,Paramètres!$A$1:$I$89,5,0)</f>
        <v>-1.9065282685915009E-13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542.23071537860039</v>
      </c>
      <c r="T120" s="59">
        <f t="shared" si="88"/>
        <v>667.26143680054633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1.3106924515318665</v>
      </c>
      <c r="AA120" s="21">
        <f>EXP(-LN(2)/25)*AA119+(1-EXP(-LN(2)/25))/(LN(2)/25)*Calculateur!V120*Calculateur!X120*VLOOKUP('Données projet'!$B$9,Paramètres!$A$1:$I$89,3,0)*0.475*44/12</f>
        <v>3.8190013524185074</v>
      </c>
      <c r="AB120" s="21">
        <f>EXP(-LN(2)/2)*AB119+(1-EXP(-LN(2)/2))/(LN(2)/2)*V120*Y120*VLOOKUP('Données projet'!$B$9,Paramètres!$A$1:$I$89,3,0)*0.475*44/12</f>
        <v>1.1590413699090303E-12</v>
      </c>
      <c r="AC120" s="22">
        <f t="shared" si="57"/>
        <v>5.1296938039515334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-1.2710188457276673E-13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427.83834708696861</v>
      </c>
      <c r="AO120" s="59">
        <f t="shared" si="90"/>
        <v>545.63950537101903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0.7864154709191209</v>
      </c>
      <c r="AV120" s="21">
        <f>EXP(-LN(2)/25)*AV119+(1-EXP(-LN(2)/25))/(LN(2)/25)*Calculateur!AQ120*Calculateur!AS120*VLOOKUP('Données projet'!$B$10,Paramètres!$A$1:$I$89,3,0)*0.475*44/12</f>
        <v>2.2065794699585295</v>
      </c>
      <c r="AW120" s="21">
        <f>EXP(-LN(2)/2)*AW119+(1-EXP(-LN(2)/2))/(LN(2)/2)*AQ120*AT120*VLOOKUP('Données projet'!$B$10,Paramètres!$A$1:$I$89,3,0)*0.475*44/12</f>
        <v>7.4377518095071999E-13</v>
      </c>
      <c r="AX120" s="21">
        <f t="shared" si="60"/>
        <v>2.9929949408783942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-2.6602720026858149E-14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210.62109466714364</v>
      </c>
      <c r="BJ120" s="59">
        <f t="shared" si="92"/>
        <v>193.35729443770401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1.1654145867633223</v>
      </c>
      <c r="BQ120" s="21">
        <f>EXP(-LN(2)/25)*BQ119+(1-EXP(-LN(2)/25))/(LN(2)/25)*Calculateur!BL120*Calculateur!BN120*VLOOKUP('Données projet'!$B$11,Paramètres!$A$1:$I$89,3,0)*0.475*44/12</f>
        <v>0.71807824366191408</v>
      </c>
      <c r="BR120" s="21">
        <f>EXP(-LN(2)/2)*BR119+(1-EXP(-LN(2)/2))/(LN(2)/2)*BL120*BO120*VLOOKUP('Données projet'!$B$11,Paramètres!$A$1:$I$89,3,0)*0.475*44/12</f>
        <v>6.3635568030156993E-13</v>
      </c>
      <c r="BS120" s="22">
        <f t="shared" si="63"/>
        <v>1.8834928304258729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368.16165268258442</v>
      </c>
      <c r="CE120" s="59">
        <f t="shared" si="94"/>
        <v>291.32219253157041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1.3352367172725625</v>
      </c>
      <c r="CL120" s="21">
        <f>EXP(-LN(2)/25)*CL119+(1-EXP(-LN(2)/25))/(LN(2)/25)*Calculateur!CG120*Calculateur!CI120*VLOOKUP('Données projet'!$B$12,Paramètres!$A$1:$I$89,3,0)*0.475*44/12</f>
        <v>0.59538078879326317</v>
      </c>
      <c r="CM120" s="21">
        <f>EXP(-LN(2)/2)*CM119+(1-EXP(-LN(2)/2))/(LN(2)/2)*CG120*CJ120*VLOOKUP('Données projet'!$B$12,Paramètres!$A$1:$I$89,3,0)*0.475*44/12</f>
        <v>6.3690655429985354E-13</v>
      </c>
      <c r="CN120" s="22">
        <f t="shared" si="66"/>
        <v>1.9306175060664625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1.1368683772161603E-13</v>
      </c>
      <c r="CU120" s="17">
        <f>CT120*VLOOKUP('Données projet'!$B$13,Paramètres!$A$1:$I$89,3,0)*VLOOKUP('Données projet'!$B$13,Paramètres!$A$1:$I$89,5,0)</f>
        <v>6.7984728957526396E-14</v>
      </c>
      <c r="CV120" s="13">
        <f t="shared" si="95"/>
        <v>1.0682447123141398E-12</v>
      </c>
      <c r="CW120" s="20">
        <f t="shared" si="67"/>
        <v>1.978932943548152E-12</v>
      </c>
      <c r="CX120" s="59">
        <f t="shared" si="68"/>
        <v>286.11688806047886</v>
      </c>
      <c r="CY120" s="59">
        <f ca="1">AVERAGE(OFFSET($CX$3,0,0,'Données projet'!$E$13+1,1))-AVERAGE(OFFSET($H$3,0,0,'Données projet'!$E$13+1,1))</f>
        <v>317.12995176362455</v>
      </c>
      <c r="CZ120" s="59">
        <f t="shared" si="96"/>
        <v>328.11301015275262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3.2233714511788283</v>
      </c>
      <c r="DG120" s="21">
        <f>EXP(-LN(2)/25)*DG119+(1-EXP(-LN(2)/25))/(LN(2)/25)*Calculateur!DB120*Calculateur!DD120*VLOOKUP('Données projet'!$B$13,Paramètres!$A$1:$I$89,3,0)*0.475*44/12</f>
        <v>1.4452491816916015</v>
      </c>
      <c r="DH120" s="21">
        <f>EXP(-LN(2)/2)*DH119+(1-EXP(-LN(2)/2))/(LN(2)/2)*DB120*DE120*VLOOKUP('Données projet'!$B$13,Paramètres!$A$1:$I$89,3,0)*0.475*44/12</f>
        <v>4.6154256511360835E-13</v>
      </c>
      <c r="DI120" s="22">
        <f t="shared" si="69"/>
        <v>4.6686206328708915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2.8421709430404007E-14</v>
      </c>
      <c r="DP120" s="17">
        <f>DO120*VLOOKUP('Données projet'!$B$14,Paramètres!$A$1:$I$89,3,0)*VLOOKUP('Données projet'!$B$14,Paramètres!$A$1:$I$89,5,0)</f>
        <v>2.4829205358400945E-14</v>
      </c>
      <c r="DQ120" s="13">
        <f t="shared" si="97"/>
        <v>4.3867331143352915E-13</v>
      </c>
      <c r="DR120" s="20">
        <f t="shared" si="70"/>
        <v>8.0726688341261168E-13</v>
      </c>
      <c r="DS120" s="59">
        <f t="shared" si="71"/>
        <v>286.11688806047766</v>
      </c>
      <c r="DT120" s="59">
        <f ca="1">AVERAGE(OFFSET($DS$3,0,0,'Données projet'!$E$14+1,1))-AVERAGE(OFFSET($H$3,0,0,'Données projet'!$E$14+1,1))</f>
        <v>325.5873213944476</v>
      </c>
      <c r="DU120" s="59">
        <f t="shared" si="98"/>
        <v>347.9042278368363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0.52277556683409732</v>
      </c>
      <c r="EB120" s="21">
        <f>EXP(-LN(2)/25)*EB119+(1-EXP(-LN(2)/25))/(LN(2)/25)*Calculateur!DW120*Calculateur!DY120*VLOOKUP('Données projet'!$B$14,Paramètres!$A$1:$I$89,3,0)*0.475*44/12</f>
        <v>0.79076803775587401</v>
      </c>
      <c r="EC120" s="21">
        <f>EXP(-LN(2)/2)*EC119+(1-EXP(-LN(2)/2))/(LN(2)/2)*DW120*DZ120*VLOOKUP('Données projet'!$B$14,Paramètres!$A$1:$I$89,3,0)*0.475*44/12</f>
        <v>9.6063095110382695E-13</v>
      </c>
      <c r="ED120" s="22">
        <f t="shared" si="72"/>
        <v>1.3135436045909319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205.5480000480477</v>
      </c>
      <c r="EP120" s="59">
        <f t="shared" si="100"/>
        <v>229.86812144828366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1.3131903598449972</v>
      </c>
      <c r="EW120" s="21">
        <f>EXP(-LN(2)/25)*EW119+(1-EXP(-LN(2)/25))/(LN(2)/25)*Calculateur!ER120*Calculateur!ET120*VLOOKUP('Données projet'!$B$15,Paramètres!$A$1:$I$89,3,0)*0.475*44/12</f>
        <v>0.53975309911240876</v>
      </c>
      <c r="EX120" s="21">
        <f>EXP(-LN(2)/2)*EX119+(1-EXP(-LN(2)/2))/(LN(2)/2)*ER120*EU120*VLOOKUP('Données projet'!$B$15,Paramètres!$A$1:$I$89,3,0)*0.475*44/12</f>
        <v>2.3778754598445721E-13</v>
      </c>
      <c r="EY120" s="22">
        <f t="shared" si="75"/>
        <v>1.8529434589576439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3.05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20.616960000000038</v>
      </c>
      <c r="D121" s="11">
        <f t="shared" si="86"/>
        <v>6.6803766053929321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75.033877088409298</v>
      </c>
      <c r="H121" s="67">
        <f t="shared" si="56"/>
        <v>259.47619458772607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-3.4106051316484809E-13</v>
      </c>
      <c r="O121" s="13">
        <f>N121*VLOOKUP('Données projet'!$B$9,Paramètres!$A$1:$I$89,3,0)*VLOOKUP('Données projet'!$B$9,Paramètres!$A$1:$I$89,5,0)</f>
        <v>-1.9065282685915009E-13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542.23071537860039</v>
      </c>
      <c r="T121" s="59">
        <f t="shared" si="88"/>
        <v>667.26143680054633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1.2849905720007835</v>
      </c>
      <c r="AA121" s="21">
        <f>EXP(-LN(2)/25)*AA120+(1-EXP(-LN(2)/25))/(LN(2)/25)*Calculateur!V121*Calculateur!X121*VLOOKUP('Données projet'!$B$9,Paramètres!$A$1:$I$89,3,0)*0.475*44/12</f>
        <v>3.7145705596040708</v>
      </c>
      <c r="AB121" s="21">
        <f>EXP(-LN(2)/2)*AB120+(1-EXP(-LN(2)/2))/(LN(2)/2)*V121*Y121*VLOOKUP('Données projet'!$B$9,Paramètres!$A$1:$I$89,3,0)*0.475*44/12</f>
        <v>8.1956601233842102E-13</v>
      </c>
      <c r="AC121" s="22">
        <f t="shared" si="57"/>
        <v>4.9995611316056738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-1.2710188457276673E-13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427.83834708696861</v>
      </c>
      <c r="AO121" s="59">
        <f t="shared" si="90"/>
        <v>545.63950537101903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0.77099434320047111</v>
      </c>
      <c r="AV121" s="21">
        <f>EXP(-LN(2)/25)*AV120+(1-EXP(-LN(2)/25))/(LN(2)/25)*Calculateur!AQ121*Calculateur!AS121*VLOOKUP('Données projet'!$B$10,Paramètres!$A$1:$I$89,3,0)*0.475*44/12</f>
        <v>2.1462404383135425</v>
      </c>
      <c r="AW121" s="21">
        <f>EXP(-LN(2)/2)*AW120+(1-EXP(-LN(2)/2))/(LN(2)/2)*AQ121*AT121*VLOOKUP('Données projet'!$B$10,Paramètres!$A$1:$I$89,3,0)*0.475*44/12</f>
        <v>5.2592847412850554E-13</v>
      </c>
      <c r="AX121" s="21">
        <f t="shared" si="60"/>
        <v>2.9172347815145394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-2.6602720026858149E-14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210.62109466714364</v>
      </c>
      <c r="BJ121" s="59">
        <f t="shared" si="92"/>
        <v>193.35729443770401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1.1425615175496027</v>
      </c>
      <c r="BQ121" s="21">
        <f>EXP(-LN(2)/25)*BQ120+(1-EXP(-LN(2)/25))/(LN(2)/25)*Calculateur!BL121*Calculateur!BN121*VLOOKUP('Données projet'!$B$11,Paramètres!$A$1:$I$89,3,0)*0.475*44/12</f>
        <v>0.69844235632688545</v>
      </c>
      <c r="BR121" s="21">
        <f>EXP(-LN(2)/2)*BR120+(1-EXP(-LN(2)/2))/(LN(2)/2)*BL121*BO121*VLOOKUP('Données projet'!$B$11,Paramètres!$A$1:$I$89,3,0)*0.475*44/12</f>
        <v>4.4997141678781885E-13</v>
      </c>
      <c r="BS121" s="22">
        <f t="shared" si="63"/>
        <v>1.8410038738769381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368.16165268258442</v>
      </c>
      <c r="CE121" s="59">
        <f t="shared" si="94"/>
        <v>291.32219253157041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1.3090535396608285</v>
      </c>
      <c r="CL121" s="21">
        <f>EXP(-LN(2)/25)*CL120+(1-EXP(-LN(2)/25))/(LN(2)/25)*Calculateur!CG121*Calculateur!CI121*VLOOKUP('Données projet'!$B$12,Paramètres!$A$1:$I$89,3,0)*0.475*44/12</f>
        <v>0.57910006981399642</v>
      </c>
      <c r="CM121" s="21">
        <f>EXP(-LN(2)/2)*CM120+(1-EXP(-LN(2)/2))/(LN(2)/2)*CG121*CJ121*VLOOKUP('Données projet'!$B$12,Paramètres!$A$1:$I$89,3,0)*0.475*44/12</f>
        <v>4.5036094352758449E-13</v>
      </c>
      <c r="CN121" s="22">
        <f t="shared" si="66"/>
        <v>1.8881536094752751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1.1368683772161603E-13</v>
      </c>
      <c r="CU121" s="17">
        <f>CT121*VLOOKUP('Données projet'!$B$13,Paramètres!$A$1:$I$89,3,0)*VLOOKUP('Données projet'!$B$13,Paramètres!$A$1:$I$89,5,0)</f>
        <v>6.7984728957526396E-14</v>
      </c>
      <c r="CV121" s="13">
        <f t="shared" si="95"/>
        <v>1.0682447123141398E-12</v>
      </c>
      <c r="CW121" s="20">
        <f t="shared" si="67"/>
        <v>1.978932943548152E-12</v>
      </c>
      <c r="CX121" s="59">
        <f t="shared" si="68"/>
        <v>286.24207725240825</v>
      </c>
      <c r="CY121" s="59">
        <f ca="1">AVERAGE(OFFSET($CX$3,0,0,'Données projet'!$E$13+1,1))-AVERAGE(OFFSET($H$3,0,0,'Données projet'!$E$13+1,1))</f>
        <v>317.12995176362455</v>
      </c>
      <c r="CZ121" s="59">
        <f t="shared" si="96"/>
        <v>328.11301015275262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3.1601631030836641</v>
      </c>
      <c r="DG121" s="21">
        <f>EXP(-LN(2)/25)*DG120+(1-EXP(-LN(2)/25))/(LN(2)/25)*Calculateur!DB121*Calculateur!DD121*VLOOKUP('Données projet'!$B$13,Paramètres!$A$1:$I$89,3,0)*0.475*44/12</f>
        <v>1.4057287668158933</v>
      </c>
      <c r="DH121" s="21">
        <f>EXP(-LN(2)/2)*DH120+(1-EXP(-LN(2)/2))/(LN(2)/2)*DB121*DE121*VLOOKUP('Données projet'!$B$13,Paramètres!$A$1:$I$89,3,0)*0.475*44/12</f>
        <v>3.2635987759806612E-13</v>
      </c>
      <c r="DI121" s="22">
        <f t="shared" si="69"/>
        <v>4.5658918698998834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2.8421709430404007E-14</v>
      </c>
      <c r="DP121" s="17">
        <f>DO121*VLOOKUP('Données projet'!$B$14,Paramètres!$A$1:$I$89,3,0)*VLOOKUP('Données projet'!$B$14,Paramètres!$A$1:$I$89,5,0)</f>
        <v>2.4829205358400945E-14</v>
      </c>
      <c r="DQ121" s="13">
        <f t="shared" si="97"/>
        <v>4.3867331143352915E-13</v>
      </c>
      <c r="DR121" s="20">
        <f t="shared" si="70"/>
        <v>8.0726688341261168E-13</v>
      </c>
      <c r="DS121" s="59">
        <f t="shared" si="71"/>
        <v>286.24207725240706</v>
      </c>
      <c r="DT121" s="59">
        <f ca="1">AVERAGE(OFFSET($DS$3,0,0,'Données projet'!$E$14+1,1))-AVERAGE(OFFSET($H$3,0,0,'Données projet'!$E$14+1,1))</f>
        <v>325.5873213944476</v>
      </c>
      <c r="DU121" s="59">
        <f t="shared" si="98"/>
        <v>347.9042278368363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0.51252425683009151</v>
      </c>
      <c r="EB121" s="21">
        <f>EXP(-LN(2)/25)*EB120+(1-EXP(-LN(2)/25))/(LN(2)/25)*Calculateur!DW121*Calculateur!DY121*VLOOKUP('Données projet'!$B$14,Paramètres!$A$1:$I$89,3,0)*0.475*44/12</f>
        <v>0.76914444417875583</v>
      </c>
      <c r="EC121" s="21">
        <f>EXP(-LN(2)/2)*EC120+(1-EXP(-LN(2)/2))/(LN(2)/2)*DW121*DZ121*VLOOKUP('Données projet'!$B$14,Paramètres!$A$1:$I$89,3,0)*0.475*44/12</f>
        <v>6.792686597431988E-13</v>
      </c>
      <c r="ED121" s="22">
        <f t="shared" si="72"/>
        <v>1.2816687010095265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205.5480000480477</v>
      </c>
      <c r="EP121" s="59">
        <f t="shared" si="100"/>
        <v>229.86812144828366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1.2874394978554673</v>
      </c>
      <c r="EW121" s="21">
        <f>EXP(-LN(2)/25)*EW120+(1-EXP(-LN(2)/25))/(LN(2)/25)*Calculateur!ER121*Calculateur!ET121*VLOOKUP('Données projet'!$B$15,Paramètres!$A$1:$I$89,3,0)*0.475*44/12</f>
        <v>0.52499352223279805</v>
      </c>
      <c r="EX121" s="21">
        <f>EXP(-LN(2)/2)*EX120+(1-EXP(-LN(2)/2))/(LN(2)/2)*ER121*EU121*VLOOKUP('Données projet'!$B$15,Paramètres!$A$1:$I$89,3,0)*0.475*44/12</f>
        <v>1.6814118624731769E-13</v>
      </c>
      <c r="EY121" s="22">
        <f t="shared" si="75"/>
        <v>1.8124330200884333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3.05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20.791680000000039</v>
      </c>
      <c r="D122" s="11">
        <f t="shared" si="86"/>
        <v>6.7303755760501591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75.588972370313485</v>
      </c>
      <c r="H122" s="67">
        <f t="shared" si="56"/>
        <v>259.86758012828739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-3.4106051316484809E-13</v>
      </c>
      <c r="O122" s="13">
        <f>N122*VLOOKUP('Données projet'!$B$9,Paramètres!$A$1:$I$89,3,0)*VLOOKUP('Données projet'!$B$9,Paramètres!$A$1:$I$89,5,0)</f>
        <v>-1.9065282685915009E-13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542.23071537860039</v>
      </c>
      <c r="T122" s="59">
        <f t="shared" si="88"/>
        <v>667.26143680054633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1.2597926906507064</v>
      </c>
      <c r="AA122" s="21">
        <f>EXP(-LN(2)/25)*AA121+(1-EXP(-LN(2)/25))/(LN(2)/25)*Calculateur!V122*Calculateur!X122*VLOOKUP('Données projet'!$B$9,Paramètres!$A$1:$I$89,3,0)*0.475*44/12</f>
        <v>3.6129954323109215</v>
      </c>
      <c r="AB122" s="21">
        <f>EXP(-LN(2)/2)*AB121+(1-EXP(-LN(2)/2))/(LN(2)/2)*V122*Y122*VLOOKUP('Données projet'!$B$9,Paramètres!$A$1:$I$89,3,0)*0.475*44/12</f>
        <v>5.7952068495451517E-13</v>
      </c>
      <c r="AC122" s="22">
        <f t="shared" si="57"/>
        <v>4.8727881229622074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-1.2710188457276673E-13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427.83834708696861</v>
      </c>
      <c r="AO122" s="59">
        <f t="shared" si="90"/>
        <v>545.63950537101903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0.75587561439042494</v>
      </c>
      <c r="AV122" s="21">
        <f>EXP(-LN(2)/25)*AV121+(1-EXP(-LN(2)/25))/(LN(2)/25)*Calculateur!AQ122*Calculateur!AS122*VLOOKUP('Données projet'!$B$10,Paramètres!$A$1:$I$89,3,0)*0.475*44/12</f>
        <v>2.0875513806619792</v>
      </c>
      <c r="AW122" s="21">
        <f>EXP(-LN(2)/2)*AW121+(1-EXP(-LN(2)/2))/(LN(2)/2)*AQ122*AT122*VLOOKUP('Données projet'!$B$10,Paramètres!$A$1:$I$89,3,0)*0.475*44/12</f>
        <v>3.7188759047535999E-13</v>
      </c>
      <c r="AX122" s="21">
        <f t="shared" si="60"/>
        <v>2.8434269950527757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-2.6602720026858149E-14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210.62109466714364</v>
      </c>
      <c r="BJ122" s="59">
        <f t="shared" si="92"/>
        <v>193.35729443770401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1.1201565830841682</v>
      </c>
      <c r="BQ122" s="21">
        <f>EXP(-LN(2)/25)*BQ121+(1-EXP(-LN(2)/25))/(LN(2)/25)*Calculateur!BL122*Calculateur!BN122*VLOOKUP('Données projet'!$B$11,Paramètres!$A$1:$I$89,3,0)*0.475*44/12</f>
        <v>0.67934341336363957</v>
      </c>
      <c r="BR122" s="21">
        <f>EXP(-LN(2)/2)*BR121+(1-EXP(-LN(2)/2))/(LN(2)/2)*BL122*BO122*VLOOKUP('Données projet'!$B$11,Paramètres!$A$1:$I$89,3,0)*0.475*44/12</f>
        <v>3.1817784015078502E-13</v>
      </c>
      <c r="BS122" s="22">
        <f t="shared" si="63"/>
        <v>1.799499996448126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368.16165268258442</v>
      </c>
      <c r="CE122" s="59">
        <f t="shared" si="94"/>
        <v>291.32219253157041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1.283383798191899</v>
      </c>
      <c r="CL122" s="21">
        <f>EXP(-LN(2)/25)*CL121+(1-EXP(-LN(2)/25))/(LN(2)/25)*Calculateur!CG122*Calculateur!CI122*VLOOKUP('Données projet'!$B$12,Paramètres!$A$1:$I$89,3,0)*0.475*44/12</f>
        <v>0.56326454795138359</v>
      </c>
      <c r="CM122" s="21">
        <f>EXP(-LN(2)/2)*CM121+(1-EXP(-LN(2)/2))/(LN(2)/2)*CG122*CJ122*VLOOKUP('Données projet'!$B$12,Paramètres!$A$1:$I$89,3,0)*0.475*44/12</f>
        <v>3.1845327714992682E-13</v>
      </c>
      <c r="CN122" s="22">
        <f t="shared" si="66"/>
        <v>1.846648346143601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1.1368683772161603E-13</v>
      </c>
      <c r="CU122" s="17">
        <f>CT122*VLOOKUP('Données projet'!$B$13,Paramètres!$A$1:$I$89,3,0)*VLOOKUP('Données projet'!$B$13,Paramètres!$A$1:$I$89,5,0)</f>
        <v>6.7984728957526396E-14</v>
      </c>
      <c r="CV122" s="13">
        <f t="shared" si="95"/>
        <v>1.0682447123141398E-12</v>
      </c>
      <c r="CW122" s="20">
        <f t="shared" si="67"/>
        <v>1.978932943548152E-12</v>
      </c>
      <c r="CX122" s="59">
        <f t="shared" si="68"/>
        <v>286.36509469173882</v>
      </c>
      <c r="CY122" s="59">
        <f ca="1">AVERAGE(OFFSET($CX$3,0,0,'Données projet'!$E$13+1,1))-AVERAGE(OFFSET($H$3,0,0,'Données projet'!$E$13+1,1))</f>
        <v>317.12995176362455</v>
      </c>
      <c r="CZ122" s="59">
        <f t="shared" si="96"/>
        <v>328.11301015275262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3.0981942321413607</v>
      </c>
      <c r="DG122" s="21">
        <f>EXP(-LN(2)/25)*DG121+(1-EXP(-LN(2)/25))/(LN(2)/25)*Calculateur!DB122*Calculateur!DD122*VLOOKUP('Données projet'!$B$13,Paramètres!$A$1:$I$89,3,0)*0.475*44/12</f>
        <v>1.3672890397632498</v>
      </c>
      <c r="DH122" s="21">
        <f>EXP(-LN(2)/2)*DH121+(1-EXP(-LN(2)/2))/(LN(2)/2)*DB122*DE122*VLOOKUP('Données projet'!$B$13,Paramètres!$A$1:$I$89,3,0)*0.475*44/12</f>
        <v>2.3077128255680417E-13</v>
      </c>
      <c r="DI122" s="22">
        <f t="shared" si="69"/>
        <v>4.4654832719048416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2.8421709430404007E-14</v>
      </c>
      <c r="DP122" s="17">
        <f>DO122*VLOOKUP('Données projet'!$B$14,Paramètres!$A$1:$I$89,3,0)*VLOOKUP('Données projet'!$B$14,Paramètres!$A$1:$I$89,5,0)</f>
        <v>2.4829205358400945E-14</v>
      </c>
      <c r="DQ122" s="13">
        <f t="shared" si="97"/>
        <v>4.3867331143352915E-13</v>
      </c>
      <c r="DR122" s="20">
        <f t="shared" si="70"/>
        <v>8.0726688341261168E-13</v>
      </c>
      <c r="DS122" s="59">
        <f t="shared" si="71"/>
        <v>286.36509469173762</v>
      </c>
      <c r="DT122" s="59">
        <f ca="1">AVERAGE(OFFSET($DS$3,0,0,'Données projet'!$E$14+1,1))-AVERAGE(OFFSET($H$3,0,0,'Données projet'!$E$14+1,1))</f>
        <v>325.5873213944476</v>
      </c>
      <c r="DU122" s="59">
        <f t="shared" si="98"/>
        <v>347.9042278368363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0.50247396876258255</v>
      </c>
      <c r="EB122" s="21">
        <f>EXP(-LN(2)/25)*EB121+(1-EXP(-LN(2)/25))/(LN(2)/25)*Calculateur!DW122*Calculateur!DY122*VLOOKUP('Données projet'!$B$14,Paramètres!$A$1:$I$89,3,0)*0.475*44/12</f>
        <v>0.74811214890513933</v>
      </c>
      <c r="EC122" s="21">
        <f>EXP(-LN(2)/2)*EC121+(1-EXP(-LN(2)/2))/(LN(2)/2)*DW122*DZ122*VLOOKUP('Données projet'!$B$14,Paramètres!$A$1:$I$89,3,0)*0.475*44/12</f>
        <v>4.8031547555191347E-13</v>
      </c>
      <c r="ED122" s="22">
        <f t="shared" si="72"/>
        <v>1.2505861176682023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205.5480000480477</v>
      </c>
      <c r="EP122" s="59">
        <f t="shared" si="100"/>
        <v>229.86812144828366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1.2621935945630773</v>
      </c>
      <c r="EW122" s="21">
        <f>EXP(-LN(2)/25)*EW121+(1-EXP(-LN(2)/25))/(LN(2)/25)*Calculateur!ER122*Calculateur!ET122*VLOOKUP('Données projet'!$B$15,Paramètres!$A$1:$I$89,3,0)*0.475*44/12</f>
        <v>0.51063754675913275</v>
      </c>
      <c r="EX122" s="21">
        <f>EXP(-LN(2)/2)*EX121+(1-EXP(-LN(2)/2))/(LN(2)/2)*ER122*EU122*VLOOKUP('Données projet'!$B$15,Paramètres!$A$1:$I$89,3,0)*0.475*44/12</f>
        <v>1.188937729922286E-13</v>
      </c>
      <c r="EY122" s="22">
        <f t="shared" si="75"/>
        <v>1.7728311413223288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3.05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20.966400000000039</v>
      </c>
      <c r="D123" s="11">
        <f t="shared" si="86"/>
        <v>6.7803256634538958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76.143946902005496</v>
      </c>
      <c r="H123" s="67">
        <f t="shared" si="56"/>
        <v>260.25888053051557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-3.4106051316484809E-13</v>
      </c>
      <c r="O123" s="13">
        <f>N123*VLOOKUP('Données projet'!$B$9,Paramètres!$A$1:$I$89,3,0)*VLOOKUP('Données projet'!$B$9,Paramètres!$A$1:$I$89,5,0)</f>
        <v>-1.9065282685915009E-13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542.23071537860039</v>
      </c>
      <c r="T123" s="59">
        <f t="shared" si="88"/>
        <v>667.26143680054633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1.2350889243847143</v>
      </c>
      <c r="AA123" s="21">
        <f>EXP(-LN(2)/25)*AA122+(1-EXP(-LN(2)/25))/(LN(2)/25)*Calculateur!V123*Calculateur!X123*VLOOKUP('Données projet'!$B$9,Paramètres!$A$1:$I$89,3,0)*0.475*44/12</f>
        <v>3.5141978822152073</v>
      </c>
      <c r="AB123" s="21">
        <f>EXP(-LN(2)/2)*AB122+(1-EXP(-LN(2)/2))/(LN(2)/2)*V123*Y123*VLOOKUP('Données projet'!$B$9,Paramètres!$A$1:$I$89,3,0)*0.475*44/12</f>
        <v>4.0978300616921051E-13</v>
      </c>
      <c r="AC123" s="22">
        <f t="shared" si="57"/>
        <v>4.7492868066003311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-1.2710188457276673E-13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427.83834708696861</v>
      </c>
      <c r="AO123" s="59">
        <f t="shared" si="90"/>
        <v>545.63950537101903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0.74105335463082966</v>
      </c>
      <c r="AV123" s="21">
        <f>EXP(-LN(2)/25)*AV122+(1-EXP(-LN(2)/25))/(LN(2)/25)*Calculateur!AQ123*Calculateur!AS123*VLOOKUP('Données projet'!$B$10,Paramètres!$A$1:$I$89,3,0)*0.475*44/12</f>
        <v>2.0304671783782213</v>
      </c>
      <c r="AW123" s="21">
        <f>EXP(-LN(2)/2)*AW122+(1-EXP(-LN(2)/2))/(LN(2)/2)*AQ123*AT123*VLOOKUP('Données projet'!$B$10,Paramètres!$A$1:$I$89,3,0)*0.475*44/12</f>
        <v>2.6296423706425277E-13</v>
      </c>
      <c r="AX123" s="21">
        <f t="shared" si="60"/>
        <v>2.7715205330093138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-2.6602720026858149E-14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210.62109466714364</v>
      </c>
      <c r="BJ123" s="59">
        <f t="shared" si="92"/>
        <v>193.35729443770401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1.0981909957179401</v>
      </c>
      <c r="BQ123" s="21">
        <f>EXP(-LN(2)/25)*BQ122+(1-EXP(-LN(2)/25))/(LN(2)/25)*Calculateur!BL123*Calculateur!BN123*VLOOKUP('Données projet'!$B$11,Paramètres!$A$1:$I$89,3,0)*0.475*44/12</f>
        <v>0.66076673200009339</v>
      </c>
      <c r="BR123" s="21">
        <f>EXP(-LN(2)/2)*BR122+(1-EXP(-LN(2)/2))/(LN(2)/2)*BL123*BO123*VLOOKUP('Données projet'!$B$11,Paramètres!$A$1:$I$89,3,0)*0.475*44/12</f>
        <v>2.2498570839390945E-13</v>
      </c>
      <c r="BS123" s="22">
        <f t="shared" si="63"/>
        <v>1.7589577277182584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368.16165268258442</v>
      </c>
      <c r="CE123" s="59">
        <f t="shared" si="94"/>
        <v>291.32219253157041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1.258217424696179</v>
      </c>
      <c r="CL123" s="21">
        <f>EXP(-LN(2)/25)*CL122+(1-EXP(-LN(2)/25))/(LN(2)/25)*Calculateur!CG123*Calculateur!CI123*VLOOKUP('Données projet'!$B$12,Paramètres!$A$1:$I$89,3,0)*0.475*44/12</f>
        <v>0.54786204926685778</v>
      </c>
      <c r="CM123" s="21">
        <f>EXP(-LN(2)/2)*CM122+(1-EXP(-LN(2)/2))/(LN(2)/2)*CG123*CJ123*VLOOKUP('Données projet'!$B$12,Paramètres!$A$1:$I$89,3,0)*0.475*44/12</f>
        <v>2.251804717637923E-13</v>
      </c>
      <c r="CN123" s="22">
        <f t="shared" si="66"/>
        <v>1.806079473963262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1.1368683772161603E-13</v>
      </c>
      <c r="CU123" s="17">
        <f>CT123*VLOOKUP('Données projet'!$B$13,Paramètres!$A$1:$I$89,3,0)*VLOOKUP('Données projet'!$B$13,Paramètres!$A$1:$I$89,5,0)</f>
        <v>6.7984728957526396E-14</v>
      </c>
      <c r="CV123" s="13">
        <f t="shared" si="95"/>
        <v>1.0682447123141398E-12</v>
      </c>
      <c r="CW123" s="20">
        <f t="shared" si="67"/>
        <v>1.978932943548152E-12</v>
      </c>
      <c r="CX123" s="59">
        <f t="shared" si="68"/>
        <v>286.48597805352273</v>
      </c>
      <c r="CY123" s="59">
        <f ca="1">AVERAGE(OFFSET($CX$3,0,0,'Données projet'!$E$13+1,1))-AVERAGE(OFFSET($H$3,0,0,'Données projet'!$E$13+1,1))</f>
        <v>317.12995176362455</v>
      </c>
      <c r="CZ123" s="59">
        <f t="shared" si="96"/>
        <v>328.11301015275262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3.0374405329609568</v>
      </c>
      <c r="DG123" s="21">
        <f>EXP(-LN(2)/25)*DG122+(1-EXP(-LN(2)/25))/(LN(2)/25)*Calculateur!DB123*Calculateur!DD123*VLOOKUP('Données projet'!$B$13,Paramètres!$A$1:$I$89,3,0)*0.475*44/12</f>
        <v>1.3299004490683182</v>
      </c>
      <c r="DH123" s="21">
        <f>EXP(-LN(2)/2)*DH122+(1-EXP(-LN(2)/2))/(LN(2)/2)*DB123*DE123*VLOOKUP('Données projet'!$B$13,Paramètres!$A$1:$I$89,3,0)*0.475*44/12</f>
        <v>1.6317993879903306E-13</v>
      </c>
      <c r="DI123" s="22">
        <f t="shared" si="69"/>
        <v>4.3673409820294387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2.8421709430404007E-14</v>
      </c>
      <c r="DP123" s="17">
        <f>DO123*VLOOKUP('Données projet'!$B$14,Paramètres!$A$1:$I$89,3,0)*VLOOKUP('Données projet'!$B$14,Paramètres!$A$1:$I$89,5,0)</f>
        <v>2.4829205358400945E-14</v>
      </c>
      <c r="DQ123" s="13">
        <f t="shared" si="97"/>
        <v>4.3867331143352915E-13</v>
      </c>
      <c r="DR123" s="20">
        <f t="shared" si="70"/>
        <v>8.0726688341261168E-13</v>
      </c>
      <c r="DS123" s="59">
        <f t="shared" si="71"/>
        <v>286.48597805352154</v>
      </c>
      <c r="DT123" s="59">
        <f ca="1">AVERAGE(OFFSET($DS$3,0,0,'Données projet'!$E$14+1,1))-AVERAGE(OFFSET($H$3,0,0,'Données projet'!$E$14+1,1))</f>
        <v>325.5873213944476</v>
      </c>
      <c r="DU123" s="59">
        <f t="shared" si="98"/>
        <v>347.9042278368363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0.49262076071400696</v>
      </c>
      <c r="EB123" s="21">
        <f>EXP(-LN(2)/25)*EB122+(1-EXP(-LN(2)/25))/(LN(2)/25)*Calculateur!DW123*Calculateur!DY123*VLOOKUP('Données projet'!$B$14,Paramètres!$A$1:$I$89,3,0)*0.475*44/12</f>
        <v>0.72765498285182018</v>
      </c>
      <c r="EC123" s="21">
        <f>EXP(-LN(2)/2)*EC122+(1-EXP(-LN(2)/2))/(LN(2)/2)*DW123*DZ123*VLOOKUP('Données projet'!$B$14,Paramètres!$A$1:$I$89,3,0)*0.475*44/12</f>
        <v>3.396343298715994E-13</v>
      </c>
      <c r="ED123" s="22">
        <f t="shared" si="72"/>
        <v>1.2202757435661669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205.5480000480477</v>
      </c>
      <c r="EP123" s="59">
        <f t="shared" si="100"/>
        <v>229.86812144828366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1.2374427480357706</v>
      </c>
      <c r="EW123" s="21">
        <f>EXP(-LN(2)/25)*EW122+(1-EXP(-LN(2)/25))/(LN(2)/25)*Calculateur!ER123*Calculateur!ET123*VLOOKUP('Données projet'!$B$15,Paramètres!$A$1:$I$89,3,0)*0.475*44/12</f>
        <v>0.49667413618974277</v>
      </c>
      <c r="EX123" s="21">
        <f>EXP(-LN(2)/2)*EX122+(1-EXP(-LN(2)/2))/(LN(2)/2)*ER123*EU123*VLOOKUP('Données projet'!$B$15,Paramètres!$A$1:$I$89,3,0)*0.475*44/12</f>
        <v>8.4070593123658846E-14</v>
      </c>
      <c r="EY123" s="22">
        <f t="shared" si="75"/>
        <v>1.7341168842255976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3.05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21.14112000000004</v>
      </c>
      <c r="D124" s="11">
        <f t="shared" si="86"/>
        <v>6.830227322171412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76.698801806346324</v>
      </c>
      <c r="H124" s="67">
        <f t="shared" si="56"/>
        <v>260.65009658611524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-1.9065282685915009E-13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542.23071537860039</v>
      </c>
      <c r="T124" s="59">
        <f t="shared" si="88"/>
        <v>667.26143680054633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1.2108695839073889</v>
      </c>
      <c r="AA124" s="21">
        <f>EXP(-LN(2)/25)*AA123+(1-EXP(-LN(2)/25))/(LN(2)/25)*Calculateur!V124*Calculateur!X124*VLOOKUP('Données projet'!$B$9,Paramètres!$A$1:$I$89,3,0)*0.475*44/12</f>
        <v>3.4181019563223978</v>
      </c>
      <c r="AB124" s="21">
        <f>EXP(-LN(2)/2)*AB123+(1-EXP(-LN(2)/2))/(LN(2)/2)*V124*Y124*VLOOKUP('Données projet'!$B$9,Paramètres!$A$1:$I$89,3,0)*0.475*44/12</f>
        <v>2.8976034247725759E-13</v>
      </c>
      <c r="AC124" s="22">
        <f t="shared" si="57"/>
        <v>4.6289715402300757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-1.2710188457276673E-13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427.83834708696861</v>
      </c>
      <c r="AO124" s="59">
        <f t="shared" si="90"/>
        <v>545.63950537101903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0.72652175034443434</v>
      </c>
      <c r="AV124" s="21">
        <f>EXP(-LN(2)/25)*AV123+(1-EXP(-LN(2)/25))/(LN(2)/25)*Calculateur!AQ124*Calculateur!AS124*VLOOKUP('Données projet'!$B$10,Paramètres!$A$1:$I$89,3,0)*0.475*44/12</f>
        <v>1.9749439466078407</v>
      </c>
      <c r="AW124" s="21">
        <f>EXP(-LN(2)/2)*AW123+(1-EXP(-LN(2)/2))/(LN(2)/2)*AQ124*AT124*VLOOKUP('Données projet'!$B$10,Paramètres!$A$1:$I$89,3,0)*0.475*44/12</f>
        <v>1.8594379523768E-13</v>
      </c>
      <c r="AX124" s="21">
        <f t="shared" si="60"/>
        <v>2.7014656969524613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-2.6602720026858149E-14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210.62109466714364</v>
      </c>
      <c r="BJ124" s="59">
        <f t="shared" si="92"/>
        <v>193.35729443770401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1.0766561401222785</v>
      </c>
      <c r="BQ124" s="21">
        <f>EXP(-LN(2)/25)*BQ123+(1-EXP(-LN(2)/25))/(LN(2)/25)*Calculateur!BL124*Calculateur!BN124*VLOOKUP('Données projet'!$B$11,Paramètres!$A$1:$I$89,3,0)*0.475*44/12</f>
        <v>0.64269803096533862</v>
      </c>
      <c r="BR124" s="21">
        <f>EXP(-LN(2)/2)*BR123+(1-EXP(-LN(2)/2))/(LN(2)/2)*BL124*BO124*VLOOKUP('Données projet'!$B$11,Paramètres!$A$1:$I$89,3,0)*0.475*44/12</f>
        <v>1.5908892007539253E-13</v>
      </c>
      <c r="BS124" s="22">
        <f t="shared" si="63"/>
        <v>1.719354171087776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368.16165268258442</v>
      </c>
      <c r="CE124" s="59">
        <f t="shared" si="94"/>
        <v>291.32219253157041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1.233544548434738</v>
      </c>
      <c r="CL124" s="21">
        <f>EXP(-LN(2)/25)*CL123+(1-EXP(-LN(2)/25))/(LN(2)/25)*Calculateur!CG124*Calculateur!CI124*VLOOKUP('Données projet'!$B$12,Paramètres!$A$1:$I$89,3,0)*0.475*44/12</f>
        <v>0.53288073271884251</v>
      </c>
      <c r="CM124" s="21">
        <f>EXP(-LN(2)/2)*CM123+(1-EXP(-LN(2)/2))/(LN(2)/2)*CG124*CJ124*VLOOKUP('Données projet'!$B$12,Paramètres!$A$1:$I$89,3,0)*0.475*44/12</f>
        <v>1.5922663857496344E-13</v>
      </c>
      <c r="CN124" s="22">
        <f t="shared" si="66"/>
        <v>1.7664252811537398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1.1368683772161603E-13</v>
      </c>
      <c r="CU124" s="17">
        <f>CT124*VLOOKUP('Données projet'!$B$13,Paramètres!$A$1:$I$89,3,0)*VLOOKUP('Données projet'!$B$13,Paramètres!$A$1:$I$89,5,0)</f>
        <v>6.7984728957526396E-14</v>
      </c>
      <c r="CV124" s="13">
        <f t="shared" si="95"/>
        <v>1.0682447123141398E-12</v>
      </c>
      <c r="CW124" s="20">
        <f t="shared" si="67"/>
        <v>1.978932943548152E-12</v>
      </c>
      <c r="CX124" s="59">
        <f t="shared" si="68"/>
        <v>286.60476435923442</v>
      </c>
      <c r="CY124" s="59">
        <f ca="1">AVERAGE(OFFSET($CX$3,0,0,'Données projet'!$E$13+1,1))-AVERAGE(OFFSET($H$3,0,0,'Données projet'!$E$13+1,1))</f>
        <v>317.12995176362455</v>
      </c>
      <c r="CZ124" s="59">
        <f t="shared" si="96"/>
        <v>328.11301015275262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2.9778781767653828</v>
      </c>
      <c r="DG124" s="21">
        <f>EXP(-LN(2)/25)*DG123+(1-EXP(-LN(2)/25))/(LN(2)/25)*Calculateur!DB124*Calculateur!DD124*VLOOKUP('Données projet'!$B$13,Paramètres!$A$1:$I$89,3,0)*0.475*44/12</f>
        <v>1.29353425135212</v>
      </c>
      <c r="DH124" s="21">
        <f>EXP(-LN(2)/2)*DH123+(1-EXP(-LN(2)/2))/(LN(2)/2)*DB124*DE124*VLOOKUP('Données projet'!$B$13,Paramètres!$A$1:$I$89,3,0)*0.475*44/12</f>
        <v>1.1538564127840209E-13</v>
      </c>
      <c r="DI124" s="22">
        <f t="shared" si="69"/>
        <v>4.2714124281176185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2.8421709430404007E-14</v>
      </c>
      <c r="DP124" s="17">
        <f>DO124*VLOOKUP('Données projet'!$B$14,Paramètres!$A$1:$I$89,3,0)*VLOOKUP('Données projet'!$B$14,Paramètres!$A$1:$I$89,5,0)</f>
        <v>2.4829205358400945E-14</v>
      </c>
      <c r="DQ124" s="13">
        <f t="shared" si="97"/>
        <v>4.3867331143352915E-13</v>
      </c>
      <c r="DR124" s="20">
        <f t="shared" si="70"/>
        <v>8.0726688341261168E-13</v>
      </c>
      <c r="DS124" s="59">
        <f t="shared" si="71"/>
        <v>286.60476435923323</v>
      </c>
      <c r="DT124" s="59">
        <f ca="1">AVERAGE(OFFSET($DS$3,0,0,'Données projet'!$E$14+1,1))-AVERAGE(OFFSET($H$3,0,0,'Données projet'!$E$14+1,1))</f>
        <v>325.5873213944476</v>
      </c>
      <c r="DU124" s="59">
        <f t="shared" si="98"/>
        <v>347.9042278368363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0.48296076806540045</v>
      </c>
      <c r="EB124" s="21">
        <f>EXP(-LN(2)/25)*EB123+(1-EXP(-LN(2)/25))/(LN(2)/25)*Calculateur!DW124*Calculateur!DY124*VLOOKUP('Données projet'!$B$14,Paramètres!$A$1:$I$89,3,0)*0.475*44/12</f>
        <v>0.70775721908002465</v>
      </c>
      <c r="EC124" s="21">
        <f>EXP(-LN(2)/2)*EC123+(1-EXP(-LN(2)/2))/(LN(2)/2)*DW124*DZ124*VLOOKUP('Données projet'!$B$14,Paramètres!$A$1:$I$89,3,0)*0.475*44/12</f>
        <v>2.4015773777595674E-13</v>
      </c>
      <c r="ED124" s="22">
        <f t="shared" si="72"/>
        <v>1.1907179871456655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205.5480000480477</v>
      </c>
      <c r="EP124" s="59">
        <f t="shared" si="100"/>
        <v>229.86812144828366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1.2131772505123386</v>
      </c>
      <c r="EW124" s="21">
        <f>EXP(-LN(2)/25)*EW123+(1-EXP(-LN(2)/25))/(LN(2)/25)*Calculateur!ER124*Calculateur!ET124*VLOOKUP('Données projet'!$B$15,Paramètres!$A$1:$I$89,3,0)*0.475*44/12</f>
        <v>0.48309255581667659</v>
      </c>
      <c r="EX124" s="21">
        <f>EXP(-LN(2)/2)*EX123+(1-EXP(-LN(2)/2))/(LN(2)/2)*ER124*EU124*VLOOKUP('Données projet'!$B$15,Paramètres!$A$1:$I$89,3,0)*0.475*44/12</f>
        <v>5.9446886496114302E-14</v>
      </c>
      <c r="EY124" s="22">
        <f t="shared" si="75"/>
        <v>1.6962698063290746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3.05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21.315840000000041</v>
      </c>
      <c r="D125" s="11">
        <f t="shared" si="86"/>
        <v>6.880080998822736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77.253538186565748</v>
      </c>
      <c r="H125" s="67">
        <f t="shared" si="56"/>
        <v>261.04122907294965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-1.9065282685915009E-13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542.23071537860039</v>
      </c>
      <c r="T125" s="59">
        <f t="shared" si="88"/>
        <v>667.26143680054633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1.1871251699244847</v>
      </c>
      <c r="AA125" s="21">
        <f>EXP(-LN(2)/25)*AA124+(1-EXP(-LN(2)/25))/(LN(2)/25)*Calculateur!V125*Calculateur!X125*VLOOKUP('Données projet'!$B$9,Paramètres!$A$1:$I$89,3,0)*0.475*44/12</f>
        <v>3.324633778576592</v>
      </c>
      <c r="AB125" s="21">
        <f>EXP(-LN(2)/2)*AB124+(1-EXP(-LN(2)/2))/(LN(2)/2)*V125*Y125*VLOOKUP('Données projet'!$B$9,Paramètres!$A$1:$I$89,3,0)*0.475*44/12</f>
        <v>2.0489150308460526E-13</v>
      </c>
      <c r="AC125" s="22">
        <f t="shared" si="57"/>
        <v>4.5117589485012823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-1.2710188457276673E-13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427.83834708696861</v>
      </c>
      <c r="AO125" s="59">
        <f t="shared" si="90"/>
        <v>545.63950537101903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0.71227510195469179</v>
      </c>
      <c r="AV125" s="21">
        <f>EXP(-LN(2)/25)*AV124+(1-EXP(-LN(2)/25))/(LN(2)/25)*Calculateur!AQ125*Calculateur!AS125*VLOOKUP('Données projet'!$B$10,Paramètres!$A$1:$I$89,3,0)*0.475*44/12</f>
        <v>1.9209390005300608</v>
      </c>
      <c r="AW125" s="21">
        <f>EXP(-LN(2)/2)*AW124+(1-EXP(-LN(2)/2))/(LN(2)/2)*AQ125*AT125*VLOOKUP('Données projet'!$B$10,Paramètres!$A$1:$I$89,3,0)*0.475*44/12</f>
        <v>1.3148211853212638E-13</v>
      </c>
      <c r="AX125" s="21">
        <f t="shared" si="60"/>
        <v>2.6332141024848843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-2.6602720026858149E-14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210.62109466714364</v>
      </c>
      <c r="BJ125" s="59">
        <f t="shared" si="92"/>
        <v>193.35729443770401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1.0555435699098827</v>
      </c>
      <c r="BQ125" s="21">
        <f>EXP(-LN(2)/25)*BQ124+(1-EXP(-LN(2)/25))/(LN(2)/25)*Calculateur!BL125*Calculateur!BN125*VLOOKUP('Données projet'!$B$11,Paramètres!$A$1:$I$89,3,0)*0.475*44/12</f>
        <v>0.62512341951057093</v>
      </c>
      <c r="BR125" s="21">
        <f>EXP(-LN(2)/2)*BR124+(1-EXP(-LN(2)/2))/(LN(2)/2)*BL125*BO125*VLOOKUP('Données projet'!$B$11,Paramètres!$A$1:$I$89,3,0)*0.475*44/12</f>
        <v>1.1249285419695475E-13</v>
      </c>
      <c r="BS125" s="22">
        <f t="shared" si="63"/>
        <v>1.6806669894205661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368.16165268258442</v>
      </c>
      <c r="CE125" s="59">
        <f t="shared" si="94"/>
        <v>291.32219253157041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1.2093554922278151</v>
      </c>
      <c r="CL125" s="21">
        <f>EXP(-LN(2)/25)*CL124+(1-EXP(-LN(2)/25))/(LN(2)/25)*Calculateur!CG125*Calculateur!CI125*VLOOKUP('Données projet'!$B$12,Paramètres!$A$1:$I$89,3,0)*0.475*44/12</f>
        <v>0.51830908105966589</v>
      </c>
      <c r="CM125" s="21">
        <f>EXP(-LN(2)/2)*CM124+(1-EXP(-LN(2)/2))/(LN(2)/2)*CG125*CJ125*VLOOKUP('Données projet'!$B$12,Paramètres!$A$1:$I$89,3,0)*0.475*44/12</f>
        <v>1.1259023588189616E-13</v>
      </c>
      <c r="CN125" s="22">
        <f t="shared" si="66"/>
        <v>1.7276645732875935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1.1368683772161603E-13</v>
      </c>
      <c r="CU125" s="17">
        <f>CT125*VLOOKUP('Données projet'!$B$13,Paramètres!$A$1:$I$89,3,0)*VLOOKUP('Données projet'!$B$13,Paramètres!$A$1:$I$89,5,0)</f>
        <v>6.7984728957526396E-14</v>
      </c>
      <c r="CV125" s="13">
        <f t="shared" si="95"/>
        <v>1.0682447123141398E-12</v>
      </c>
      <c r="CW125" s="20">
        <f t="shared" si="67"/>
        <v>1.978932943548152E-12</v>
      </c>
      <c r="CX125" s="59">
        <f t="shared" si="68"/>
        <v>286.72148998810849</v>
      </c>
      <c r="CY125" s="59">
        <f ca="1">AVERAGE(OFFSET($CX$3,0,0,'Données projet'!$E$13+1,1))-AVERAGE(OFFSET($H$3,0,0,'Données projet'!$E$13+1,1))</f>
        <v>317.12995176362455</v>
      </c>
      <c r="CZ125" s="59">
        <f t="shared" si="96"/>
        <v>328.11301015275262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2.9194838020453542</v>
      </c>
      <c r="DG125" s="21">
        <f>EXP(-LN(2)/25)*DG124+(1-EXP(-LN(2)/25))/(LN(2)/25)*Calculateur!DB125*Calculateur!DD125*VLOOKUP('Données projet'!$B$13,Paramètres!$A$1:$I$89,3,0)*0.475*44/12</f>
        <v>1.2581624892248864</v>
      </c>
      <c r="DH125" s="21">
        <f>EXP(-LN(2)/2)*DH124+(1-EXP(-LN(2)/2))/(LN(2)/2)*DB125*DE125*VLOOKUP('Données projet'!$B$13,Paramètres!$A$1:$I$89,3,0)*0.475*44/12</f>
        <v>8.1589969399516531E-14</v>
      </c>
      <c r="DI125" s="22">
        <f t="shared" si="69"/>
        <v>4.1776462912703227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2.8421709430404007E-14</v>
      </c>
      <c r="DP125" s="17">
        <f>DO125*VLOOKUP('Données projet'!$B$14,Paramètres!$A$1:$I$89,3,0)*VLOOKUP('Données projet'!$B$14,Paramètres!$A$1:$I$89,5,0)</f>
        <v>2.4829205358400945E-14</v>
      </c>
      <c r="DQ125" s="13">
        <f t="shared" si="97"/>
        <v>4.3867331143352915E-13</v>
      </c>
      <c r="DR125" s="20">
        <f t="shared" si="70"/>
        <v>8.0726688341261168E-13</v>
      </c>
      <c r="DS125" s="59">
        <f t="shared" si="71"/>
        <v>286.72148998810729</v>
      </c>
      <c r="DT125" s="59">
        <f ca="1">AVERAGE(OFFSET($DS$3,0,0,'Données projet'!$E$14+1,1))-AVERAGE(OFFSET($H$3,0,0,'Données projet'!$E$14+1,1))</f>
        <v>325.5873213944476</v>
      </c>
      <c r="DU125" s="59">
        <f t="shared" si="98"/>
        <v>347.9042278368363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0.47349020198061942</v>
      </c>
      <c r="EB125" s="21">
        <f>EXP(-LN(2)/25)*EB124+(1-EXP(-LN(2)/25))/(LN(2)/25)*Calculateur!DW125*Calculateur!DY125*VLOOKUP('Données projet'!$B$14,Paramètres!$A$1:$I$89,3,0)*0.475*44/12</f>
        <v>0.68840356070494679</v>
      </c>
      <c r="EC125" s="21">
        <f>EXP(-LN(2)/2)*EC124+(1-EXP(-LN(2)/2))/(LN(2)/2)*DW125*DZ125*VLOOKUP('Données projet'!$B$14,Paramètres!$A$1:$I$89,3,0)*0.475*44/12</f>
        <v>1.698171649357997E-13</v>
      </c>
      <c r="ED125" s="22">
        <f t="shared" si="72"/>
        <v>1.1618937626857362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205.5480000480477</v>
      </c>
      <c r="EP125" s="59">
        <f t="shared" si="100"/>
        <v>229.86812144828366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1.1893875845948489</v>
      </c>
      <c r="EW125" s="21">
        <f>EXP(-LN(2)/25)*EW124+(1-EXP(-LN(2)/25))/(LN(2)/25)*Calculateur!ER125*Calculateur!ET125*VLOOKUP('Données projet'!$B$15,Paramètres!$A$1:$I$89,3,0)*0.475*44/12</f>
        <v>0.46988236447313619</v>
      </c>
      <c r="EX125" s="21">
        <f>EXP(-LN(2)/2)*EX124+(1-EXP(-LN(2)/2))/(LN(2)/2)*ER125*EU125*VLOOKUP('Données projet'!$B$15,Paramètres!$A$1:$I$89,3,0)*0.475*44/12</f>
        <v>4.2035296561829423E-14</v>
      </c>
      <c r="EY125" s="22">
        <f t="shared" si="75"/>
        <v>1.6592699490680272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3.05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21.490560000000041</v>
      </c>
      <c r="D126" s="11">
        <f t="shared" si="86"/>
        <v>6.9298871322835716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77.808157126763746</v>
      </c>
      <c r="H126" s="67">
        <f t="shared" si="56"/>
        <v>261.43227875539395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-1.9065282685915009E-13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542.23071537860039</v>
      </c>
      <c r="T126" s="59">
        <f t="shared" si="88"/>
        <v>667.26143680054633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1.1638463694171228</v>
      </c>
      <c r="AA126" s="21">
        <f>EXP(-LN(2)/25)*AA125+(1-EXP(-LN(2)/25))/(LN(2)/25)*Calculateur!V126*Calculateur!X126*VLOOKUP('Données projet'!$B$9,Paramètres!$A$1:$I$89,3,0)*0.475*44/12</f>
        <v>3.2337214930665232</v>
      </c>
      <c r="AB126" s="21">
        <f>EXP(-LN(2)/2)*AB125+(1-EXP(-LN(2)/2))/(LN(2)/2)*V126*Y126*VLOOKUP('Données projet'!$B$9,Paramètres!$A$1:$I$89,3,0)*0.475*44/12</f>
        <v>1.4488017123862879E-13</v>
      </c>
      <c r="AC126" s="22">
        <f t="shared" si="57"/>
        <v>4.3975678624837906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-1.2710188457276673E-13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427.83834708696861</v>
      </c>
      <c r="AO126" s="59">
        <f t="shared" si="90"/>
        <v>545.63950537101903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0.69830782165027461</v>
      </c>
      <c r="AV126" s="21">
        <f>EXP(-LN(2)/25)*AV125+(1-EXP(-LN(2)/25))/(LN(2)/25)*Calculateur!AQ126*Calculateur!AS126*VLOOKUP('Données projet'!$B$10,Paramètres!$A$1:$I$89,3,0)*0.475*44/12</f>
        <v>1.8684108225427747</v>
      </c>
      <c r="AW126" s="21">
        <f>EXP(-LN(2)/2)*AW125+(1-EXP(-LN(2)/2))/(LN(2)/2)*AQ126*AT126*VLOOKUP('Données projet'!$B$10,Paramètres!$A$1:$I$89,3,0)*0.475*44/12</f>
        <v>9.2971897618839999E-14</v>
      </c>
      <c r="AX126" s="21">
        <f t="shared" si="60"/>
        <v>2.5667186441931422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-2.6602720026858149E-14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210.62109466714364</v>
      </c>
      <c r="BJ126" s="59">
        <f t="shared" si="92"/>
        <v>193.35729443770401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1.0348450043219559</v>
      </c>
      <c r="BQ126" s="21">
        <f>EXP(-LN(2)/25)*BQ125+(1-EXP(-LN(2)/25))/(LN(2)/25)*Calculateur!BL126*Calculateur!BN126*VLOOKUP('Données projet'!$B$11,Paramètres!$A$1:$I$89,3,0)*0.475*44/12</f>
        <v>0.60802938673024243</v>
      </c>
      <c r="BR126" s="21">
        <f>EXP(-LN(2)/2)*BR125+(1-EXP(-LN(2)/2))/(LN(2)/2)*BL126*BO126*VLOOKUP('Données projet'!$B$11,Paramètres!$A$1:$I$89,3,0)*0.475*44/12</f>
        <v>7.954446003769628E-14</v>
      </c>
      <c r="BS126" s="22">
        <f t="shared" si="63"/>
        <v>1.6428743910522778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368.16165268258442</v>
      </c>
      <c r="CE126" s="59">
        <f t="shared" si="94"/>
        <v>291.32219253157041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1.1856407686592427</v>
      </c>
      <c r="CL126" s="21">
        <f>EXP(-LN(2)/25)*CL125+(1-EXP(-LN(2)/25))/(LN(2)/25)*Calculateur!CG126*Calculateur!CI126*VLOOKUP('Données projet'!$B$12,Paramètres!$A$1:$I$89,3,0)*0.475*44/12</f>
        <v>0.50413589198139941</v>
      </c>
      <c r="CM126" s="21">
        <f>EXP(-LN(2)/2)*CM125+(1-EXP(-LN(2)/2))/(LN(2)/2)*CG126*CJ126*VLOOKUP('Données projet'!$B$12,Paramètres!$A$1:$I$89,3,0)*0.475*44/12</f>
        <v>7.961331928748173E-14</v>
      </c>
      <c r="CN126" s="22">
        <f t="shared" si="66"/>
        <v>1.6897766606407219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1.1368683772161603E-13</v>
      </c>
      <c r="CU126" s="17">
        <f>CT126*VLOOKUP('Données projet'!$B$13,Paramètres!$A$1:$I$89,3,0)*VLOOKUP('Données projet'!$B$13,Paramètres!$A$1:$I$89,5,0)</f>
        <v>6.7984728957526396E-14</v>
      </c>
      <c r="CV126" s="13">
        <f t="shared" si="95"/>
        <v>1.0682447123141398E-12</v>
      </c>
      <c r="CW126" s="20">
        <f t="shared" si="67"/>
        <v>1.978932943548152E-12</v>
      </c>
      <c r="CX126" s="59">
        <f t="shared" si="68"/>
        <v>286.83619068828091</v>
      </c>
      <c r="CY126" s="59">
        <f ca="1">AVERAGE(OFFSET($CX$3,0,0,'Données projet'!$E$13+1,1))-AVERAGE(OFFSET($H$3,0,0,'Données projet'!$E$13+1,1))</f>
        <v>317.12995176362455</v>
      </c>
      <c r="CZ126" s="59">
        <f t="shared" si="96"/>
        <v>328.11301015275262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2.8622345053965335</v>
      </c>
      <c r="DG126" s="21">
        <f>EXP(-LN(2)/25)*DG125+(1-EXP(-LN(2)/25))/(LN(2)/25)*Calculateur!DB126*Calculateur!DD126*VLOOKUP('Données projet'!$B$13,Paramètres!$A$1:$I$89,3,0)*0.475*44/12</f>
        <v>1.2237579697931422</v>
      </c>
      <c r="DH126" s="21">
        <f>EXP(-LN(2)/2)*DH125+(1-EXP(-LN(2)/2))/(LN(2)/2)*DB126*DE126*VLOOKUP('Données projet'!$B$13,Paramètres!$A$1:$I$89,3,0)*0.475*44/12</f>
        <v>5.7692820639201043E-14</v>
      </c>
      <c r="DI126" s="22">
        <f t="shared" si="69"/>
        <v>4.085992475189733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2.8421709430404007E-14</v>
      </c>
      <c r="DP126" s="17">
        <f>DO126*VLOOKUP('Données projet'!$B$14,Paramètres!$A$1:$I$89,3,0)*VLOOKUP('Données projet'!$B$14,Paramètres!$A$1:$I$89,5,0)</f>
        <v>2.4829205358400945E-14</v>
      </c>
      <c r="DQ126" s="13">
        <f t="shared" si="97"/>
        <v>4.3867331143352915E-13</v>
      </c>
      <c r="DR126" s="20">
        <f t="shared" si="70"/>
        <v>8.0726688341261168E-13</v>
      </c>
      <c r="DS126" s="59">
        <f t="shared" si="71"/>
        <v>286.83619068827971</v>
      </c>
      <c r="DT126" s="59">
        <f ca="1">AVERAGE(OFFSET($DS$3,0,0,'Données projet'!$E$14+1,1))-AVERAGE(OFFSET($H$3,0,0,'Données projet'!$E$14+1,1))</f>
        <v>325.5873213944476</v>
      </c>
      <c r="DU126" s="59">
        <f t="shared" si="98"/>
        <v>347.9042278368363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0.464205347920286</v>
      </c>
      <c r="EB126" s="21">
        <f>EXP(-LN(2)/25)*EB125+(1-EXP(-LN(2)/25))/(LN(2)/25)*Calculateur!DW126*Calculateur!DY126*VLOOKUP('Données projet'!$B$14,Paramètres!$A$1:$I$89,3,0)*0.475*44/12</f>
        <v>0.66957912913590012</v>
      </c>
      <c r="EC126" s="21">
        <f>EXP(-LN(2)/2)*EC125+(1-EXP(-LN(2)/2))/(LN(2)/2)*DW126*DZ126*VLOOKUP('Données projet'!$B$14,Paramètres!$A$1:$I$89,3,0)*0.475*44/12</f>
        <v>1.2007886888797837E-13</v>
      </c>
      <c r="ED126" s="22">
        <f t="shared" si="72"/>
        <v>1.1337844770563061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205.5480000480477</v>
      </c>
      <c r="EP126" s="59">
        <f t="shared" si="100"/>
        <v>229.86812144828366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1.1660644195157379</v>
      </c>
      <c r="EW126" s="21">
        <f>EXP(-LN(2)/25)*EW125+(1-EXP(-LN(2)/25))/(LN(2)/25)*Calculateur!ER126*Calculateur!ET126*VLOOKUP('Données projet'!$B$15,Paramètres!$A$1:$I$89,3,0)*0.475*44/12</f>
        <v>0.45703340650657864</v>
      </c>
      <c r="EX126" s="21">
        <f>EXP(-LN(2)/2)*EX125+(1-EXP(-LN(2)/2))/(LN(2)/2)*ER126*EU126*VLOOKUP('Données projet'!$B$15,Paramètres!$A$1:$I$89,3,0)*0.475*44/12</f>
        <v>2.9723443248057151E-14</v>
      </c>
      <c r="EY126" s="22">
        <f t="shared" si="75"/>
        <v>1.6230978260223463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3.05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21.665280000000042</v>
      </c>
      <c r="D127" s="11">
        <f t="shared" si="86"/>
        <v>6.9796461538814354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78.362659692394942</v>
      </c>
      <c r="H127" s="67">
        <f t="shared" si="56"/>
        <v>261.82324638467685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-1.9065282685915009E-13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542.23071537860039</v>
      </c>
      <c r="T127" s="59">
        <f t="shared" si="88"/>
        <v>667.26143680054633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1.141024051989044</v>
      </c>
      <c r="AA127" s="21">
        <f>EXP(-LN(2)/25)*AA126+(1-EXP(-LN(2)/25))/(LN(2)/25)*Calculateur!V127*Calculateur!X127*VLOOKUP('Données projet'!$B$9,Paramètres!$A$1:$I$89,3,0)*0.475*44/12</f>
        <v>3.1452952087845967</v>
      </c>
      <c r="AB127" s="21">
        <f>EXP(-LN(2)/2)*AB126+(1-EXP(-LN(2)/2))/(LN(2)/2)*V127*Y127*VLOOKUP('Données projet'!$B$9,Paramètres!$A$1:$I$89,3,0)*0.475*44/12</f>
        <v>1.0244575154230263E-13</v>
      </c>
      <c r="AC127" s="22">
        <f t="shared" si="57"/>
        <v>4.2863192607737428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-1.2710188457276673E-13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427.83834708696861</v>
      </c>
      <c r="AO127" s="59">
        <f t="shared" si="90"/>
        <v>545.63950537101903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0.68461443119342724</v>
      </c>
      <c r="AV127" s="21">
        <f>EXP(-LN(2)/25)*AV126+(1-EXP(-LN(2)/25))/(LN(2)/25)*Calculateur!AQ127*Calculateur!AS127*VLOOKUP('Données projet'!$B$10,Paramètres!$A$1:$I$89,3,0)*0.475*44/12</f>
        <v>1.8173190303448876</v>
      </c>
      <c r="AW127" s="21">
        <f>EXP(-LN(2)/2)*AW126+(1-EXP(-LN(2)/2))/(LN(2)/2)*AQ127*AT127*VLOOKUP('Données projet'!$B$10,Paramètres!$A$1:$I$89,3,0)*0.475*44/12</f>
        <v>6.5741059266063192E-14</v>
      </c>
      <c r="AX127" s="21">
        <f t="shared" si="60"/>
        <v>2.5019334615383806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-2.6602720026858149E-14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210.62109466714364</v>
      </c>
      <c r="BJ127" s="59">
        <f t="shared" si="92"/>
        <v>193.35729443770401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1.0145523249803299</v>
      </c>
      <c r="BQ127" s="21">
        <f>EXP(-LN(2)/25)*BQ126+(1-EXP(-LN(2)/25))/(LN(2)/25)*Calculateur!BL127*Calculateur!BN127*VLOOKUP('Données projet'!$B$11,Paramètres!$A$1:$I$89,3,0)*0.475*44/12</f>
        <v>0.5914027911752282</v>
      </c>
      <c r="BR127" s="21">
        <f>EXP(-LN(2)/2)*BR126+(1-EXP(-LN(2)/2))/(LN(2)/2)*BL127*BO127*VLOOKUP('Données projet'!$B$11,Paramètres!$A$1:$I$89,3,0)*0.475*44/12</f>
        <v>5.6246427098477381E-14</v>
      </c>
      <c r="BS127" s="22">
        <f t="shared" si="63"/>
        <v>1.6059551161556143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368.16165268258442</v>
      </c>
      <c r="CE127" s="59">
        <f t="shared" si="94"/>
        <v>291.32219253157041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1.1623910763552967</v>
      </c>
      <c r="CL127" s="21">
        <f>EXP(-LN(2)/25)*CL126+(1-EXP(-LN(2)/25))/(LN(2)/25)*Calculateur!CG127*Calculateur!CI127*VLOOKUP('Données projet'!$B$12,Paramètres!$A$1:$I$89,3,0)*0.475*44/12</f>
        <v>0.49035026950381372</v>
      </c>
      <c r="CM127" s="21">
        <f>EXP(-LN(2)/2)*CM126+(1-EXP(-LN(2)/2))/(LN(2)/2)*CG127*CJ127*VLOOKUP('Données projet'!$B$12,Paramètres!$A$1:$I$89,3,0)*0.475*44/12</f>
        <v>5.6295117940948093E-14</v>
      </c>
      <c r="CN127" s="22">
        <f t="shared" si="66"/>
        <v>1.6527413458591669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1.1368683772161603E-13</v>
      </c>
      <c r="CU127" s="17">
        <f>CT127*VLOOKUP('Données projet'!$B$13,Paramètres!$A$1:$I$89,3,0)*VLOOKUP('Données projet'!$B$13,Paramètres!$A$1:$I$89,5,0)</f>
        <v>6.7984728957526396E-14</v>
      </c>
      <c r="CV127" s="13">
        <f t="shared" si="95"/>
        <v>1.0682447123141398E-12</v>
      </c>
      <c r="CW127" s="20">
        <f t="shared" si="67"/>
        <v>1.978932943548152E-12</v>
      </c>
      <c r="CX127" s="59">
        <f t="shared" si="68"/>
        <v>286.94890158773774</v>
      </c>
      <c r="CY127" s="59">
        <f ca="1">AVERAGE(OFFSET($CX$3,0,0,'Données projet'!$E$13+1,1))-AVERAGE(OFFSET($H$3,0,0,'Données projet'!$E$13+1,1))</f>
        <v>317.12995176362455</v>
      </c>
      <c r="CZ127" s="59">
        <f t="shared" si="96"/>
        <v>328.11301015275262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2.8061078325363731</v>
      </c>
      <c r="DG127" s="21">
        <f>EXP(-LN(2)/25)*DG126+(1-EXP(-LN(2)/25))/(LN(2)/25)*Calculateur!DB127*Calculateur!DD127*VLOOKUP('Données projet'!$B$13,Paramètres!$A$1:$I$89,3,0)*0.475*44/12</f>
        <v>1.1902942437545141</v>
      </c>
      <c r="DH127" s="21">
        <f>EXP(-LN(2)/2)*DH126+(1-EXP(-LN(2)/2))/(LN(2)/2)*DB127*DE127*VLOOKUP('Données projet'!$B$13,Paramètres!$A$1:$I$89,3,0)*0.475*44/12</f>
        <v>4.0794984699758265E-14</v>
      </c>
      <c r="DI127" s="22">
        <f t="shared" si="69"/>
        <v>3.996402076290928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2.8421709430404007E-14</v>
      </c>
      <c r="DP127" s="17">
        <f>DO127*VLOOKUP('Données projet'!$B$14,Paramètres!$A$1:$I$89,3,0)*VLOOKUP('Données projet'!$B$14,Paramètres!$A$1:$I$89,5,0)</f>
        <v>2.4829205358400945E-14</v>
      </c>
      <c r="DQ127" s="13">
        <f t="shared" si="97"/>
        <v>4.3867331143352915E-13</v>
      </c>
      <c r="DR127" s="20">
        <f t="shared" si="70"/>
        <v>8.0726688341261168E-13</v>
      </c>
      <c r="DS127" s="59">
        <f t="shared" si="71"/>
        <v>286.94890158773654</v>
      </c>
      <c r="DT127" s="59">
        <f ca="1">AVERAGE(OFFSET($DS$3,0,0,'Données projet'!$E$14+1,1))-AVERAGE(OFFSET($H$3,0,0,'Données projet'!$E$14+1,1))</f>
        <v>325.5873213944476</v>
      </c>
      <c r="DU127" s="59">
        <f t="shared" si="98"/>
        <v>347.9042278368363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0.45510256418487394</v>
      </c>
      <c r="EB127" s="21">
        <f>EXP(-LN(2)/25)*EB126+(1-EXP(-LN(2)/25))/(LN(2)/25)*Calculateur!DW127*Calculateur!DY127*VLOOKUP('Données projet'!$B$14,Paramètres!$A$1:$I$89,3,0)*0.475*44/12</f>
        <v>0.65126945263804292</v>
      </c>
      <c r="EC127" s="21">
        <f>EXP(-LN(2)/2)*EC126+(1-EXP(-LN(2)/2))/(LN(2)/2)*DW127*DZ127*VLOOKUP('Données projet'!$B$14,Paramètres!$A$1:$I$89,3,0)*0.475*44/12</f>
        <v>8.490858246789985E-14</v>
      </c>
      <c r="ED127" s="22">
        <f t="shared" si="72"/>
        <v>1.1063720168230016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205.5480000480477</v>
      </c>
      <c r="EP127" s="59">
        <f t="shared" si="100"/>
        <v>229.86812144828366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1.1431986074781022</v>
      </c>
      <c r="EW127" s="21">
        <f>EXP(-LN(2)/25)*EW126+(1-EXP(-LN(2)/25))/(LN(2)/25)*Calculateur!ER127*Calculateur!ET127*VLOOKUP('Données projet'!$B$15,Paramètres!$A$1:$I$89,3,0)*0.475*44/12</f>
        <v>0.44453580397131398</v>
      </c>
      <c r="EX127" s="21">
        <f>EXP(-LN(2)/2)*EX126+(1-EXP(-LN(2)/2))/(LN(2)/2)*ER127*EU127*VLOOKUP('Données projet'!$B$15,Paramètres!$A$1:$I$89,3,0)*0.475*44/12</f>
        <v>2.1017648280914712E-14</v>
      </c>
      <c r="EY127" s="22">
        <f t="shared" si="75"/>
        <v>1.5877344114494372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3.05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21.840000000000042</v>
      </c>
      <c r="D128" s="11">
        <f t="shared" si="86"/>
        <v>7.0293584875852737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78.917046930737058</v>
      </c>
      <c r="H128" s="67">
        <f t="shared" si="56"/>
        <v>262.21413269921106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-1.9065282685915009E-13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542.23071537860039</v>
      </c>
      <c r="T128" s="59">
        <f t="shared" si="88"/>
        <v>667.26143680054633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1.1186492662854906</v>
      </c>
      <c r="AA128" s="21">
        <f>EXP(-LN(2)/25)*AA127+(1-EXP(-LN(2)/25))/(LN(2)/25)*Calculateur!V128*Calculateur!X128*VLOOKUP('Données projet'!$B$9,Paramètres!$A$1:$I$89,3,0)*0.475*44/12</f>
        <v>3.0592869458964955</v>
      </c>
      <c r="AB128" s="21">
        <f>EXP(-LN(2)/2)*AB127+(1-EXP(-LN(2)/2))/(LN(2)/2)*V128*Y128*VLOOKUP('Données projet'!$B$9,Paramètres!$A$1:$I$89,3,0)*0.475*44/12</f>
        <v>7.2440085619314397E-14</v>
      </c>
      <c r="AC128" s="22">
        <f t="shared" si="57"/>
        <v>4.1779362121820594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-1.2710188457276673E-13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427.83834708696861</v>
      </c>
      <c r="AO128" s="59">
        <f t="shared" si="90"/>
        <v>545.63950537101903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0.67118955977129524</v>
      </c>
      <c r="AV128" s="21">
        <f>EXP(-LN(2)/25)*AV127+(1-EXP(-LN(2)/25))/(LN(2)/25)*Calculateur!AQ128*Calculateur!AS128*VLOOKUP('Données projet'!$B$10,Paramètres!$A$1:$I$89,3,0)*0.475*44/12</f>
        <v>1.7676243458914525</v>
      </c>
      <c r="AW128" s="21">
        <f>EXP(-LN(2)/2)*AW127+(1-EXP(-LN(2)/2))/(LN(2)/2)*AQ128*AT128*VLOOKUP('Données projet'!$B$10,Paramètres!$A$1:$I$89,3,0)*0.475*44/12</f>
        <v>4.6485948809419999E-14</v>
      </c>
      <c r="AX128" s="21">
        <f t="shared" si="60"/>
        <v>2.4388139056627942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-2.6602720026858149E-14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210.62109466714364</v>
      </c>
      <c r="BJ128" s="59">
        <f t="shared" si="92"/>
        <v>193.35729443770401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0.99465757270328081</v>
      </c>
      <c r="BQ128" s="21">
        <f>EXP(-LN(2)/25)*BQ127+(1-EXP(-LN(2)/25))/(LN(2)/25)*Calculateur!BL128*Calculateur!BN128*VLOOKUP('Données projet'!$B$11,Paramètres!$A$1:$I$89,3,0)*0.475*44/12</f>
        <v>0.57523085075002045</v>
      </c>
      <c r="BR128" s="21">
        <f>EXP(-LN(2)/2)*BR127+(1-EXP(-LN(2)/2))/(LN(2)/2)*BL128*BO128*VLOOKUP('Données projet'!$B$11,Paramètres!$A$1:$I$89,3,0)*0.475*44/12</f>
        <v>3.9772230018848146E-14</v>
      </c>
      <c r="BS128" s="22">
        <f t="shared" si="63"/>
        <v>1.569888423453341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368.16165268258442</v>
      </c>
      <c r="CE128" s="59">
        <f t="shared" si="94"/>
        <v>291.32219253157041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1.1395972963365191</v>
      </c>
      <c r="CL128" s="21">
        <f>EXP(-LN(2)/25)*CL127+(1-EXP(-LN(2)/25))/(LN(2)/25)*Calculateur!CG128*Calculateur!CI128*VLOOKUP('Données projet'!$B$12,Paramètres!$A$1:$I$89,3,0)*0.475*44/12</f>
        <v>0.47694161559783199</v>
      </c>
      <c r="CM128" s="21">
        <f>EXP(-LN(2)/2)*CM127+(1-EXP(-LN(2)/2))/(LN(2)/2)*CG128*CJ128*VLOOKUP('Données projet'!$B$12,Paramètres!$A$1:$I$89,3,0)*0.475*44/12</f>
        <v>3.9806659643740871E-14</v>
      </c>
      <c r="CN128" s="22">
        <f t="shared" si="66"/>
        <v>1.6165389119343907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1.1368683772161603E-13</v>
      </c>
      <c r="CU128" s="17">
        <f>CT128*VLOOKUP('Données projet'!$B$13,Paramètres!$A$1:$I$89,3,0)*VLOOKUP('Données projet'!$B$13,Paramètres!$A$1:$I$89,5,0)</f>
        <v>6.7984728957526396E-14</v>
      </c>
      <c r="CV128" s="13">
        <f t="shared" si="95"/>
        <v>1.0682447123141398E-12</v>
      </c>
      <c r="CW128" s="20">
        <f t="shared" si="67"/>
        <v>1.978932943548152E-12</v>
      </c>
      <c r="CX128" s="59">
        <f t="shared" si="68"/>
        <v>287.05965720507277</v>
      </c>
      <c r="CY128" s="59">
        <f ca="1">AVERAGE(OFFSET($CX$3,0,0,'Données projet'!$E$13+1,1))-AVERAGE(OFFSET($H$3,0,0,'Données projet'!$E$13+1,1))</f>
        <v>317.12995176362455</v>
      </c>
      <c r="CZ128" s="59">
        <f t="shared" si="96"/>
        <v>328.11301015275262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2.7510817694971106</v>
      </c>
      <c r="DG128" s="21">
        <f>EXP(-LN(2)/25)*DG127+(1-EXP(-LN(2)/25))/(LN(2)/25)*Calculateur!DB128*Calculateur!DD128*VLOOKUP('Données projet'!$B$13,Paramètres!$A$1:$I$89,3,0)*0.475*44/12</f>
        <v>1.1577455850641931</v>
      </c>
      <c r="DH128" s="21">
        <f>EXP(-LN(2)/2)*DH127+(1-EXP(-LN(2)/2))/(LN(2)/2)*DB128*DE128*VLOOKUP('Données projet'!$B$13,Paramètres!$A$1:$I$89,3,0)*0.475*44/12</f>
        <v>2.8846410319600522E-14</v>
      </c>
      <c r="DI128" s="22">
        <f t="shared" si="69"/>
        <v>3.9088273545613323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2.8421709430404007E-14</v>
      </c>
      <c r="DP128" s="17">
        <f>DO128*VLOOKUP('Données projet'!$B$14,Paramètres!$A$1:$I$89,3,0)*VLOOKUP('Données projet'!$B$14,Paramètres!$A$1:$I$89,5,0)</f>
        <v>2.4829205358400945E-14</v>
      </c>
      <c r="DQ128" s="13">
        <f t="shared" si="97"/>
        <v>4.3867331143352915E-13</v>
      </c>
      <c r="DR128" s="20">
        <f t="shared" si="70"/>
        <v>8.0726688341261168E-13</v>
      </c>
      <c r="DS128" s="59">
        <f t="shared" si="71"/>
        <v>287.05965720507157</v>
      </c>
      <c r="DT128" s="59">
        <f ca="1">AVERAGE(OFFSET($DS$3,0,0,'Données projet'!$E$14+1,1))-AVERAGE(OFFSET($H$3,0,0,'Données projet'!$E$14+1,1))</f>
        <v>325.5873213944476</v>
      </c>
      <c r="DU128" s="59">
        <f t="shared" si="98"/>
        <v>347.9042278368363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0.44617828048636343</v>
      </c>
      <c r="EB128" s="21">
        <f>EXP(-LN(2)/25)*EB127+(1-EXP(-LN(2)/25))/(LN(2)/25)*Calculateur!DW128*Calculateur!DY128*VLOOKUP('Données projet'!$B$14,Paramètres!$A$1:$I$89,3,0)*0.475*44/12</f>
        <v>0.63346045520688365</v>
      </c>
      <c r="EC128" s="21">
        <f>EXP(-LN(2)/2)*EC127+(1-EXP(-LN(2)/2))/(LN(2)/2)*DW128*DZ128*VLOOKUP('Données projet'!$B$14,Paramètres!$A$1:$I$89,3,0)*0.475*44/12</f>
        <v>6.0039434443989184E-14</v>
      </c>
      <c r="ED128" s="22">
        <f t="shared" si="72"/>
        <v>1.079638735693307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205.5480000480477</v>
      </c>
      <c r="EP128" s="59">
        <f t="shared" si="100"/>
        <v>229.86812144828366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1.1207811800677563</v>
      </c>
      <c r="EW128" s="21">
        <f>EXP(-LN(2)/25)*EW127+(1-EXP(-LN(2)/25))/(LN(2)/25)*Calculateur!ER128*Calculateur!ET128*VLOOKUP('Données projet'!$B$15,Paramètres!$A$1:$I$89,3,0)*0.475*44/12</f>
        <v>0.43237994903459648</v>
      </c>
      <c r="EX128" s="21">
        <f>EXP(-LN(2)/2)*EX127+(1-EXP(-LN(2)/2))/(LN(2)/2)*ER128*EU128*VLOOKUP('Données projet'!$B$15,Paramètres!$A$1:$I$89,3,0)*0.475*44/12</f>
        <v>1.4861721624028576E-14</v>
      </c>
      <c r="EY128" s="22">
        <f t="shared" si="75"/>
        <v>1.5531611291023677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3.05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22.014720000000043</v>
      </c>
      <c r="D129" s="11">
        <f t="shared" si="86"/>
        <v>7.0790245501888442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79.471319871343781</v>
      </c>
      <c r="H129" s="67">
        <f t="shared" si="56"/>
        <v>262.60493842491229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-1.9065282685915009E-13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542.23071537860039</v>
      </c>
      <c r="T129" s="59">
        <f t="shared" si="88"/>
        <v>667.26143680054633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1.0967132364823122</v>
      </c>
      <c r="AA129" s="21">
        <f>EXP(-LN(2)/25)*AA128+(1-EXP(-LN(2)/25))/(LN(2)/25)*Calculateur!V129*Calculateur!X129*VLOOKUP('Données projet'!$B$9,Paramètres!$A$1:$I$89,3,0)*0.475*44/12</f>
        <v>2.9756305834800476</v>
      </c>
      <c r="AB129" s="21">
        <f>EXP(-LN(2)/2)*AB128+(1-EXP(-LN(2)/2))/(LN(2)/2)*V129*Y129*VLOOKUP('Données projet'!$B$9,Paramètres!$A$1:$I$89,3,0)*0.475*44/12</f>
        <v>5.1222875771151314E-14</v>
      </c>
      <c r="AC129" s="22">
        <f t="shared" si="57"/>
        <v>4.0723438199624109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-1.2710188457276673E-13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427.83834708696861</v>
      </c>
      <c r="AO129" s="59">
        <f t="shared" si="90"/>
        <v>545.63950537101903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0.65802794188938818</v>
      </c>
      <c r="AV129" s="21">
        <f>EXP(-LN(2)/25)*AV128+(1-EXP(-LN(2)/25))/(LN(2)/25)*Calculateur!AQ129*Calculateur!AS129*VLOOKUP('Données projet'!$B$10,Paramètres!$A$1:$I$89,3,0)*0.475*44/12</f>
        <v>1.7192885651977263</v>
      </c>
      <c r="AW129" s="21">
        <f>EXP(-LN(2)/2)*AW128+(1-EXP(-LN(2)/2))/(LN(2)/2)*AQ129*AT129*VLOOKUP('Données projet'!$B$10,Paramètres!$A$1:$I$89,3,0)*0.475*44/12</f>
        <v>3.2870529633031596E-14</v>
      </c>
      <c r="AX129" s="21">
        <f t="shared" si="60"/>
        <v>2.3773165070871474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-2.6602720026858149E-14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210.62109466714364</v>
      </c>
      <c r="BJ129" s="59">
        <f t="shared" si="92"/>
        <v>193.35729443770401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0.97515294438378408</v>
      </c>
      <c r="BQ129" s="21">
        <f>EXP(-LN(2)/25)*BQ128+(1-EXP(-LN(2)/25))/(LN(2)/25)*Calculateur!BL129*Calculateur!BN129*VLOOKUP('Données projet'!$B$11,Paramètres!$A$1:$I$89,3,0)*0.475*44/12</f>
        <v>0.55950113288618541</v>
      </c>
      <c r="BR129" s="21">
        <f>EXP(-LN(2)/2)*BR128+(1-EXP(-LN(2)/2))/(LN(2)/2)*BL129*BO129*VLOOKUP('Données projet'!$B$11,Paramètres!$A$1:$I$89,3,0)*0.475*44/12</f>
        <v>2.8123213549238694E-14</v>
      </c>
      <c r="BS129" s="22">
        <f t="shared" si="63"/>
        <v>1.5346540772699977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368.16165268258442</v>
      </c>
      <c r="CE129" s="59">
        <f t="shared" si="94"/>
        <v>291.32219253157041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1.1172504884410768</v>
      </c>
      <c r="CL129" s="21">
        <f>EXP(-LN(2)/25)*CL128+(1-EXP(-LN(2)/25))/(LN(2)/25)*Calculateur!CG129*Calculateur!CI129*VLOOKUP('Données projet'!$B$12,Paramètres!$A$1:$I$89,3,0)*0.475*44/12</f>
        <v>0.46389962203803975</v>
      </c>
      <c r="CM129" s="21">
        <f>EXP(-LN(2)/2)*CM128+(1-EXP(-LN(2)/2))/(LN(2)/2)*CG129*CJ129*VLOOKUP('Données projet'!$B$12,Paramètres!$A$1:$I$89,3,0)*0.475*44/12</f>
        <v>2.814755897047405E-14</v>
      </c>
      <c r="CN129" s="22">
        <f t="shared" si="66"/>
        <v>1.5811501104791448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1.1368683772161603E-13</v>
      </c>
      <c r="CU129" s="17">
        <f>CT129*VLOOKUP('Données projet'!$B$13,Paramètres!$A$1:$I$89,3,0)*VLOOKUP('Données projet'!$B$13,Paramètres!$A$1:$I$89,5,0)</f>
        <v>6.7984728957526396E-14</v>
      </c>
      <c r="CV129" s="13">
        <f t="shared" si="95"/>
        <v>1.0682447123141398E-12</v>
      </c>
      <c r="CW129" s="20">
        <f t="shared" si="67"/>
        <v>1.978932943548152E-12</v>
      </c>
      <c r="CX129" s="59">
        <f t="shared" si="68"/>
        <v>287.1684914600595</v>
      </c>
      <c r="CY129" s="59">
        <f ca="1">AVERAGE(OFFSET($CX$3,0,0,'Données projet'!$E$13+1,1))-AVERAGE(OFFSET($H$3,0,0,'Données projet'!$E$13+1,1))</f>
        <v>317.12995176362455</v>
      </c>
      <c r="CZ129" s="59">
        <f t="shared" si="96"/>
        <v>328.11301015275262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2.6971347339914633</v>
      </c>
      <c r="DG129" s="21">
        <f>EXP(-LN(2)/25)*DG128+(1-EXP(-LN(2)/25))/(LN(2)/25)*Calculateur!DB129*Calculateur!DD129*VLOOKUP('Données projet'!$B$13,Paramètres!$A$1:$I$89,3,0)*0.475*44/12</f>
        <v>1.1260869711574184</v>
      </c>
      <c r="DH129" s="21">
        <f>EXP(-LN(2)/2)*DH128+(1-EXP(-LN(2)/2))/(LN(2)/2)*DB129*DE129*VLOOKUP('Données projet'!$B$13,Paramètres!$A$1:$I$89,3,0)*0.475*44/12</f>
        <v>2.0397492349879133E-14</v>
      </c>
      <c r="DI129" s="22">
        <f t="shared" si="69"/>
        <v>3.8232217051489021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2.8421709430404007E-14</v>
      </c>
      <c r="DP129" s="17">
        <f>DO129*VLOOKUP('Données projet'!$B$14,Paramètres!$A$1:$I$89,3,0)*VLOOKUP('Données projet'!$B$14,Paramètres!$A$1:$I$89,5,0)</f>
        <v>2.4829205358400945E-14</v>
      </c>
      <c r="DQ129" s="13">
        <f t="shared" si="97"/>
        <v>4.3867331143352915E-13</v>
      </c>
      <c r="DR129" s="20">
        <f t="shared" si="70"/>
        <v>8.0726688341261168E-13</v>
      </c>
      <c r="DS129" s="59">
        <f t="shared" si="71"/>
        <v>287.16849146005831</v>
      </c>
      <c r="DT129" s="59">
        <f ca="1">AVERAGE(OFFSET($DS$3,0,0,'Données projet'!$E$14+1,1))-AVERAGE(OFFSET($H$3,0,0,'Données projet'!$E$14+1,1))</f>
        <v>325.5873213944476</v>
      </c>
      <c r="DU129" s="59">
        <f t="shared" si="98"/>
        <v>347.9042278368363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0.43742899654790518</v>
      </c>
      <c r="EB129" s="21">
        <f>EXP(-LN(2)/25)*EB128+(1-EXP(-LN(2)/25))/(LN(2)/25)*Calculateur!DW129*Calculateur!DY129*VLOOKUP('Données projet'!$B$14,Paramètres!$A$1:$I$89,3,0)*0.475*44/12</f>
        <v>0.61613844574701393</v>
      </c>
      <c r="EC129" s="21">
        <f>EXP(-LN(2)/2)*EC128+(1-EXP(-LN(2)/2))/(LN(2)/2)*DW129*DZ129*VLOOKUP('Données projet'!$B$14,Paramètres!$A$1:$I$89,3,0)*0.475*44/12</f>
        <v>4.2454291233949925E-14</v>
      </c>
      <c r="ED129" s="22">
        <f t="shared" si="72"/>
        <v>1.0535674422949615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205.5480000480477</v>
      </c>
      <c r="EP129" s="59">
        <f t="shared" si="100"/>
        <v>229.86812144828366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1.0988033447356467</v>
      </c>
      <c r="EW129" s="21">
        <f>EXP(-LN(2)/25)*EW128+(1-EXP(-LN(2)/25))/(LN(2)/25)*Calculateur!ER129*Calculateur!ET129*VLOOKUP('Données projet'!$B$15,Paramètres!$A$1:$I$89,3,0)*0.475*44/12</f>
        <v>0.42055649659037214</v>
      </c>
      <c r="EX129" s="21">
        <f>EXP(-LN(2)/2)*EX128+(1-EXP(-LN(2)/2))/(LN(2)/2)*ER129*EU129*VLOOKUP('Données projet'!$B$15,Paramètres!$A$1:$I$89,3,0)*0.475*44/12</f>
        <v>1.0508824140457356E-14</v>
      </c>
      <c r="EY129" s="22">
        <f t="shared" si="75"/>
        <v>1.5193598413260292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3.05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22.189440000000044</v>
      </c>
      <c r="D130" s="11">
        <f t="shared" si="86"/>
        <v>7.1286447514881059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80.025479526482997</v>
      </c>
      <c r="H130" s="67">
        <f t="shared" si="56"/>
        <v>262.99566427550849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-1.9065282685915009E-13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542.23071537860039</v>
      </c>
      <c r="T130" s="59">
        <f t="shared" si="88"/>
        <v>667.26143680054633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1.075207358843917</v>
      </c>
      <c r="AA130" s="21">
        <f>EXP(-LN(2)/25)*AA129+(1-EXP(-LN(2)/25))/(LN(2)/25)*Calculateur!V130*Calculateur!X130*VLOOKUP('Données projet'!$B$9,Paramètres!$A$1:$I$89,3,0)*0.475*44/12</f>
        <v>2.8942618086931744</v>
      </c>
      <c r="AB130" s="21">
        <f>EXP(-LN(2)/2)*AB129+(1-EXP(-LN(2)/2))/(LN(2)/2)*V130*Y130*VLOOKUP('Données projet'!$B$9,Paramètres!$A$1:$I$89,3,0)*0.475*44/12</f>
        <v>3.6220042809657198E-14</v>
      </c>
      <c r="AC130" s="22">
        <f t="shared" si="57"/>
        <v>3.9694691675371279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-1.2710188457276673E-13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427.83834708696861</v>
      </c>
      <c r="AO130" s="59">
        <f t="shared" si="90"/>
        <v>545.63950537101903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0.64512441530635112</v>
      </c>
      <c r="AV130" s="21">
        <f>EXP(-LN(2)/25)*AV129+(1-EXP(-LN(2)/25))/(LN(2)/25)*Calculateur!AQ130*Calculateur!AS130*VLOOKUP('Données projet'!$B$10,Paramètres!$A$1:$I$89,3,0)*0.475*44/12</f>
        <v>1.6722745289689382</v>
      </c>
      <c r="AW130" s="21">
        <f>EXP(-LN(2)/2)*AW129+(1-EXP(-LN(2)/2))/(LN(2)/2)*AQ130*AT130*VLOOKUP('Données projet'!$B$10,Paramètres!$A$1:$I$89,3,0)*0.475*44/12</f>
        <v>2.324297440471E-14</v>
      </c>
      <c r="AX130" s="21">
        <f t="shared" si="60"/>
        <v>2.3173989442753125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-2.6602720026858149E-14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210.62109466714364</v>
      </c>
      <c r="BJ130" s="59">
        <f t="shared" si="92"/>
        <v>193.35729443770401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0.95603078992898405</v>
      </c>
      <c r="BQ130" s="21">
        <f>EXP(-LN(2)/25)*BQ129+(1-EXP(-LN(2)/25))/(LN(2)/25)*Calculateur!BL130*Calculateur!BN130*VLOOKUP('Données projet'!$B$11,Paramètres!$A$1:$I$89,3,0)*0.475*44/12</f>
        <v>0.54420154498452689</v>
      </c>
      <c r="BR130" s="21">
        <f>EXP(-LN(2)/2)*BR129+(1-EXP(-LN(2)/2))/(LN(2)/2)*BL130*BO130*VLOOKUP('Données projet'!$B$11,Paramètres!$A$1:$I$89,3,0)*0.475*44/12</f>
        <v>1.9886115009424076E-14</v>
      </c>
      <c r="BS130" s="22">
        <f t="shared" si="63"/>
        <v>1.5002323349135309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368.16165268258442</v>
      </c>
      <c r="CE130" s="59">
        <f t="shared" si="94"/>
        <v>291.32219253157041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1.095341887818257</v>
      </c>
      <c r="CL130" s="21">
        <f>EXP(-LN(2)/25)*CL129+(1-EXP(-LN(2)/25))/(LN(2)/25)*Calculateur!CG130*Calculateur!CI130*VLOOKUP('Données projet'!$B$12,Paramètres!$A$1:$I$89,3,0)*0.475*44/12</f>
        <v>0.45121426247798868</v>
      </c>
      <c r="CM130" s="21">
        <f>EXP(-LN(2)/2)*CM129+(1-EXP(-LN(2)/2))/(LN(2)/2)*CG130*CJ130*VLOOKUP('Données projet'!$B$12,Paramètres!$A$1:$I$89,3,0)*0.475*44/12</f>
        <v>1.9903329821870439E-14</v>
      </c>
      <c r="CN130" s="22">
        <f t="shared" si="66"/>
        <v>1.5465561502962657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1.1368683772161603E-13</v>
      </c>
      <c r="CU130" s="17">
        <f>CT130*VLOOKUP('Données projet'!$B$13,Paramètres!$A$1:$I$89,3,0)*VLOOKUP('Données projet'!$B$13,Paramètres!$A$1:$I$89,5,0)</f>
        <v>6.7984728957526396E-14</v>
      </c>
      <c r="CV130" s="13">
        <f t="shared" si="95"/>
        <v>1.0682447123141398E-12</v>
      </c>
      <c r="CW130" s="20">
        <f t="shared" si="67"/>
        <v>1.978932943548152E-12</v>
      </c>
      <c r="CX130" s="59">
        <f t="shared" si="68"/>
        <v>287.27543768403916</v>
      </c>
      <c r="CY130" s="59">
        <f ca="1">AVERAGE(OFFSET($CX$3,0,0,'Données projet'!$E$13+1,1))-AVERAGE(OFFSET($H$3,0,0,'Données projet'!$E$13+1,1))</f>
        <v>317.12995176362455</v>
      </c>
      <c r="CZ130" s="59">
        <f t="shared" si="96"/>
        <v>328.11301015275262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2.6442455669476392</v>
      </c>
      <c r="DG130" s="21">
        <f>EXP(-LN(2)/25)*DG129+(1-EXP(-LN(2)/25))/(LN(2)/25)*Calculateur!DB130*Calculateur!DD130*VLOOKUP('Données projet'!$B$13,Paramètres!$A$1:$I$89,3,0)*0.475*44/12</f>
        <v>1.0952940637127786</v>
      </c>
      <c r="DH130" s="21">
        <f>EXP(-LN(2)/2)*DH129+(1-EXP(-LN(2)/2))/(LN(2)/2)*DB130*DE130*VLOOKUP('Données projet'!$B$13,Paramètres!$A$1:$I$89,3,0)*0.475*44/12</f>
        <v>1.4423205159800261E-14</v>
      </c>
      <c r="DI130" s="22">
        <f t="shared" si="69"/>
        <v>3.739539630660432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2.8421709430404007E-14</v>
      </c>
      <c r="DP130" s="17">
        <f>DO130*VLOOKUP('Données projet'!$B$14,Paramètres!$A$1:$I$89,3,0)*VLOOKUP('Données projet'!$B$14,Paramètres!$A$1:$I$89,5,0)</f>
        <v>2.4829205358400945E-14</v>
      </c>
      <c r="DQ130" s="13">
        <f t="shared" si="97"/>
        <v>4.3867331143352915E-13</v>
      </c>
      <c r="DR130" s="20">
        <f t="shared" si="70"/>
        <v>8.0726688341261168E-13</v>
      </c>
      <c r="DS130" s="59">
        <f t="shared" si="71"/>
        <v>287.27543768403797</v>
      </c>
      <c r="DT130" s="59">
        <f ca="1">AVERAGE(OFFSET($DS$3,0,0,'Données projet'!$E$14+1,1))-AVERAGE(OFFSET($H$3,0,0,'Données projet'!$E$14+1,1))</f>
        <v>325.5873213944476</v>
      </c>
      <c r="DU130" s="59">
        <f t="shared" si="98"/>
        <v>347.9042278368363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0.42885128073094381</v>
      </c>
      <c r="EB130" s="21">
        <f>EXP(-LN(2)/25)*EB129+(1-EXP(-LN(2)/25))/(LN(2)/25)*Calculateur!DW130*Calculateur!DY130*VLOOKUP('Données projet'!$B$14,Paramètres!$A$1:$I$89,3,0)*0.475*44/12</f>
        <v>0.59929010754674916</v>
      </c>
      <c r="EC130" s="21">
        <f>EXP(-LN(2)/2)*EC129+(1-EXP(-LN(2)/2))/(LN(2)/2)*DW130*DZ130*VLOOKUP('Données projet'!$B$14,Paramètres!$A$1:$I$89,3,0)*0.475*44/12</f>
        <v>3.0019717221994592E-14</v>
      </c>
      <c r="ED130" s="22">
        <f t="shared" si="72"/>
        <v>1.0281413882777228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205.5480000480477</v>
      </c>
      <c r="EP130" s="59">
        <f t="shared" si="100"/>
        <v>229.86812144828366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1.0772564813492438</v>
      </c>
      <c r="EW130" s="21">
        <f>EXP(-LN(2)/25)*EW129+(1-EXP(-LN(2)/25))/(LN(2)/25)*Calculateur!ER130*Calculateur!ET130*VLOOKUP('Données projet'!$B$15,Paramètres!$A$1:$I$89,3,0)*0.475*44/12</f>
        <v>0.40905635707500343</v>
      </c>
      <c r="EX130" s="21">
        <f>EXP(-LN(2)/2)*EX129+(1-EXP(-LN(2)/2))/(LN(2)/2)*ER130*EU130*VLOOKUP('Données projet'!$B$15,Paramètres!$A$1:$I$89,3,0)*0.475*44/12</f>
        <v>7.4308608120142878E-15</v>
      </c>
      <c r="EY130" s="22">
        <f t="shared" si="75"/>
        <v>1.4863128384242545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3.05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22.364160000000044</v>
      </c>
      <c r="D131" s="11">
        <f t="shared" si="86"/>
        <v>7.1782194944528648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80.579526891560874</v>
      </c>
      <c r="H131" s="67">
        <f t="shared" si="56"/>
        <v>263.38631095283881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-1.9065282685915009E-13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542.23071537860039</v>
      </c>
      <c r="T131" s="59">
        <f t="shared" si="88"/>
        <v>667.26143680054633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1.0541231983487207</v>
      </c>
      <c r="AA131" s="21">
        <f>EXP(-LN(2)/25)*AA130+(1-EXP(-LN(2)/25))/(LN(2)/25)*Calculateur!V131*Calculateur!X131*VLOOKUP('Données projet'!$B$9,Paramètres!$A$1:$I$89,3,0)*0.475*44/12</f>
        <v>2.8151180673318459</v>
      </c>
      <c r="AB131" s="21">
        <f>EXP(-LN(2)/2)*AB130+(1-EXP(-LN(2)/2))/(LN(2)/2)*V131*Y131*VLOOKUP('Données projet'!$B$9,Paramètres!$A$1:$I$89,3,0)*0.475*44/12</f>
        <v>2.5611437885575657E-14</v>
      </c>
      <c r="AC131" s="22">
        <f t="shared" si="57"/>
        <v>3.8692412656805923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-1.2710188457276673E-13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427.83834708696861</v>
      </c>
      <c r="AO131" s="59">
        <f t="shared" si="90"/>
        <v>545.63950537101903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0.63247391900923333</v>
      </c>
      <c r="AV131" s="21">
        <f>EXP(-LN(2)/25)*AV130+(1-EXP(-LN(2)/25))/(LN(2)/25)*Calculateur!AQ131*Calculateur!AS131*VLOOKUP('Données projet'!$B$10,Paramètres!$A$1:$I$89,3,0)*0.475*44/12</f>
        <v>1.6265460940331873</v>
      </c>
      <c r="AW131" s="21">
        <f>EXP(-LN(2)/2)*AW130+(1-EXP(-LN(2)/2))/(LN(2)/2)*AQ131*AT131*VLOOKUP('Données projet'!$B$10,Paramètres!$A$1:$I$89,3,0)*0.475*44/12</f>
        <v>1.6435264816515798E-14</v>
      </c>
      <c r="AX131" s="21">
        <f t="shared" si="60"/>
        <v>2.2590200130424369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-2.6602720026858149E-14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210.62109466714364</v>
      </c>
      <c r="BJ131" s="59">
        <f t="shared" si="92"/>
        <v>193.35729443770401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0.93728360925968013</v>
      </c>
      <c r="BQ131" s="21">
        <f>EXP(-LN(2)/25)*BQ130+(1-EXP(-LN(2)/25))/(LN(2)/25)*Calculateur!BL131*Calculateur!BN131*VLOOKUP('Données projet'!$B$11,Paramètres!$A$1:$I$89,3,0)*0.475*44/12</f>
        <v>0.52932032511860949</v>
      </c>
      <c r="BR131" s="21">
        <f>EXP(-LN(2)/2)*BR130+(1-EXP(-LN(2)/2))/(LN(2)/2)*BL131*BO131*VLOOKUP('Données projet'!$B$11,Paramètres!$A$1:$I$89,3,0)*0.475*44/12</f>
        <v>1.406160677461935E-14</v>
      </c>
      <c r="BS131" s="22">
        <f t="shared" si="63"/>
        <v>1.4666039343783035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368.16165268258442</v>
      </c>
      <c r="CE131" s="59">
        <f t="shared" si="94"/>
        <v>291.32219253157041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1.0738629014907239</v>
      </c>
      <c r="CL131" s="21">
        <f>EXP(-LN(2)/25)*CL130+(1-EXP(-LN(2)/25))/(LN(2)/25)*Calculateur!CG131*Calculateur!CI131*VLOOKUP('Données projet'!$B$12,Paramètres!$A$1:$I$89,3,0)*0.475*44/12</f>
        <v>0.43887578474220129</v>
      </c>
      <c r="CM131" s="21">
        <f>EXP(-LN(2)/2)*CM130+(1-EXP(-LN(2)/2))/(LN(2)/2)*CG131*CJ131*VLOOKUP('Données projet'!$B$12,Paramètres!$A$1:$I$89,3,0)*0.475*44/12</f>
        <v>1.4073779485237028E-14</v>
      </c>
      <c r="CN131" s="22">
        <f t="shared" si="66"/>
        <v>1.5127386862329393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1.1368683772161603E-13</v>
      </c>
      <c r="CU131" s="17">
        <f>CT131*VLOOKUP('Données projet'!$B$13,Paramètres!$A$1:$I$89,3,0)*VLOOKUP('Données projet'!$B$13,Paramètres!$A$1:$I$89,5,0)</f>
        <v>6.7984728957526396E-14</v>
      </c>
      <c r="CV131" s="13">
        <f t="shared" si="95"/>
        <v>1.0682447123141398E-12</v>
      </c>
      <c r="CW131" s="20">
        <f t="shared" si="67"/>
        <v>1.978932943548152E-12</v>
      </c>
      <c r="CX131" s="59">
        <f t="shared" si="68"/>
        <v>287.38052863012877</v>
      </c>
      <c r="CY131" s="59">
        <f ca="1">AVERAGE(OFFSET($CX$3,0,0,'Données projet'!$E$13+1,1))-AVERAGE(OFFSET($H$3,0,0,'Données projet'!$E$13+1,1))</f>
        <v>317.12995176362455</v>
      </c>
      <c r="CZ131" s="59">
        <f t="shared" si="96"/>
        <v>328.11301015275262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2.5923935242103382</v>
      </c>
      <c r="DG131" s="21">
        <f>EXP(-LN(2)/25)*DG130+(1-EXP(-LN(2)/25))/(LN(2)/25)*Calculateur!DB131*Calculateur!DD131*VLOOKUP('Données projet'!$B$13,Paramètres!$A$1:$I$89,3,0)*0.475*44/12</f>
        <v>1.0653431899415411</v>
      </c>
      <c r="DH131" s="21">
        <f>EXP(-LN(2)/2)*DH130+(1-EXP(-LN(2)/2))/(LN(2)/2)*DB131*DE131*VLOOKUP('Données projet'!$B$13,Paramètres!$A$1:$I$89,3,0)*0.475*44/12</f>
        <v>1.0198746174939566E-14</v>
      </c>
      <c r="DI131" s="22">
        <f t="shared" si="69"/>
        <v>3.6577367141518895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2.8421709430404007E-14</v>
      </c>
      <c r="DP131" s="17">
        <f>DO131*VLOOKUP('Données projet'!$B$14,Paramètres!$A$1:$I$89,3,0)*VLOOKUP('Données projet'!$B$14,Paramètres!$A$1:$I$89,5,0)</f>
        <v>2.4829205358400945E-14</v>
      </c>
      <c r="DQ131" s="13">
        <f t="shared" si="97"/>
        <v>4.3867331143352915E-13</v>
      </c>
      <c r="DR131" s="20">
        <f t="shared" si="70"/>
        <v>8.0726688341261168E-13</v>
      </c>
      <c r="DS131" s="59">
        <f t="shared" si="71"/>
        <v>287.38052863012757</v>
      </c>
      <c r="DT131" s="59">
        <f ca="1">AVERAGE(OFFSET($DS$3,0,0,'Données projet'!$E$14+1,1))-AVERAGE(OFFSET($H$3,0,0,'Données projet'!$E$14+1,1))</f>
        <v>325.5873213944476</v>
      </c>
      <c r="DU131" s="59">
        <f t="shared" si="98"/>
        <v>347.9042278368363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0.42044176868926303</v>
      </c>
      <c r="EB131" s="21">
        <f>EXP(-LN(2)/25)*EB130+(1-EXP(-LN(2)/25))/(LN(2)/25)*Calculateur!DW131*Calculateur!DY131*VLOOKUP('Données projet'!$B$14,Paramètres!$A$1:$I$89,3,0)*0.475*44/12</f>
        <v>0.5829024880405862</v>
      </c>
      <c r="EC131" s="21">
        <f>EXP(-LN(2)/2)*EC130+(1-EXP(-LN(2)/2))/(LN(2)/2)*DW131*DZ131*VLOOKUP('Données projet'!$B$14,Paramètres!$A$1:$I$89,3,0)*0.475*44/12</f>
        <v>2.1227145616974962E-14</v>
      </c>
      <c r="ED131" s="22">
        <f t="shared" si="72"/>
        <v>1.0033442567298705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205.5480000480477</v>
      </c>
      <c r="EP131" s="59">
        <f t="shared" si="100"/>
        <v>229.86812144828366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1.0561321388115592</v>
      </c>
      <c r="EW131" s="21">
        <f>EXP(-LN(2)/25)*EW130+(1-EXP(-LN(2)/25))/(LN(2)/25)*Calculateur!ER131*Calculateur!ET131*VLOOKUP('Données projet'!$B$15,Paramètres!$A$1:$I$89,3,0)*0.475*44/12</f>
        <v>0.39787068947944854</v>
      </c>
      <c r="EX131" s="21">
        <f>EXP(-LN(2)/2)*EX130+(1-EXP(-LN(2)/2))/(LN(2)/2)*ER131*EU131*VLOOKUP('Données projet'!$B$15,Paramètres!$A$1:$I$89,3,0)*0.475*44/12</f>
        <v>5.2544120702286779E-15</v>
      </c>
      <c r="EY131" s="22">
        <f t="shared" si="75"/>
        <v>1.4540028282910131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3.05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22.538880000000045</v>
      </c>
      <c r="D132" s="11">
        <f t="shared" si="86"/>
        <v>7.2277491753929066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81.133462945532074</v>
      </c>
      <c r="H132" s="67">
        <f t="shared" ref="H132:H195" si="110">(B132+E132+F132)*44/12+(C132+D132)*0.475*44/12</f>
        <v>263.77687914714272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-1.9065282685915009E-13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542.23071537860039</v>
      </c>
      <c r="T132" s="59">
        <f t="shared" si="88"/>
        <v>667.26143680054633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1.0334524853807672</v>
      </c>
      <c r="AA132" s="21">
        <f>EXP(-LN(2)/25)*AA131+(1-EXP(-LN(2)/25))/(LN(2)/25)*Calculateur!V132*Calculateur!X132*VLOOKUP('Données projet'!$B$9,Paramètres!$A$1:$I$89,3,0)*0.475*44/12</f>
        <v>2.7381385157400313</v>
      </c>
      <c r="AB132" s="21">
        <f>EXP(-LN(2)/2)*AB131+(1-EXP(-LN(2)/2))/(LN(2)/2)*V132*Y132*VLOOKUP('Données projet'!$B$9,Paramètres!$A$1:$I$89,3,0)*0.475*44/12</f>
        <v>1.8110021404828599E-14</v>
      </c>
      <c r="AC132" s="22">
        <f t="shared" ref="AC132:AC153" si="111">SUM(Z132:AB132)</f>
        <v>3.7715910011208167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-1.2710188457276673E-13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427.83834708696861</v>
      </c>
      <c r="AO132" s="59">
        <f t="shared" si="90"/>
        <v>545.63950537101903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0.62007149122846117</v>
      </c>
      <c r="AV132" s="21">
        <f>EXP(-LN(2)/25)*AV131+(1-EXP(-LN(2)/25))/(LN(2)/25)*Calculateur!AQ132*Calculateur!AS132*VLOOKUP('Données projet'!$B$10,Paramètres!$A$1:$I$89,3,0)*0.475*44/12</f>
        <v>1.5820681055555081</v>
      </c>
      <c r="AW132" s="21">
        <f>EXP(-LN(2)/2)*AW131+(1-EXP(-LN(2)/2))/(LN(2)/2)*AQ132*AT132*VLOOKUP('Données projet'!$B$10,Paramètres!$A$1:$I$89,3,0)*0.475*44/12</f>
        <v>1.1621487202355E-14</v>
      </c>
      <c r="AX132" s="21">
        <f t="shared" ref="AX132:AX153" si="114">SUM(AU132:AW132)</f>
        <v>2.2021395967839807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-2.6602720026858149E-14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210.62109466714364</v>
      </c>
      <c r="BJ132" s="59">
        <f t="shared" si="92"/>
        <v>193.35729443770401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0.91890404936865011</v>
      </c>
      <c r="BQ132" s="21">
        <f>EXP(-LN(2)/25)*BQ131+(1-EXP(-LN(2)/25))/(LN(2)/25)*Calculateur!BL132*Calculateur!BN132*VLOOKUP('Données projet'!$B$11,Paramètres!$A$1:$I$89,3,0)*0.475*44/12</f>
        <v>0.51484603299249498</v>
      </c>
      <c r="BR132" s="21">
        <f>EXP(-LN(2)/2)*BR131+(1-EXP(-LN(2)/2))/(LN(2)/2)*BL132*BO132*VLOOKUP('Données projet'!$B$11,Paramètres!$A$1:$I$89,3,0)*0.475*44/12</f>
        <v>9.9430575047120397E-15</v>
      </c>
      <c r="BS132" s="22">
        <f t="shared" ref="BS132:BS153" si="117">SUM(BP132:BR132)</f>
        <v>1.4337500823611551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368.16165268258442</v>
      </c>
      <c r="CE132" s="59">
        <f t="shared" si="94"/>
        <v>291.32219253157041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1.0528051049841858</v>
      </c>
      <c r="CL132" s="21">
        <f>EXP(-LN(2)/25)*CL131+(1-EXP(-LN(2)/25))/(LN(2)/25)*Calculateur!CG132*Calculateur!CI132*VLOOKUP('Données projet'!$B$12,Paramètres!$A$1:$I$89,3,0)*0.475*44/12</f>
        <v>0.42687470332895133</v>
      </c>
      <c r="CM132" s="21">
        <f>EXP(-LN(2)/2)*CM131+(1-EXP(-LN(2)/2))/(LN(2)/2)*CG132*CJ132*VLOOKUP('Données projet'!$B$12,Paramètres!$A$1:$I$89,3,0)*0.475*44/12</f>
        <v>9.951664910935221E-15</v>
      </c>
      <c r="CN132" s="22">
        <f t="shared" ref="CN132:CN153" si="120">SUM(CK132:CM132)</f>
        <v>1.479679808313147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1.1368683772161603E-13</v>
      </c>
      <c r="CU132" s="17">
        <f>CT132*VLOOKUP('Données projet'!$B$13,Paramètres!$A$1:$I$89,3,0)*VLOOKUP('Données projet'!$B$13,Paramètres!$A$1:$I$89,5,0)</f>
        <v>6.7984728957526396E-14</v>
      </c>
      <c r="CV132" s="13">
        <f t="shared" si="95"/>
        <v>1.0682447123141398E-12</v>
      </c>
      <c r="CW132" s="20">
        <f t="shared" ref="CW132:CW153" si="121">(CU132+CV132)*0.475*44/12</f>
        <v>1.978932943548152E-12</v>
      </c>
      <c r="CX132" s="59">
        <f t="shared" ref="CX132:CX195" si="122">CW132+(CO132+CP132)*44/12</f>
        <v>287.48379648325181</v>
      </c>
      <c r="CY132" s="59">
        <f ca="1">AVERAGE(OFFSET($CX$3,0,0,'Données projet'!$E$13+1,1))-AVERAGE(OFFSET($H$3,0,0,'Données projet'!$E$13+1,1))</f>
        <v>317.12995176362455</v>
      </c>
      <c r="CZ132" s="59">
        <f t="shared" si="96"/>
        <v>328.11301015275262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2.5415582684044922</v>
      </c>
      <c r="DG132" s="21">
        <f>EXP(-LN(2)/25)*DG131+(1-EXP(-LN(2)/25))/(LN(2)/25)*Calculateur!DB132*Calculateur!DD132*VLOOKUP('Données projet'!$B$13,Paramètres!$A$1:$I$89,3,0)*0.475*44/12</f>
        <v>1.0362113243886262</v>
      </c>
      <c r="DH132" s="21">
        <f>EXP(-LN(2)/2)*DH131+(1-EXP(-LN(2)/2))/(LN(2)/2)*DB132*DE132*VLOOKUP('Données projet'!$B$13,Paramètres!$A$1:$I$89,3,0)*0.475*44/12</f>
        <v>7.2116025799001304E-15</v>
      </c>
      <c r="DI132" s="22">
        <f t="shared" ref="DI132:DI153" si="123">SUM(DF132:DH132)</f>
        <v>3.5777695927931257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2.8421709430404007E-14</v>
      </c>
      <c r="DP132" s="17">
        <f>DO132*VLOOKUP('Données projet'!$B$14,Paramètres!$A$1:$I$89,3,0)*VLOOKUP('Données projet'!$B$14,Paramètres!$A$1:$I$89,5,0)</f>
        <v>2.4829205358400945E-14</v>
      </c>
      <c r="DQ132" s="13">
        <f t="shared" si="97"/>
        <v>4.3867331143352915E-13</v>
      </c>
      <c r="DR132" s="20">
        <f t="shared" ref="DR132:DR153" si="124">(DP132+DQ132)*0.475*44/12</f>
        <v>8.0726688341261168E-13</v>
      </c>
      <c r="DS132" s="59">
        <f t="shared" ref="DS132:DS195" si="125">DR132+(DJ132+DK132)*44/12</f>
        <v>287.48379648325061</v>
      </c>
      <c r="DT132" s="59">
        <f ca="1">AVERAGE(OFFSET($DS$3,0,0,'Données projet'!$E$14+1,1))-AVERAGE(OFFSET($H$3,0,0,'Données projet'!$E$14+1,1))</f>
        <v>325.5873213944476</v>
      </c>
      <c r="DU132" s="59">
        <f t="shared" si="98"/>
        <v>347.9042278368363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0.41219716204942375</v>
      </c>
      <c r="EB132" s="21">
        <f>EXP(-LN(2)/25)*EB131+(1-EXP(-LN(2)/25))/(LN(2)/25)*Calculateur!DW132*Calculateur!DY132*VLOOKUP('Données projet'!$B$14,Paramètres!$A$1:$I$89,3,0)*0.475*44/12</f>
        <v>0.56696298885160679</v>
      </c>
      <c r="EC132" s="21">
        <f>EXP(-LN(2)/2)*EC131+(1-EXP(-LN(2)/2))/(LN(2)/2)*DW132*DZ132*VLOOKUP('Données projet'!$B$14,Paramètres!$A$1:$I$89,3,0)*0.475*44/12</f>
        <v>1.5009858610997296E-14</v>
      </c>
      <c r="ED132" s="22">
        <f t="shared" ref="ED132:ED153" si="126">SUM(EA132:EC132)</f>
        <v>0.97916015090104558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205.5480000480477</v>
      </c>
      <c r="EP132" s="59">
        <f t="shared" si="100"/>
        <v>229.86812144828366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1.035422031746462</v>
      </c>
      <c r="EW132" s="21">
        <f>EXP(-LN(2)/25)*EW131+(1-EXP(-LN(2)/25))/(LN(2)/25)*Calculateur!ER132*Calculateur!ET132*VLOOKUP('Données projet'!$B$15,Paramètres!$A$1:$I$89,3,0)*0.475*44/12</f>
        <v>0.38699089455252278</v>
      </c>
      <c r="EX132" s="21">
        <f>EXP(-LN(2)/2)*EX131+(1-EXP(-LN(2)/2))/(LN(2)/2)*ER132*EU132*VLOOKUP('Données projet'!$B$15,Paramètres!$A$1:$I$89,3,0)*0.475*44/12</f>
        <v>3.7154304060071439E-15</v>
      </c>
      <c r="EY132" s="22">
        <f t="shared" ref="EY132:EY153" si="129">SUM(EV132:EX132)</f>
        <v>1.4224129262989884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3.05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22.713600000000046</v>
      </c>
      <c r="D133" s="11">
        <f t="shared" ref="D133:D196" si="140">IFERROR(EXP(-1.0587+0.8836*LN(C133)+0.284),0)</f>
        <v>7.2772341841188091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81.687288651297109</v>
      </c>
      <c r="H133" s="67">
        <f t="shared" si="110"/>
        <v>264.16736953734028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-1.9065282685915009E-13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542.23071537860039</v>
      </c>
      <c r="T133" s="59">
        <f t="shared" ref="T133:T196" si="142">$T$3</f>
        <v>667.26143680054633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1.0131871124862251</v>
      </c>
      <c r="AA133" s="21">
        <f>EXP(-LN(2)/25)*AA132+(1-EXP(-LN(2)/25))/(LN(2)/25)*Calculateur!V133*Calculateur!X133*VLOOKUP('Données projet'!$B$9,Paramètres!$A$1:$I$89,3,0)*0.475*44/12</f>
        <v>2.6632639740346735</v>
      </c>
      <c r="AB133" s="21">
        <f>EXP(-LN(2)/2)*AB132+(1-EXP(-LN(2)/2))/(LN(2)/2)*V133*Y133*VLOOKUP('Données projet'!$B$9,Paramètres!$A$1:$I$89,3,0)*0.475*44/12</f>
        <v>1.2805718942787828E-14</v>
      </c>
      <c r="AC133" s="22">
        <f t="shared" si="111"/>
        <v>3.6764510865209115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-1.2710188457276673E-13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427.83834708696861</v>
      </c>
      <c r="AO133" s="59">
        <f t="shared" ref="AO133:AO196" si="144">$AO$3</f>
        <v>545.63950537101903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0.60791226749173588</v>
      </c>
      <c r="AV133" s="21">
        <f>EXP(-LN(2)/25)*AV132+(1-EXP(-LN(2)/25))/(LN(2)/25)*Calculateur!AQ133*Calculateur!AS133*VLOOKUP('Données projet'!$B$10,Paramètres!$A$1:$I$89,3,0)*0.475*44/12</f>
        <v>1.5388063700117469</v>
      </c>
      <c r="AW133" s="21">
        <f>EXP(-LN(2)/2)*AW132+(1-EXP(-LN(2)/2))/(LN(2)/2)*AQ133*AT133*VLOOKUP('Données projet'!$B$10,Paramètres!$A$1:$I$89,3,0)*0.475*44/12</f>
        <v>8.217632408257899E-15</v>
      </c>
      <c r="AX133" s="21">
        <f t="shared" si="114"/>
        <v>2.1467186375034912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-2.6602720026858149E-14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210.62109466714364</v>
      </c>
      <c r="BJ133" s="59">
        <f t="shared" ref="BJ133:BJ196" si="146">$BJ$3</f>
        <v>193.35729443770401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0.90088490143665856</v>
      </c>
      <c r="BQ133" s="21">
        <f>EXP(-LN(2)/25)*BQ132+(1-EXP(-LN(2)/25))/(LN(2)/25)*Calculateur!BL133*Calculateur!BN133*VLOOKUP('Données projet'!$B$11,Paramètres!$A$1:$I$89,3,0)*0.475*44/12</f>
        <v>0.50076754114573907</v>
      </c>
      <c r="BR133" s="21">
        <f>EXP(-LN(2)/2)*BR132+(1-EXP(-LN(2)/2))/(LN(2)/2)*BL133*BO133*VLOOKUP('Données projet'!$B$11,Paramètres!$A$1:$I$89,3,0)*0.475*44/12</f>
        <v>7.0308033873096758E-15</v>
      </c>
      <c r="BS133" s="22">
        <f t="shared" si="117"/>
        <v>1.4016524425824048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368.16165268258442</v>
      </c>
      <c r="CE133" s="59">
        <f t="shared" ref="CE133:CE196" si="148">$CE$3</f>
        <v>291.32219253157041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1.032160239023153</v>
      </c>
      <c r="CL133" s="21">
        <f>EXP(-LN(2)/25)*CL132+(1-EXP(-LN(2)/25))/(LN(2)/25)*Calculateur!CG133*Calculateur!CI133*VLOOKUP('Données projet'!$B$12,Paramètres!$A$1:$I$89,3,0)*0.475*44/12</f>
        <v>0.41520179211805613</v>
      </c>
      <c r="CM133" s="21">
        <f>EXP(-LN(2)/2)*CM132+(1-EXP(-LN(2)/2))/(LN(2)/2)*CG133*CJ133*VLOOKUP('Données projet'!$B$12,Paramètres!$A$1:$I$89,3,0)*0.475*44/12</f>
        <v>7.0368897426185148E-15</v>
      </c>
      <c r="CN133" s="22">
        <f t="shared" si="120"/>
        <v>1.4473620311412163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1.1368683772161603E-13</v>
      </c>
      <c r="CU133" s="17">
        <f>CT133*VLOOKUP('Données projet'!$B$13,Paramètres!$A$1:$I$89,3,0)*VLOOKUP('Données projet'!$B$13,Paramètres!$A$1:$I$89,5,0)</f>
        <v>6.7984728957526396E-14</v>
      </c>
      <c r="CV133" s="13">
        <f t="shared" ref="CV133:CV153" si="149">EXP(-1.0587+0.8836*LN(CU133)+0.284)</f>
        <v>1.0682447123141398E-12</v>
      </c>
      <c r="CW133" s="20">
        <f t="shared" si="121"/>
        <v>1.978932943548152E-12</v>
      </c>
      <c r="CX133" s="59">
        <f t="shared" si="122"/>
        <v>287.58527286999561</v>
      </c>
      <c r="CY133" s="59">
        <f ca="1">AVERAGE(OFFSET($CX$3,0,0,'Données projet'!$E$13+1,1))-AVERAGE(OFFSET($H$3,0,0,'Données projet'!$E$13+1,1))</f>
        <v>317.12995176362455</v>
      </c>
      <c r="CZ133" s="59">
        <f t="shared" ref="CZ133:CZ196" si="150">$CZ$3</f>
        <v>328.11301015275262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2.4917198609585545</v>
      </c>
      <c r="DG133" s="21">
        <f>EXP(-LN(2)/25)*DG132+(1-EXP(-LN(2)/25))/(LN(2)/25)*Calculateur!DB133*Calculateur!DD133*VLOOKUP('Données projet'!$B$13,Paramètres!$A$1:$I$89,3,0)*0.475*44/12</f>
        <v>1.007876071231234</v>
      </c>
      <c r="DH133" s="21">
        <f>EXP(-LN(2)/2)*DH132+(1-EXP(-LN(2)/2))/(LN(2)/2)*DB133*DE133*VLOOKUP('Données projet'!$B$13,Paramètres!$A$1:$I$89,3,0)*0.475*44/12</f>
        <v>5.0993730874697832E-15</v>
      </c>
      <c r="DI133" s="22">
        <f t="shared" si="123"/>
        <v>3.4995959321897936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2.8421709430404007E-14</v>
      </c>
      <c r="DP133" s="17">
        <f>DO133*VLOOKUP('Données projet'!$B$14,Paramètres!$A$1:$I$89,3,0)*VLOOKUP('Données projet'!$B$14,Paramètres!$A$1:$I$89,5,0)</f>
        <v>2.4829205358400945E-14</v>
      </c>
      <c r="DQ133" s="13">
        <f t="shared" ref="DQ133:DQ153" si="151">EXP(-1.0587+0.8836*LN(DP133)+0.284)</f>
        <v>4.3867331143352915E-13</v>
      </c>
      <c r="DR133" s="20">
        <f t="shared" si="124"/>
        <v>8.0726688341261168E-13</v>
      </c>
      <c r="DS133" s="59">
        <f t="shared" si="125"/>
        <v>287.58527286999441</v>
      </c>
      <c r="DT133" s="59">
        <f ca="1">AVERAGE(OFFSET($DS$3,0,0,'Données projet'!$E$14+1,1))-AVERAGE(OFFSET($H$3,0,0,'Données projet'!$E$14+1,1))</f>
        <v>325.5873213944476</v>
      </c>
      <c r="DU133" s="59">
        <f t="shared" ref="DU133:DU196" si="152">$DU$3</f>
        <v>347.9042278368363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0.40411422711707817</v>
      </c>
      <c r="EB133" s="21">
        <f>EXP(-LN(2)/25)*EB132+(1-EXP(-LN(2)/25))/(LN(2)/25)*Calculateur!DW133*Calculateur!DY133*VLOOKUP('Données projet'!$B$14,Paramètres!$A$1:$I$89,3,0)*0.475*44/12</f>
        <v>0.55145935610617181</v>
      </c>
      <c r="EC133" s="21">
        <f>EXP(-LN(2)/2)*EC132+(1-EXP(-LN(2)/2))/(LN(2)/2)*DW133*DZ133*VLOOKUP('Données projet'!$B$14,Paramètres!$A$1:$I$89,3,0)*0.475*44/12</f>
        <v>1.0613572808487481E-14</v>
      </c>
      <c r="ED133" s="22">
        <f t="shared" si="126"/>
        <v>0.95557358322326058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205.5480000480477</v>
      </c>
      <c r="EP133" s="59">
        <f t="shared" ref="EP133:EP196" si="154">$EP$3</f>
        <v>229.86812144828366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1.0151180372489934</v>
      </c>
      <c r="EW133" s="21">
        <f>EXP(-LN(2)/25)*EW132+(1-EXP(-LN(2)/25))/(LN(2)/25)*Calculateur!ER133*Calculateur!ET133*VLOOKUP('Données projet'!$B$15,Paramètres!$A$1:$I$89,3,0)*0.475*44/12</f>
        <v>0.37640860819001737</v>
      </c>
      <c r="EX133" s="21">
        <f>EXP(-LN(2)/2)*EX132+(1-EXP(-LN(2)/2))/(LN(2)/2)*ER133*EU133*VLOOKUP('Données projet'!$B$15,Paramètres!$A$1:$I$89,3,0)*0.475*44/12</f>
        <v>2.627206035114339E-15</v>
      </c>
      <c r="EY133" s="22">
        <f t="shared" si="129"/>
        <v>1.3915266454390134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3.05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22.888320000000046</v>
      </c>
      <c r="D134" s="11">
        <f t="shared" si="140"/>
        <v>7.3266749040977031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82.241004956087096</v>
      </c>
      <c r="H134" s="67">
        <f t="shared" si="110"/>
        <v>264.55778279130357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-1.9065282685915009E-13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542.23071537860039</v>
      </c>
      <c r="T134" s="59">
        <f t="shared" si="142"/>
        <v>667.26143680054633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0.99331913119348803</v>
      </c>
      <c r="AA134" s="21">
        <f>EXP(-LN(2)/25)*AA133+(1-EXP(-LN(2)/25))/(LN(2)/25)*Calculateur!V134*Calculateur!X134*VLOOKUP('Données projet'!$B$9,Paramètres!$A$1:$I$89,3,0)*0.475*44/12</f>
        <v>2.59043688060973</v>
      </c>
      <c r="AB134" s="21">
        <f>EXP(-LN(2)/2)*AB133+(1-EXP(-LN(2)/2))/(LN(2)/2)*V134*Y134*VLOOKUP('Données projet'!$B$9,Paramètres!$A$1:$I$89,3,0)*0.475*44/12</f>
        <v>9.0550107024142996E-15</v>
      </c>
      <c r="AC134" s="22">
        <f t="shared" si="111"/>
        <v>3.583756011803227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-1.2710188457276673E-13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427.83834708696861</v>
      </c>
      <c r="AO134" s="59">
        <f t="shared" si="144"/>
        <v>545.63950537101903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0.5959914787160937</v>
      </c>
      <c r="AV134" s="21">
        <f>EXP(-LN(2)/25)*AV133+(1-EXP(-LN(2)/25))/(LN(2)/25)*Calculateur!AQ134*Calculateur!AS134*VLOOKUP('Données projet'!$B$10,Paramètres!$A$1:$I$89,3,0)*0.475*44/12</f>
        <v>1.4967276289014657</v>
      </c>
      <c r="AW134" s="21">
        <f>EXP(-LN(2)/2)*AW133+(1-EXP(-LN(2)/2))/(LN(2)/2)*AQ134*AT134*VLOOKUP('Données projet'!$B$10,Paramètres!$A$1:$I$89,3,0)*0.475*44/12</f>
        <v>5.8107436011774999E-15</v>
      </c>
      <c r="AX134" s="21">
        <f t="shared" si="114"/>
        <v>2.0927191076175653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-2.6602720026858149E-14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210.62109466714364</v>
      </c>
      <c r="BJ134" s="59">
        <f t="shared" si="146"/>
        <v>193.35729443770401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0.88321909800501841</v>
      </c>
      <c r="BQ134" s="21">
        <f>EXP(-LN(2)/25)*BQ133+(1-EXP(-LN(2)/25))/(LN(2)/25)*Calculateur!BL134*Calculateur!BN134*VLOOKUP('Données projet'!$B$11,Paramètres!$A$1:$I$89,3,0)*0.475*44/12</f>
        <v>0.48707402639888836</v>
      </c>
      <c r="BR134" s="21">
        <f>EXP(-LN(2)/2)*BR133+(1-EXP(-LN(2)/2))/(LN(2)/2)*BL134*BO134*VLOOKUP('Données projet'!$B$11,Paramètres!$A$1:$I$89,3,0)*0.475*44/12</f>
        <v>4.9715287523560206E-15</v>
      </c>
      <c r="BS134" s="22">
        <f t="shared" si="117"/>
        <v>1.3702931244039116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368.16165268258442</v>
      </c>
      <c r="CE134" s="59">
        <f t="shared" si="148"/>
        <v>291.32219253157041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1.0119202062914914</v>
      </c>
      <c r="CL134" s="21">
        <f>EXP(-LN(2)/25)*CL133+(1-EXP(-LN(2)/25))/(LN(2)/25)*Calculateur!CG134*Calculateur!CI134*VLOOKUP('Données projet'!$B$12,Paramètres!$A$1:$I$89,3,0)*0.475*44/12</f>
        <v>0.40384807727807459</v>
      </c>
      <c r="CM134" s="21">
        <f>EXP(-LN(2)/2)*CM133+(1-EXP(-LN(2)/2))/(LN(2)/2)*CG134*CJ134*VLOOKUP('Données projet'!$B$12,Paramètres!$A$1:$I$89,3,0)*0.475*44/12</f>
        <v>4.9758324554676113E-15</v>
      </c>
      <c r="CN134" s="22">
        <f t="shared" si="120"/>
        <v>1.4157682835695709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1.1368683772161603E-13</v>
      </c>
      <c r="CU134" s="17">
        <f>CT134*VLOOKUP('Données projet'!$B$13,Paramètres!$A$1:$I$89,3,0)*VLOOKUP('Données projet'!$B$13,Paramètres!$A$1:$I$89,5,0)</f>
        <v>6.7984728957526396E-14</v>
      </c>
      <c r="CV134" s="13">
        <f t="shared" si="149"/>
        <v>1.0682447123141398E-12</v>
      </c>
      <c r="CW134" s="20">
        <f t="shared" si="121"/>
        <v>1.978932943548152E-12</v>
      </c>
      <c r="CX134" s="59">
        <f t="shared" si="122"/>
        <v>287.6849888682965</v>
      </c>
      <c r="CY134" s="59">
        <f ca="1">AVERAGE(OFFSET($CX$3,0,0,'Données projet'!$E$13+1,1))-AVERAGE(OFFSET($H$3,0,0,'Données projet'!$E$13+1,1))</f>
        <v>317.12995176362455</v>
      </c>
      <c r="CZ134" s="59">
        <f t="shared" si="150"/>
        <v>328.11301015275262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2.4428587542842046</v>
      </c>
      <c r="DG134" s="21">
        <f>EXP(-LN(2)/25)*DG133+(1-EXP(-LN(2)/25))/(LN(2)/25)*Calculateur!DB134*Calculateur!DD134*VLOOKUP('Données projet'!$B$13,Paramètres!$A$1:$I$89,3,0)*0.475*44/12</f>
        <v>0.98031564706151686</v>
      </c>
      <c r="DH134" s="21">
        <f>EXP(-LN(2)/2)*DH133+(1-EXP(-LN(2)/2))/(LN(2)/2)*DB134*DE134*VLOOKUP('Données projet'!$B$13,Paramètres!$A$1:$I$89,3,0)*0.475*44/12</f>
        <v>3.6058012899500652E-15</v>
      </c>
      <c r="DI134" s="22">
        <f t="shared" si="123"/>
        <v>3.423174401345725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2.8421709430404007E-14</v>
      </c>
      <c r="DP134" s="17">
        <f>DO134*VLOOKUP('Données projet'!$B$14,Paramètres!$A$1:$I$89,3,0)*VLOOKUP('Données projet'!$B$14,Paramètres!$A$1:$I$89,5,0)</f>
        <v>2.4829205358400945E-14</v>
      </c>
      <c r="DQ134" s="13">
        <f t="shared" si="151"/>
        <v>4.3867331143352915E-13</v>
      </c>
      <c r="DR134" s="20">
        <f t="shared" si="124"/>
        <v>8.0726688341261168E-13</v>
      </c>
      <c r="DS134" s="59">
        <f t="shared" si="125"/>
        <v>287.68498886829531</v>
      </c>
      <c r="DT134" s="59">
        <f ca="1">AVERAGE(OFFSET($DS$3,0,0,'Données projet'!$E$14+1,1))-AVERAGE(OFFSET($H$3,0,0,'Données projet'!$E$14+1,1))</f>
        <v>325.5873213944476</v>
      </c>
      <c r="DU134" s="59">
        <f t="shared" si="152"/>
        <v>347.9042278368363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0.39618979360865242</v>
      </c>
      <c r="EB134" s="21">
        <f>EXP(-LN(2)/25)*EB133+(1-EXP(-LN(2)/25))/(LN(2)/25)*Calculateur!DW134*Calculateur!DY134*VLOOKUP('Données projet'!$B$14,Paramètres!$A$1:$I$89,3,0)*0.475*44/12</f>
        <v>0.5363796710134614</v>
      </c>
      <c r="EC134" s="21">
        <f>EXP(-LN(2)/2)*EC133+(1-EXP(-LN(2)/2))/(LN(2)/2)*DW134*DZ134*VLOOKUP('Données projet'!$B$14,Paramètres!$A$1:$I$89,3,0)*0.475*44/12</f>
        <v>7.504929305498648E-15</v>
      </c>
      <c r="ED134" s="22">
        <f t="shared" si="126"/>
        <v>0.93256946462212142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205.5480000480477</v>
      </c>
      <c r="EP134" s="59">
        <f t="shared" si="154"/>
        <v>229.86812144828366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0.99521219169940633</v>
      </c>
      <c r="EW134" s="21">
        <f>EXP(-LN(2)/25)*EW133+(1-EXP(-LN(2)/25))/(LN(2)/25)*Calculateur!ER134*Calculateur!ET134*VLOOKUP('Données projet'!$B$15,Paramètres!$A$1:$I$89,3,0)*0.475*44/12</f>
        <v>0.36611569500459296</v>
      </c>
      <c r="EX134" s="21">
        <f>EXP(-LN(2)/2)*EX133+(1-EXP(-LN(2)/2))/(LN(2)/2)*ER134*EU134*VLOOKUP('Données projet'!$B$15,Paramètres!$A$1:$I$89,3,0)*0.475*44/12</f>
        <v>1.8577152030035719E-15</v>
      </c>
      <c r="EY134" s="22">
        <f t="shared" si="129"/>
        <v>1.3613278867040011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3.05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23.063040000000047</v>
      </c>
      <c r="D135" s="11">
        <f t="shared" si="140"/>
        <v>7.3760717126040811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82.794612791836158</v>
      </c>
      <c r="H135" s="67">
        <f t="shared" si="110"/>
        <v>264.94811956611881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-1.9065282685915009E-13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542.23071537860039</v>
      </c>
      <c r="T135" s="59">
        <f t="shared" si="142"/>
        <v>667.26143680054633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0.97384074889562955</v>
      </c>
      <c r="AA135" s="21">
        <f>EXP(-LN(2)/25)*AA134+(1-EXP(-LN(2)/25))/(LN(2)/25)*Calculateur!V135*Calculateur!X135*VLOOKUP('Données projet'!$B$9,Paramètres!$A$1:$I$89,3,0)*0.475*44/12</f>
        <v>2.5196012478843017</v>
      </c>
      <c r="AB135" s="21">
        <f>EXP(-LN(2)/2)*AB134+(1-EXP(-LN(2)/2))/(LN(2)/2)*V135*Y135*VLOOKUP('Données projet'!$B$9,Paramètres!$A$1:$I$89,3,0)*0.475*44/12</f>
        <v>6.4028594713939142E-15</v>
      </c>
      <c r="AC135" s="22">
        <f t="shared" si="111"/>
        <v>3.4934419967799375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-1.2710188457276673E-13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427.83834708696861</v>
      </c>
      <c r="AO135" s="59">
        <f t="shared" si="144"/>
        <v>545.63950537101903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0.58430444933737857</v>
      </c>
      <c r="AV135" s="21">
        <f>EXP(-LN(2)/25)*AV134+(1-EXP(-LN(2)/25))/(LN(2)/25)*Calculateur!AQ135*Calculateur!AS135*VLOOKUP('Données projet'!$B$10,Paramètres!$A$1:$I$89,3,0)*0.475*44/12</f>
        <v>1.45579953317967</v>
      </c>
      <c r="AW135" s="21">
        <f>EXP(-LN(2)/2)*AW134+(1-EXP(-LN(2)/2))/(LN(2)/2)*AQ135*AT135*VLOOKUP('Données projet'!$B$10,Paramètres!$A$1:$I$89,3,0)*0.475*44/12</f>
        <v>4.1088162041289495E-15</v>
      </c>
      <c r="AX135" s="21">
        <f t="shared" si="114"/>
        <v>2.0401039825170524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-2.6602720026858149E-14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210.62109466714364</v>
      </c>
      <c r="BJ135" s="59">
        <f t="shared" si="146"/>
        <v>193.35729443770401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0.86589971020359657</v>
      </c>
      <c r="BQ135" s="21">
        <f>EXP(-LN(2)/25)*BQ134+(1-EXP(-LN(2)/25))/(LN(2)/25)*Calculateur!BL135*Calculateur!BN135*VLOOKUP('Données projet'!$B$11,Paramètres!$A$1:$I$89,3,0)*0.475*44/12</f>
        <v>0.47375496153290092</v>
      </c>
      <c r="BR135" s="21">
        <f>EXP(-LN(2)/2)*BR134+(1-EXP(-LN(2)/2))/(LN(2)/2)*BL135*BO135*VLOOKUP('Données projet'!$B$11,Paramètres!$A$1:$I$89,3,0)*0.475*44/12</f>
        <v>3.5154016936548387E-15</v>
      </c>
      <c r="BS135" s="22">
        <f t="shared" si="117"/>
        <v>1.339654671736501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368.16165268258442</v>
      </c>
      <c r="CE135" s="59">
        <f t="shared" si="148"/>
        <v>291.32219253157041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0.99207706825649655</v>
      </c>
      <c r="CL135" s="21">
        <f>EXP(-LN(2)/25)*CL134+(1-EXP(-LN(2)/25))/(LN(2)/25)*Calculateur!CG135*Calculateur!CI135*VLOOKUP('Données projet'!$B$12,Paramètres!$A$1:$I$89,3,0)*0.475*44/12</f>
        <v>0.39280483036745828</v>
      </c>
      <c r="CM135" s="21">
        <f>EXP(-LN(2)/2)*CM134+(1-EXP(-LN(2)/2))/(LN(2)/2)*CG135*CJ135*VLOOKUP('Données projet'!$B$12,Paramètres!$A$1:$I$89,3,0)*0.475*44/12</f>
        <v>3.5184448713092578E-15</v>
      </c>
      <c r="CN135" s="22">
        <f t="shared" si="120"/>
        <v>1.3848818986239584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1.1368683772161603E-13</v>
      </c>
      <c r="CU135" s="17">
        <f>CT135*VLOOKUP('Données projet'!$B$13,Paramètres!$A$1:$I$89,3,0)*VLOOKUP('Données projet'!$B$13,Paramètres!$A$1:$I$89,5,0)</f>
        <v>6.7984728957526396E-14</v>
      </c>
      <c r="CV135" s="13">
        <f t="shared" si="149"/>
        <v>1.0682447123141398E-12</v>
      </c>
      <c r="CW135" s="20">
        <f t="shared" si="121"/>
        <v>1.978932943548152E-12</v>
      </c>
      <c r="CX135" s="59">
        <f t="shared" si="122"/>
        <v>287.78297501695852</v>
      </c>
      <c r="CY135" s="59">
        <f ca="1">AVERAGE(OFFSET($CX$3,0,0,'Données projet'!$E$13+1,1))-AVERAGE(OFFSET($H$3,0,0,'Données projet'!$E$13+1,1))</f>
        <v>317.12995176362455</v>
      </c>
      <c r="CZ135" s="59">
        <f t="shared" si="150"/>
        <v>328.11301015275262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2.3949557841094067</v>
      </c>
      <c r="DG135" s="21">
        <f>EXP(-LN(2)/25)*DG134+(1-EXP(-LN(2)/25))/(LN(2)/25)*Calculateur!DB135*Calculateur!DD135*VLOOKUP('Données projet'!$B$13,Paramètres!$A$1:$I$89,3,0)*0.475*44/12</f>
        <v>0.95350886414006031</v>
      </c>
      <c r="DH135" s="21">
        <f>EXP(-LN(2)/2)*DH134+(1-EXP(-LN(2)/2))/(LN(2)/2)*DB135*DE135*VLOOKUP('Données projet'!$B$13,Paramètres!$A$1:$I$89,3,0)*0.475*44/12</f>
        <v>2.5496865437348916E-15</v>
      </c>
      <c r="DI135" s="22">
        <f t="shared" si="123"/>
        <v>3.3484646482494695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2.8421709430404007E-14</v>
      </c>
      <c r="DP135" s="17">
        <f>DO135*VLOOKUP('Données projet'!$B$14,Paramètres!$A$1:$I$89,3,0)*VLOOKUP('Données projet'!$B$14,Paramètres!$A$1:$I$89,5,0)</f>
        <v>2.4829205358400945E-14</v>
      </c>
      <c r="DQ135" s="13">
        <f t="shared" si="151"/>
        <v>4.3867331143352915E-13</v>
      </c>
      <c r="DR135" s="20">
        <f t="shared" si="124"/>
        <v>8.0726688341261168E-13</v>
      </c>
      <c r="DS135" s="59">
        <f t="shared" si="125"/>
        <v>287.78297501695732</v>
      </c>
      <c r="DT135" s="59">
        <f ca="1">AVERAGE(OFFSET($DS$3,0,0,'Données projet'!$E$14+1,1))-AVERAGE(OFFSET($H$3,0,0,'Données projet'!$E$14+1,1))</f>
        <v>325.5873213944476</v>
      </c>
      <c r="DU135" s="59">
        <f t="shared" si="152"/>
        <v>347.9042278368363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0.38842075340789972</v>
      </c>
      <c r="EB135" s="21">
        <f>EXP(-LN(2)/25)*EB134+(1-EXP(-LN(2)/25))/(LN(2)/25)*Calculateur!DW135*Calculateur!DY135*VLOOKUP('Données projet'!$B$14,Paramètres!$A$1:$I$89,3,0)*0.475*44/12</f>
        <v>0.52171234070261729</v>
      </c>
      <c r="EC135" s="21">
        <f>EXP(-LN(2)/2)*EC134+(1-EXP(-LN(2)/2))/(LN(2)/2)*DW135*DZ135*VLOOKUP('Données projet'!$B$14,Paramètres!$A$1:$I$89,3,0)*0.475*44/12</f>
        <v>5.3067864042437406E-15</v>
      </c>
      <c r="ED135" s="22">
        <f t="shared" si="126"/>
        <v>0.91013309411052234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205.5480000480477</v>
      </c>
      <c r="EP135" s="59">
        <f t="shared" si="154"/>
        <v>229.86812144828366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0.97569668763967976</v>
      </c>
      <c r="EW135" s="21">
        <f>EXP(-LN(2)/25)*EW134+(1-EXP(-LN(2)/25))/(LN(2)/25)*Calculateur!ER135*Calculateur!ET135*VLOOKUP('Données projet'!$B$15,Paramètres!$A$1:$I$89,3,0)*0.475*44/12</f>
        <v>0.35610424207150471</v>
      </c>
      <c r="EX135" s="21">
        <f>EXP(-LN(2)/2)*EX134+(1-EXP(-LN(2)/2))/(LN(2)/2)*ER135*EU135*VLOOKUP('Données projet'!$B$15,Paramètres!$A$1:$I$89,3,0)*0.475*44/12</f>
        <v>1.3136030175571695E-15</v>
      </c>
      <c r="EY135" s="22">
        <f t="shared" si="129"/>
        <v>1.3318009297111857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3.05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23.237760000000048</v>
      </c>
      <c r="D136" s="11">
        <f t="shared" si="140"/>
        <v>7.4254249808659862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83.348113075542784</v>
      </c>
      <c r="H136" s="67">
        <f t="shared" si="110"/>
        <v>265.33838050834163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-1.9065282685915009E-13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542.23071537860039</v>
      </c>
      <c r="T136" s="59">
        <f t="shared" si="142"/>
        <v>667.26143680054633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0.95474432579399204</v>
      </c>
      <c r="AA136" s="21">
        <f>EXP(-LN(2)/25)*AA135+(1-EXP(-LN(2)/25))/(LN(2)/25)*Calculateur!V136*Calculateur!X136*VLOOKUP('Données projet'!$B$9,Paramètres!$A$1:$I$89,3,0)*0.475*44/12</f>
        <v>2.4507026192608343</v>
      </c>
      <c r="AB136" s="21">
        <f>EXP(-LN(2)/2)*AB135+(1-EXP(-LN(2)/2))/(LN(2)/2)*V136*Y136*VLOOKUP('Données projet'!$B$9,Paramètres!$A$1:$I$89,3,0)*0.475*44/12</f>
        <v>4.5275053512071498E-15</v>
      </c>
      <c r="AC136" s="22">
        <f t="shared" si="111"/>
        <v>3.4054469450548308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-1.2710188457276673E-13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427.83834708696861</v>
      </c>
      <c r="AO136" s="59">
        <f t="shared" si="144"/>
        <v>545.63950537101903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0.57284659547639605</v>
      </c>
      <c r="AV136" s="21">
        <f>EXP(-LN(2)/25)*AV135+(1-EXP(-LN(2)/25))/(LN(2)/25)*Calculateur!AQ136*Calculateur!AS136*VLOOKUP('Données projet'!$B$10,Paramètres!$A$1:$I$89,3,0)*0.475*44/12</f>
        <v>1.4159906183877018</v>
      </c>
      <c r="AW136" s="21">
        <f>EXP(-LN(2)/2)*AW135+(1-EXP(-LN(2)/2))/(LN(2)/2)*AQ136*AT136*VLOOKUP('Données projet'!$B$10,Paramètres!$A$1:$I$89,3,0)*0.475*44/12</f>
        <v>2.90537180058875E-15</v>
      </c>
      <c r="AX136" s="21">
        <f t="shared" si="114"/>
        <v>1.9888372138641006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-2.6602720026858149E-14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210.62109466714364</v>
      </c>
      <c r="BJ136" s="59">
        <f t="shared" si="146"/>
        <v>193.35729443770401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0.84891994503317714</v>
      </c>
      <c r="BQ136" s="21">
        <f>EXP(-LN(2)/25)*BQ135+(1-EXP(-LN(2)/25))/(LN(2)/25)*Calculateur!BL136*Calculateur!BN136*VLOOKUP('Données projet'!$B$11,Paramètres!$A$1:$I$89,3,0)*0.475*44/12</f>
        <v>0.4608001071960931</v>
      </c>
      <c r="BR136" s="21">
        <f>EXP(-LN(2)/2)*BR135+(1-EXP(-LN(2)/2))/(LN(2)/2)*BL136*BO136*VLOOKUP('Données projet'!$B$11,Paramètres!$A$1:$I$89,3,0)*0.475*44/12</f>
        <v>2.4857643761780107E-15</v>
      </c>
      <c r="BS136" s="22">
        <f t="shared" si="117"/>
        <v>1.3097200522292727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368.16165268258442</v>
      </c>
      <c r="CE136" s="59">
        <f t="shared" si="148"/>
        <v>291.32219253157041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0.97262304205524897</v>
      </c>
      <c r="CL136" s="21">
        <f>EXP(-LN(2)/25)*CL135+(1-EXP(-LN(2)/25))/(LN(2)/25)*Calculateur!CG136*Calculateur!CI136*VLOOKUP('Données projet'!$B$12,Paramètres!$A$1:$I$89,3,0)*0.475*44/12</f>
        <v>0.38206356162435184</v>
      </c>
      <c r="CM136" s="21">
        <f>EXP(-LN(2)/2)*CM135+(1-EXP(-LN(2)/2))/(LN(2)/2)*CG136*CJ136*VLOOKUP('Données projet'!$B$12,Paramètres!$A$1:$I$89,3,0)*0.475*44/12</f>
        <v>2.487916227733806E-15</v>
      </c>
      <c r="CN136" s="22">
        <f t="shared" si="120"/>
        <v>1.3546866036796033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1.1368683772161603E-13</v>
      </c>
      <c r="CU136" s="17">
        <f>CT136*VLOOKUP('Données projet'!$B$13,Paramètres!$A$1:$I$89,3,0)*VLOOKUP('Données projet'!$B$13,Paramètres!$A$1:$I$89,5,0)</f>
        <v>6.7984728957526396E-14</v>
      </c>
      <c r="CV136" s="13">
        <f t="shared" si="149"/>
        <v>1.0682447123141398E-12</v>
      </c>
      <c r="CW136" s="20">
        <f t="shared" si="121"/>
        <v>1.978932943548152E-12</v>
      </c>
      <c r="CX136" s="59">
        <f t="shared" si="122"/>
        <v>287.87926132500536</v>
      </c>
      <c r="CY136" s="59">
        <f ca="1">AVERAGE(OFFSET($CX$3,0,0,'Données projet'!$E$13+1,1))-AVERAGE(OFFSET($H$3,0,0,'Données projet'!$E$13+1,1))</f>
        <v>317.12995176362455</v>
      </c>
      <c r="CZ136" s="59">
        <f t="shared" si="150"/>
        <v>328.11301015275262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2.3479921619618098</v>
      </c>
      <c r="DG136" s="21">
        <f>EXP(-LN(2)/25)*DG135+(1-EXP(-LN(2)/25))/(LN(2)/25)*Calculateur!DB136*Calculateur!DD136*VLOOKUP('Données projet'!$B$13,Paramètres!$A$1:$I$89,3,0)*0.475*44/12</f>
        <v>0.92743511410729851</v>
      </c>
      <c r="DH136" s="21">
        <f>EXP(-LN(2)/2)*DH135+(1-EXP(-LN(2)/2))/(LN(2)/2)*DB136*DE136*VLOOKUP('Données projet'!$B$13,Paramètres!$A$1:$I$89,3,0)*0.475*44/12</f>
        <v>1.8029006449750326E-15</v>
      </c>
      <c r="DI136" s="22">
        <f t="shared" si="123"/>
        <v>3.2754272760691103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2.8421709430404007E-14</v>
      </c>
      <c r="DP136" s="17">
        <f>DO136*VLOOKUP('Données projet'!$B$14,Paramètres!$A$1:$I$89,3,0)*VLOOKUP('Données projet'!$B$14,Paramètres!$A$1:$I$89,5,0)</f>
        <v>2.4829205358400945E-14</v>
      </c>
      <c r="DQ136" s="13">
        <f t="shared" si="151"/>
        <v>4.3867331143352915E-13</v>
      </c>
      <c r="DR136" s="20">
        <f t="shared" si="124"/>
        <v>8.0726688341261168E-13</v>
      </c>
      <c r="DS136" s="59">
        <f t="shared" si="125"/>
        <v>287.87926132500417</v>
      </c>
      <c r="DT136" s="59">
        <f ca="1">AVERAGE(OFFSET($DS$3,0,0,'Données projet'!$E$14+1,1))-AVERAGE(OFFSET($H$3,0,0,'Données projet'!$E$14+1,1))</f>
        <v>325.5873213944476</v>
      </c>
      <c r="DU136" s="59">
        <f t="shared" si="152"/>
        <v>347.9042278368363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0.38080405934683714</v>
      </c>
      <c r="EB136" s="21">
        <f>EXP(-LN(2)/25)*EB135+(1-EXP(-LN(2)/25))/(LN(2)/25)*Calculateur!DW136*Calculateur!DY136*VLOOKUP('Données projet'!$B$14,Paramètres!$A$1:$I$89,3,0)*0.475*44/12</f>
        <v>0.50744608931044466</v>
      </c>
      <c r="EC136" s="21">
        <f>EXP(-LN(2)/2)*EC135+(1-EXP(-LN(2)/2))/(LN(2)/2)*DW136*DZ136*VLOOKUP('Données projet'!$B$14,Paramètres!$A$1:$I$89,3,0)*0.475*44/12</f>
        <v>3.752464652749324E-15</v>
      </c>
      <c r="ED136" s="22">
        <f t="shared" si="126"/>
        <v>0.88825014865728558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205.5480000480477</v>
      </c>
      <c r="EP136" s="59">
        <f t="shared" si="154"/>
        <v>229.86812144828366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0.95656387071128224</v>
      </c>
      <c r="EW136" s="21">
        <f>EXP(-LN(2)/25)*EW135+(1-EXP(-LN(2)/25))/(LN(2)/25)*Calculateur!ER136*Calculateur!ET136*VLOOKUP('Données projet'!$B$15,Paramètres!$A$1:$I$89,3,0)*0.475*44/12</f>
        <v>0.34636655284535123</v>
      </c>
      <c r="EX136" s="21">
        <f>EXP(-LN(2)/2)*EX135+(1-EXP(-LN(2)/2))/(LN(2)/2)*ER136*EU136*VLOOKUP('Données projet'!$B$15,Paramètres!$A$1:$I$89,3,0)*0.475*44/12</f>
        <v>9.2885760150178597E-16</v>
      </c>
      <c r="EY136" s="22">
        <f t="shared" si="129"/>
        <v>1.3029304235566344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3.05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23.412480000000048</v>
      </c>
      <c r="D137" s="11">
        <f t="shared" si="140"/>
        <v>7.4747350742065963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83.901506709619213</v>
      </c>
      <c r="H137" s="67">
        <f t="shared" si="110"/>
        <v>265.72856625424322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-1.9065282685915009E-13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542.23071537860039</v>
      </c>
      <c r="T137" s="59">
        <f t="shared" si="142"/>
        <v>667.26143680054633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0.93602237190170967</v>
      </c>
      <c r="AA137" s="21">
        <f>EXP(-LN(2)/25)*AA136+(1-EXP(-LN(2)/25))/(LN(2)/25)*Calculateur!V137*Calculateur!X137*VLOOKUP('Données projet'!$B$9,Paramètres!$A$1:$I$89,3,0)*0.475*44/12</f>
        <v>2.3836880272602974</v>
      </c>
      <c r="AB137" s="21">
        <f>EXP(-LN(2)/2)*AB136+(1-EXP(-LN(2)/2))/(LN(2)/2)*V137*Y137*VLOOKUP('Données projet'!$B$9,Paramètres!$A$1:$I$89,3,0)*0.475*44/12</f>
        <v>3.2014297356969571E-15</v>
      </c>
      <c r="AC137" s="22">
        <f t="shared" si="111"/>
        <v>3.3197103991620103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-1.2710188457276673E-13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427.83834708696861</v>
      </c>
      <c r="AO137" s="59">
        <f t="shared" si="144"/>
        <v>545.63950537101903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0.56161342314102658</v>
      </c>
      <c r="AV137" s="21">
        <f>EXP(-LN(2)/25)*AV136+(1-EXP(-LN(2)/25))/(LN(2)/25)*Calculateur!AQ137*Calculateur!AS137*VLOOKUP('Données projet'!$B$10,Paramètres!$A$1:$I$89,3,0)*0.475*44/12</f>
        <v>1.3772702804641797</v>
      </c>
      <c r="AW137" s="21">
        <f>EXP(-LN(2)/2)*AW136+(1-EXP(-LN(2)/2))/(LN(2)/2)*AQ137*AT137*VLOOKUP('Données projet'!$B$10,Paramètres!$A$1:$I$89,3,0)*0.475*44/12</f>
        <v>2.0544081020644748E-15</v>
      </c>
      <c r="AX137" s="21">
        <f t="shared" si="114"/>
        <v>1.9388837036052082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-2.6602720026858149E-14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210.62109466714364</v>
      </c>
      <c r="BJ137" s="59">
        <f t="shared" si="146"/>
        <v>193.35729443770401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0.83227314270111552</v>
      </c>
      <c r="BQ137" s="21">
        <f>EXP(-LN(2)/25)*BQ136+(1-EXP(-LN(2)/25))/(LN(2)/25)*Calculateur!BL137*Calculateur!BN137*VLOOKUP('Données projet'!$B$11,Paramètres!$A$1:$I$89,3,0)*0.475*44/12</f>
        <v>0.44819950403239145</v>
      </c>
      <c r="BR137" s="21">
        <f>EXP(-LN(2)/2)*BR136+(1-EXP(-LN(2)/2))/(LN(2)/2)*BL137*BO137*VLOOKUP('Données projet'!$B$11,Paramètres!$A$1:$I$89,3,0)*0.475*44/12</f>
        <v>1.7577008468274195E-15</v>
      </c>
      <c r="BS137" s="22">
        <f t="shared" si="117"/>
        <v>1.2804726467335088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368.16165268258442</v>
      </c>
      <c r="CE137" s="59">
        <f t="shared" si="148"/>
        <v>291.32219253157041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0.95355049744202347</v>
      </c>
      <c r="CL137" s="21">
        <f>EXP(-LN(2)/25)*CL136+(1-EXP(-LN(2)/25))/(LN(2)/25)*Calculateur!CG137*Calculateur!CI137*VLOOKUP('Données projet'!$B$12,Paramètres!$A$1:$I$89,3,0)*0.475*44/12</f>
        <v>0.37161601343988443</v>
      </c>
      <c r="CM137" s="21">
        <f>EXP(-LN(2)/2)*CM136+(1-EXP(-LN(2)/2))/(LN(2)/2)*CG137*CJ137*VLOOKUP('Données projet'!$B$12,Paramètres!$A$1:$I$89,3,0)*0.475*44/12</f>
        <v>1.7592224356546293E-15</v>
      </c>
      <c r="CN137" s="22">
        <f t="shared" si="120"/>
        <v>1.3251665108819097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1.1368683772161603E-13</v>
      </c>
      <c r="CU137" s="17">
        <f>CT137*VLOOKUP('Données projet'!$B$13,Paramètres!$A$1:$I$89,3,0)*VLOOKUP('Données projet'!$B$13,Paramètres!$A$1:$I$89,5,0)</f>
        <v>6.7984728957526396E-14</v>
      </c>
      <c r="CV137" s="13">
        <f t="shared" si="149"/>
        <v>1.0682447123141398E-12</v>
      </c>
      <c r="CW137" s="20">
        <f t="shared" si="121"/>
        <v>1.978932943548152E-12</v>
      </c>
      <c r="CX137" s="59">
        <f t="shared" si="122"/>
        <v>287.97387728087165</v>
      </c>
      <c r="CY137" s="59">
        <f ca="1">AVERAGE(OFFSET($CX$3,0,0,'Données projet'!$E$13+1,1))-AVERAGE(OFFSET($H$3,0,0,'Données projet'!$E$13+1,1))</f>
        <v>317.12995176362455</v>
      </c>
      <c r="CZ137" s="59">
        <f t="shared" si="150"/>
        <v>328.11301015275262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2.3019494677995462</v>
      </c>
      <c r="DG137" s="21">
        <f>EXP(-LN(2)/25)*DG136+(1-EXP(-LN(2)/25))/(LN(2)/25)*Calculateur!DB137*Calculateur!DD137*VLOOKUP('Données projet'!$B$13,Paramètres!$A$1:$I$89,3,0)*0.475*44/12</f>
        <v>0.90207435214034148</v>
      </c>
      <c r="DH137" s="21">
        <f>EXP(-LN(2)/2)*DH136+(1-EXP(-LN(2)/2))/(LN(2)/2)*DB137*DE137*VLOOKUP('Données projet'!$B$13,Paramètres!$A$1:$I$89,3,0)*0.475*44/12</f>
        <v>1.2748432718674458E-15</v>
      </c>
      <c r="DI137" s="22">
        <f t="shared" si="123"/>
        <v>3.2040238199398892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2.8421709430404007E-14</v>
      </c>
      <c r="DP137" s="17">
        <f>DO137*VLOOKUP('Données projet'!$B$14,Paramètres!$A$1:$I$89,3,0)*VLOOKUP('Données projet'!$B$14,Paramètres!$A$1:$I$89,5,0)</f>
        <v>2.4829205358400945E-14</v>
      </c>
      <c r="DQ137" s="13">
        <f t="shared" si="151"/>
        <v>4.3867331143352915E-13</v>
      </c>
      <c r="DR137" s="20">
        <f t="shared" si="124"/>
        <v>8.0726688341261168E-13</v>
      </c>
      <c r="DS137" s="59">
        <f t="shared" si="125"/>
        <v>287.97387728087045</v>
      </c>
      <c r="DT137" s="59">
        <f ca="1">AVERAGE(OFFSET($DS$3,0,0,'Données projet'!$E$14+1,1))-AVERAGE(OFFSET($H$3,0,0,'Données projet'!$E$14+1,1))</f>
        <v>325.5873213944476</v>
      </c>
      <c r="DU137" s="59">
        <f t="shared" si="152"/>
        <v>347.9042278368363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0.37333672401058737</v>
      </c>
      <c r="EB137" s="21">
        <f>EXP(-LN(2)/25)*EB136+(1-EXP(-LN(2)/25))/(LN(2)/25)*Calculateur!DW137*Calculateur!DY137*VLOOKUP('Données projet'!$B$14,Paramètres!$A$1:$I$89,3,0)*0.475*44/12</f>
        <v>0.4935699493128205</v>
      </c>
      <c r="EC137" s="21">
        <f>EXP(-LN(2)/2)*EC136+(1-EXP(-LN(2)/2))/(LN(2)/2)*DW137*DZ137*VLOOKUP('Données projet'!$B$14,Paramètres!$A$1:$I$89,3,0)*0.475*44/12</f>
        <v>2.6533932021218703E-15</v>
      </c>
      <c r="ED137" s="22">
        <f t="shared" si="126"/>
        <v>0.86690667332341054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205.5480000480477</v>
      </c>
      <c r="EP137" s="59">
        <f t="shared" si="154"/>
        <v>229.86812144828366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0.93780623665298457</v>
      </c>
      <c r="EW137" s="21">
        <f>EXP(-LN(2)/25)*EW136+(1-EXP(-LN(2)/25))/(LN(2)/25)*Calculateur!ER137*Calculateur!ET137*VLOOKUP('Données projet'!$B$15,Paramètres!$A$1:$I$89,3,0)*0.475*44/12</f>
        <v>0.33689514124316972</v>
      </c>
      <c r="EX137" s="21">
        <f>EXP(-LN(2)/2)*EX136+(1-EXP(-LN(2)/2))/(LN(2)/2)*ER137*EU137*VLOOKUP('Données projet'!$B$15,Paramètres!$A$1:$I$89,3,0)*0.475*44/12</f>
        <v>6.5680150877858474E-16</v>
      </c>
      <c r="EY137" s="22">
        <f t="shared" si="129"/>
        <v>1.2747013778961549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3.05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23.587200000000049</v>
      </c>
      <c r="D138" s="11">
        <f t="shared" si="140"/>
        <v>7.5240023521815136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84.45479458223096</v>
      </c>
      <c r="H138" s="67">
        <f t="shared" si="110"/>
        <v>266.1186774300495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-1.9065282685915009E-13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542.23071537860039</v>
      </c>
      <c r="T138" s="59">
        <f t="shared" si="142"/>
        <v>667.26143680054633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0.91766754410599061</v>
      </c>
      <c r="AA138" s="21">
        <f>EXP(-LN(2)/25)*AA137+(1-EXP(-LN(2)/25))/(LN(2)/25)*Calculateur!V138*Calculateur!X138*VLOOKUP('Données projet'!$B$9,Paramètres!$A$1:$I$89,3,0)*0.475*44/12</f>
        <v>2.318505952802159</v>
      </c>
      <c r="AB138" s="21">
        <f>EXP(-LN(2)/2)*AB137+(1-EXP(-LN(2)/2))/(LN(2)/2)*V138*Y138*VLOOKUP('Données projet'!$B$9,Paramètres!$A$1:$I$89,3,0)*0.475*44/12</f>
        <v>2.2637526756035749E-15</v>
      </c>
      <c r="AC138" s="22">
        <f t="shared" si="111"/>
        <v>3.2361734969081519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-1.2710188457276673E-13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427.83834708696861</v>
      </c>
      <c r="AO138" s="59">
        <f t="shared" si="144"/>
        <v>545.63950537101903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0.55060052646359514</v>
      </c>
      <c r="AV138" s="21">
        <f>EXP(-LN(2)/25)*AV137+(1-EXP(-LN(2)/25))/(LN(2)/25)*Calculateur!AQ138*Calculateur!AS138*VLOOKUP('Données projet'!$B$10,Paramètres!$A$1:$I$89,3,0)*0.475*44/12</f>
        <v>1.3396087522173905</v>
      </c>
      <c r="AW138" s="21">
        <f>EXP(-LN(2)/2)*AW137+(1-EXP(-LN(2)/2))/(LN(2)/2)*AQ138*AT138*VLOOKUP('Données projet'!$B$10,Paramètres!$A$1:$I$89,3,0)*0.475*44/12</f>
        <v>1.452685900294375E-15</v>
      </c>
      <c r="AX138" s="21">
        <f t="shared" si="114"/>
        <v>1.8902092786809872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-2.6602720026858149E-14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210.62109466714364</v>
      </c>
      <c r="BJ138" s="59">
        <f t="shared" si="146"/>
        <v>193.35729443770401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0.81595277400923871</v>
      </c>
      <c r="BQ138" s="21">
        <f>EXP(-LN(2)/25)*BQ137+(1-EXP(-LN(2)/25))/(LN(2)/25)*Calculateur!BL138*Calculateur!BN138*VLOOKUP('Données projet'!$B$11,Paramètres!$A$1:$I$89,3,0)*0.475*44/12</f>
        <v>0.43594346502483816</v>
      </c>
      <c r="BR138" s="21">
        <f>EXP(-LN(2)/2)*BR137+(1-EXP(-LN(2)/2))/(LN(2)/2)*BL138*BO138*VLOOKUP('Données projet'!$B$11,Paramètres!$A$1:$I$89,3,0)*0.475*44/12</f>
        <v>1.2428821880890056E-15</v>
      </c>
      <c r="BS138" s="22">
        <f t="shared" si="117"/>
        <v>1.2518962390340782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368.16165268258442</v>
      </c>
      <c r="CE138" s="59">
        <f t="shared" si="148"/>
        <v>291.32219253157041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0.93485195379555974</v>
      </c>
      <c r="CL138" s="21">
        <f>EXP(-LN(2)/25)*CL137+(1-EXP(-LN(2)/25))/(LN(2)/25)*Calculateur!CG138*Calculateur!CI138*VLOOKUP('Données projet'!$B$12,Paramètres!$A$1:$I$89,3,0)*0.475*44/12</f>
        <v>0.36145415400993397</v>
      </c>
      <c r="CM138" s="21">
        <f>EXP(-LN(2)/2)*CM137+(1-EXP(-LN(2)/2))/(LN(2)/2)*CG138*CJ138*VLOOKUP('Données projet'!$B$12,Paramètres!$A$1:$I$89,3,0)*0.475*44/12</f>
        <v>1.2439581138669032E-15</v>
      </c>
      <c r="CN138" s="22">
        <f t="shared" si="120"/>
        <v>1.2963061078054952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1.1368683772161603E-13</v>
      </c>
      <c r="CU138" s="17">
        <f>CT138*VLOOKUP('Données projet'!$B$13,Paramètres!$A$1:$I$89,3,0)*VLOOKUP('Données projet'!$B$13,Paramètres!$A$1:$I$89,5,0)</f>
        <v>6.7984728957526396E-14</v>
      </c>
      <c r="CV138" s="13">
        <f t="shared" si="149"/>
        <v>1.0682447123141398E-12</v>
      </c>
      <c r="CW138" s="20">
        <f t="shared" si="121"/>
        <v>1.978932943548152E-12</v>
      </c>
      <c r="CX138" s="59">
        <f t="shared" si="122"/>
        <v>288.06685186143318</v>
      </c>
      <c r="CY138" s="59">
        <f ca="1">AVERAGE(OFFSET($CX$3,0,0,'Données projet'!$E$13+1,1))-AVERAGE(OFFSET($H$3,0,0,'Données projet'!$E$13+1,1))</f>
        <v>317.12995176362455</v>
      </c>
      <c r="CZ138" s="59">
        <f t="shared" si="150"/>
        <v>328.11301015275262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2.2568096427865338</v>
      </c>
      <c r="DG138" s="21">
        <f>EXP(-LN(2)/25)*DG137+(1-EXP(-LN(2)/25))/(LN(2)/25)*Calculateur!DB138*Calculateur!DD138*VLOOKUP('Données projet'!$B$13,Paramètres!$A$1:$I$89,3,0)*0.475*44/12</f>
        <v>0.87740708154303537</v>
      </c>
      <c r="DH138" s="21">
        <f>EXP(-LN(2)/2)*DH137+(1-EXP(-LN(2)/2))/(LN(2)/2)*DB138*DE138*VLOOKUP('Données projet'!$B$13,Paramètres!$A$1:$I$89,3,0)*0.475*44/12</f>
        <v>9.014503224875163E-16</v>
      </c>
      <c r="DI138" s="22">
        <f t="shared" si="123"/>
        <v>3.13421672432957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2.8421709430404007E-14</v>
      </c>
      <c r="DP138" s="17">
        <f>DO138*VLOOKUP('Données projet'!$B$14,Paramètres!$A$1:$I$89,3,0)*VLOOKUP('Données projet'!$B$14,Paramètres!$A$1:$I$89,5,0)</f>
        <v>2.4829205358400945E-14</v>
      </c>
      <c r="DQ138" s="13">
        <f t="shared" si="151"/>
        <v>4.3867331143352915E-13</v>
      </c>
      <c r="DR138" s="20">
        <f t="shared" si="124"/>
        <v>8.0726688341261168E-13</v>
      </c>
      <c r="DS138" s="59">
        <f t="shared" si="125"/>
        <v>288.06685186143199</v>
      </c>
      <c r="DT138" s="59">
        <f ca="1">AVERAGE(OFFSET($DS$3,0,0,'Données projet'!$E$14+1,1))-AVERAGE(OFFSET($H$3,0,0,'Données projet'!$E$14+1,1))</f>
        <v>325.5873213944476</v>
      </c>
      <c r="DU138" s="59">
        <f t="shared" si="152"/>
        <v>347.9042278368363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0.36601581856565663</v>
      </c>
      <c r="EB138" s="21">
        <f>EXP(-LN(2)/25)*EB137+(1-EXP(-LN(2)/25))/(LN(2)/25)*Calculateur!DW138*Calculateur!DY138*VLOOKUP('Données projet'!$B$14,Paramètres!$A$1:$I$89,3,0)*0.475*44/12</f>
        <v>0.48007325309314586</v>
      </c>
      <c r="EC138" s="21">
        <f>EXP(-LN(2)/2)*EC137+(1-EXP(-LN(2)/2))/(LN(2)/2)*DW138*DZ138*VLOOKUP('Données projet'!$B$14,Paramètres!$A$1:$I$89,3,0)*0.475*44/12</f>
        <v>1.876232326374662E-15</v>
      </c>
      <c r="ED138" s="22">
        <f t="shared" si="126"/>
        <v>0.84608907165880443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205.5480000480477</v>
      </c>
      <c r="EP138" s="59">
        <f t="shared" si="154"/>
        <v>229.86812144828366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0.91941642835754311</v>
      </c>
      <c r="EW138" s="21">
        <f>EXP(-LN(2)/25)*EW137+(1-EXP(-LN(2)/25))/(LN(2)/25)*Calculateur!ER138*Calculateur!ET138*VLOOKUP('Données projet'!$B$15,Paramètres!$A$1:$I$89,3,0)*0.475*44/12</f>
        <v>0.32768272588932973</v>
      </c>
      <c r="EX138" s="21">
        <f>EXP(-LN(2)/2)*EX137+(1-EXP(-LN(2)/2))/(LN(2)/2)*ER138*EU138*VLOOKUP('Données projet'!$B$15,Paramètres!$A$1:$I$89,3,0)*0.475*44/12</f>
        <v>4.6442880075089298E-16</v>
      </c>
      <c r="EY138" s="22">
        <f t="shared" si="129"/>
        <v>1.2470991542468732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3.05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23.76192000000005</v>
      </c>
      <c r="D139" s="11">
        <f t="shared" si="140"/>
        <v>7.5732271687118509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85.007977567625204</v>
      </c>
      <c r="H139" s="67">
        <f t="shared" si="110"/>
        <v>266.50871465217318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-1.9065282685915009E-13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542.23071537860039</v>
      </c>
      <c r="T139" s="59">
        <f t="shared" si="142"/>
        <v>667.26143680054633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0.89967264328800611</v>
      </c>
      <c r="AA139" s="21">
        <f>EXP(-LN(2)/25)*AA138+(1-EXP(-LN(2)/25))/(LN(2)/25)*Calculateur!V139*Calculateur!X139*VLOOKUP('Données projet'!$B$9,Paramètres!$A$1:$I$89,3,0)*0.475*44/12</f>
        <v>2.2551062855978548</v>
      </c>
      <c r="AB139" s="21">
        <f>EXP(-LN(2)/2)*AB138+(1-EXP(-LN(2)/2))/(LN(2)/2)*V139*Y139*VLOOKUP('Données projet'!$B$9,Paramètres!$A$1:$I$89,3,0)*0.475*44/12</f>
        <v>1.6007148678484786E-15</v>
      </c>
      <c r="AC139" s="22">
        <f t="shared" si="111"/>
        <v>3.1547789288858628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-1.2710188457276673E-13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427.83834708696861</v>
      </c>
      <c r="AO139" s="59">
        <f t="shared" si="144"/>
        <v>545.63950537101903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0.53980358597280442</v>
      </c>
      <c r="AV139" s="21">
        <f>EXP(-LN(2)/25)*AV138+(1-EXP(-LN(2)/25))/(LN(2)/25)*Calculateur!AQ139*Calculateur!AS139*VLOOKUP('Données projet'!$B$10,Paramètres!$A$1:$I$89,3,0)*0.475*44/12</f>
        <v>1.3029770804410434</v>
      </c>
      <c r="AW139" s="21">
        <f>EXP(-LN(2)/2)*AW138+(1-EXP(-LN(2)/2))/(LN(2)/2)*AQ139*AT139*VLOOKUP('Données projet'!$B$10,Paramètres!$A$1:$I$89,3,0)*0.475*44/12</f>
        <v>1.0272040510322374E-15</v>
      </c>
      <c r="AX139" s="21">
        <f t="shared" si="114"/>
        <v>1.8427806664138491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-2.6602720026858149E-14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210.62109466714364</v>
      </c>
      <c r="BJ139" s="59">
        <f t="shared" si="146"/>
        <v>193.35729443770401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0.79995243779296765</v>
      </c>
      <c r="BQ139" s="21">
        <f>EXP(-LN(2)/25)*BQ138+(1-EXP(-LN(2)/25))/(LN(2)/25)*Calculateur!BL139*Calculateur!BN139*VLOOKUP('Données projet'!$B$11,Paramètres!$A$1:$I$89,3,0)*0.475*44/12</f>
        <v>0.4240225680484635</v>
      </c>
      <c r="BR139" s="21">
        <f>EXP(-LN(2)/2)*BR138+(1-EXP(-LN(2)/2))/(LN(2)/2)*BL139*BO139*VLOOKUP('Données projet'!$B$11,Paramètres!$A$1:$I$89,3,0)*0.475*44/12</f>
        <v>8.7885042341370987E-16</v>
      </c>
      <c r="BS139" s="22">
        <f t="shared" si="117"/>
        <v>1.223975005841432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368.16165268258442</v>
      </c>
      <c r="CE139" s="59">
        <f t="shared" si="148"/>
        <v>291.32219253157041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0.91652007718501771</v>
      </c>
      <c r="CL139" s="21">
        <f>EXP(-LN(2)/25)*CL138+(1-EXP(-LN(2)/25))/(LN(2)/25)*Calculateur!CG139*Calculateur!CI139*VLOOKUP('Données projet'!$B$12,Paramètres!$A$1:$I$89,3,0)*0.475*44/12</f>
        <v>0.3515701711604845</v>
      </c>
      <c r="CM139" s="21">
        <f>EXP(-LN(2)/2)*CM138+(1-EXP(-LN(2)/2))/(LN(2)/2)*CG139*CJ139*VLOOKUP('Données projet'!$B$12,Paramètres!$A$1:$I$89,3,0)*0.475*44/12</f>
        <v>8.7961121782731475E-16</v>
      </c>
      <c r="CN139" s="22">
        <f t="shared" si="120"/>
        <v>1.2680902483455032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1.1368683772161603E-13</v>
      </c>
      <c r="CU139" s="17">
        <f>CT139*VLOOKUP('Données projet'!$B$13,Paramètres!$A$1:$I$89,3,0)*VLOOKUP('Données projet'!$B$13,Paramètres!$A$1:$I$89,5,0)</f>
        <v>6.7984728957526396E-14</v>
      </c>
      <c r="CV139" s="13">
        <f t="shared" si="149"/>
        <v>1.0682447123141398E-12</v>
      </c>
      <c r="CW139" s="20">
        <f t="shared" si="121"/>
        <v>1.978932943548152E-12</v>
      </c>
      <c r="CX139" s="59">
        <f t="shared" si="122"/>
        <v>288.158213540882</v>
      </c>
      <c r="CY139" s="59">
        <f ca="1">AVERAGE(OFFSET($CX$3,0,0,'Données projet'!$E$13+1,1))-AVERAGE(OFFSET($H$3,0,0,'Données projet'!$E$13+1,1))</f>
        <v>317.12995176362455</v>
      </c>
      <c r="CZ139" s="59">
        <f t="shared" si="150"/>
        <v>328.11301015275262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2.2125549822094523</v>
      </c>
      <c r="DG139" s="21">
        <f>EXP(-LN(2)/25)*DG138+(1-EXP(-LN(2)/25))/(LN(2)/25)*Calculateur!DB139*Calculateur!DD139*VLOOKUP('Données projet'!$B$13,Paramètres!$A$1:$I$89,3,0)*0.475*44/12</f>
        <v>0.85341433875740802</v>
      </c>
      <c r="DH139" s="21">
        <f>EXP(-LN(2)/2)*DH138+(1-EXP(-LN(2)/2))/(LN(2)/2)*DB139*DE139*VLOOKUP('Données projet'!$B$13,Paramètres!$A$1:$I$89,3,0)*0.475*44/12</f>
        <v>6.374216359337229E-16</v>
      </c>
      <c r="DI139" s="22">
        <f t="shared" si="123"/>
        <v>3.0659693209668606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2.8421709430404007E-14</v>
      </c>
      <c r="DP139" s="17">
        <f>DO139*VLOOKUP('Données projet'!$B$14,Paramètres!$A$1:$I$89,3,0)*VLOOKUP('Données projet'!$B$14,Paramètres!$A$1:$I$89,5,0)</f>
        <v>2.4829205358400945E-14</v>
      </c>
      <c r="DQ139" s="13">
        <f t="shared" si="151"/>
        <v>4.3867331143352915E-13</v>
      </c>
      <c r="DR139" s="20">
        <f t="shared" si="124"/>
        <v>8.0726688341261168E-13</v>
      </c>
      <c r="DS139" s="59">
        <f t="shared" si="125"/>
        <v>288.15821354088081</v>
      </c>
      <c r="DT139" s="59">
        <f ca="1">AVERAGE(OFFSET($DS$3,0,0,'Données projet'!$E$14+1,1))-AVERAGE(OFFSET($H$3,0,0,'Données projet'!$E$14+1,1))</f>
        <v>325.5873213944476</v>
      </c>
      <c r="DU139" s="59">
        <f t="shared" si="152"/>
        <v>347.9042278368363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0.35883847161118954</v>
      </c>
      <c r="EB139" s="21">
        <f>EXP(-LN(2)/25)*EB138+(1-EXP(-LN(2)/25))/(LN(2)/25)*Calculateur!DW139*Calculateur!DY139*VLOOKUP('Données projet'!$B$14,Paramètres!$A$1:$I$89,3,0)*0.475*44/12</f>
        <v>0.46694562474135864</v>
      </c>
      <c r="EC139" s="21">
        <f>EXP(-LN(2)/2)*EC138+(1-EXP(-LN(2)/2))/(LN(2)/2)*DW139*DZ139*VLOOKUP('Données projet'!$B$14,Paramètres!$A$1:$I$89,3,0)*0.475*44/12</f>
        <v>1.3266966010609351E-15</v>
      </c>
      <c r="ED139" s="22">
        <f t="shared" si="126"/>
        <v>0.82578409635254957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205.5480000480477</v>
      </c>
      <c r="EP139" s="59">
        <f t="shared" si="154"/>
        <v>229.86812144828366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0.90138723298609968</v>
      </c>
      <c r="EW139" s="21">
        <f>EXP(-LN(2)/25)*EW138+(1-EXP(-LN(2)/25))/(LN(2)/25)*Calculateur!ER139*Calculateur!ET139*VLOOKUP('Données projet'!$B$15,Paramètres!$A$1:$I$89,3,0)*0.475*44/12</f>
        <v>0.31872222451780036</v>
      </c>
      <c r="EX139" s="21">
        <f>EXP(-LN(2)/2)*EX138+(1-EXP(-LN(2)/2))/(LN(2)/2)*ER139*EU139*VLOOKUP('Données projet'!$B$15,Paramètres!$A$1:$I$89,3,0)*0.475*44/12</f>
        <v>3.2840075438929237E-16</v>
      </c>
      <c r="EY139" s="22">
        <f t="shared" si="129"/>
        <v>1.2201094575039002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3.05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23.93664000000005</v>
      </c>
      <c r="D140" s="11">
        <f t="shared" si="140"/>
        <v>7.6224098722132947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85.561056526449818</v>
      </c>
      <c r="H140" s="67">
        <f t="shared" si="110"/>
        <v>266.89867852743822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-1.9065282685915009E-13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542.23071537860039</v>
      </c>
      <c r="T140" s="59">
        <f t="shared" si="142"/>
        <v>667.26143680054633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0.88203061149925654</v>
      </c>
      <c r="AA140" s="21">
        <f>EXP(-LN(2)/25)*AA139+(1-EXP(-LN(2)/25))/(LN(2)/25)*Calculateur!V140*Calculateur!X140*VLOOKUP('Données projet'!$B$9,Paramètres!$A$1:$I$89,3,0)*0.475*44/12</f>
        <v>2.1934402856272959</v>
      </c>
      <c r="AB140" s="21">
        <f>EXP(-LN(2)/2)*AB139+(1-EXP(-LN(2)/2))/(LN(2)/2)*V140*Y140*VLOOKUP('Données projet'!$B$9,Paramètres!$A$1:$I$89,3,0)*0.475*44/12</f>
        <v>1.1318763378017874E-15</v>
      </c>
      <c r="AC140" s="22">
        <f t="shared" si="111"/>
        <v>3.0754708971265536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-1.2710188457276673E-13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427.83834708696861</v>
      </c>
      <c r="AO140" s="59">
        <f t="shared" si="144"/>
        <v>545.63950537101903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0.5292183668995547</v>
      </c>
      <c r="AV140" s="21">
        <f>EXP(-LN(2)/25)*AV139+(1-EXP(-LN(2)/25))/(LN(2)/25)*Calculateur!AQ140*Calculateur!AS140*VLOOKUP('Données projet'!$B$10,Paramètres!$A$1:$I$89,3,0)*0.475*44/12</f>
        <v>1.2673471036557964</v>
      </c>
      <c r="AW140" s="21">
        <f>EXP(-LN(2)/2)*AW139+(1-EXP(-LN(2)/2))/(LN(2)/2)*AQ140*AT140*VLOOKUP('Données projet'!$B$10,Paramètres!$A$1:$I$89,3,0)*0.475*44/12</f>
        <v>7.2634295014718749E-16</v>
      </c>
      <c r="AX140" s="21">
        <f t="shared" si="114"/>
        <v>1.7965654705553518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-2.6602720026858149E-14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210.62109466714364</v>
      </c>
      <c r="BJ140" s="59">
        <f t="shared" si="146"/>
        <v>193.35729443770401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0.78426585841065621</v>
      </c>
      <c r="BQ140" s="21">
        <f>EXP(-LN(2)/25)*BQ139+(1-EXP(-LN(2)/25))/(LN(2)/25)*Calculateur!BL140*Calculateur!BN140*VLOOKUP('Données projet'!$B$11,Paramètres!$A$1:$I$89,3,0)*0.475*44/12</f>
        <v>0.41242764862680054</v>
      </c>
      <c r="BR140" s="21">
        <f>EXP(-LN(2)/2)*BR139+(1-EXP(-LN(2)/2))/(LN(2)/2)*BL140*BO140*VLOOKUP('Données projet'!$B$11,Paramètres!$A$1:$I$89,3,0)*0.475*44/12</f>
        <v>6.2144109404450287E-16</v>
      </c>
      <c r="BS140" s="22">
        <f t="shared" si="117"/>
        <v>1.1966935070374574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368.16165268258442</v>
      </c>
      <c r="CE140" s="59">
        <f t="shared" si="148"/>
        <v>291.32219253157041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0.89854767749346776</v>
      </c>
      <c r="CL140" s="21">
        <f>EXP(-LN(2)/25)*CL139+(1-EXP(-LN(2)/25))/(LN(2)/25)*Calculateur!CG140*Calculateur!CI140*VLOOKUP('Données projet'!$B$12,Paramètres!$A$1:$I$89,3,0)*0.475*44/12</f>
        <v>0.3419564663418293</v>
      </c>
      <c r="CM140" s="21">
        <f>EXP(-LN(2)/2)*CM139+(1-EXP(-LN(2)/2))/(LN(2)/2)*CG140*CJ140*VLOOKUP('Données projet'!$B$12,Paramètres!$A$1:$I$89,3,0)*0.475*44/12</f>
        <v>6.2197905693345171E-16</v>
      </c>
      <c r="CN140" s="22">
        <f t="shared" si="120"/>
        <v>1.2405041438352977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1.1368683772161603E-13</v>
      </c>
      <c r="CU140" s="17">
        <f>CT140*VLOOKUP('Données projet'!$B$13,Paramètres!$A$1:$I$89,3,0)*VLOOKUP('Données projet'!$B$13,Paramètres!$A$1:$I$89,5,0)</f>
        <v>6.7984728957526396E-14</v>
      </c>
      <c r="CV140" s="13">
        <f t="shared" si="149"/>
        <v>1.0682447123141398E-12</v>
      </c>
      <c r="CW140" s="20">
        <f t="shared" si="121"/>
        <v>1.978932943548152E-12</v>
      </c>
      <c r="CX140" s="59">
        <f t="shared" si="122"/>
        <v>288.24799029944643</v>
      </c>
      <c r="CY140" s="59">
        <f ca="1">AVERAGE(OFFSET($CX$3,0,0,'Données projet'!$E$13+1,1))-AVERAGE(OFFSET($H$3,0,0,'Données projet'!$E$13+1,1))</f>
        <v>317.12995176362455</v>
      </c>
      <c r="CZ140" s="59">
        <f t="shared" si="150"/>
        <v>328.11301015275262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2.1691681285336095</v>
      </c>
      <c r="DG140" s="21">
        <f>EXP(-LN(2)/25)*DG139+(1-EXP(-LN(2)/25))/(LN(2)/25)*Calculateur!DB140*Calculateur!DD140*VLOOKUP('Données projet'!$B$13,Paramètres!$A$1:$I$89,3,0)*0.475*44/12</f>
        <v>0.83007767878497718</v>
      </c>
      <c r="DH140" s="21">
        <f>EXP(-LN(2)/2)*DH139+(1-EXP(-LN(2)/2))/(LN(2)/2)*DB140*DE140*VLOOKUP('Données projet'!$B$13,Paramètres!$A$1:$I$89,3,0)*0.475*44/12</f>
        <v>4.5072516124375815E-16</v>
      </c>
      <c r="DI140" s="22">
        <f t="shared" si="123"/>
        <v>2.9992458073185873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2.8421709430404007E-14</v>
      </c>
      <c r="DP140" s="17">
        <f>DO140*VLOOKUP('Données projet'!$B$14,Paramètres!$A$1:$I$89,3,0)*VLOOKUP('Données projet'!$B$14,Paramètres!$A$1:$I$89,5,0)</f>
        <v>2.4829205358400945E-14</v>
      </c>
      <c r="DQ140" s="13">
        <f t="shared" si="151"/>
        <v>4.3867331143352915E-13</v>
      </c>
      <c r="DR140" s="20">
        <f t="shared" si="124"/>
        <v>8.0726688341261168E-13</v>
      </c>
      <c r="DS140" s="59">
        <f t="shared" si="125"/>
        <v>288.24799029944523</v>
      </c>
      <c r="DT140" s="59">
        <f ca="1">AVERAGE(OFFSET($DS$3,0,0,'Données projet'!$E$14+1,1))-AVERAGE(OFFSET($H$3,0,0,'Données projet'!$E$14+1,1))</f>
        <v>325.5873213944476</v>
      </c>
      <c r="DU140" s="59">
        <f t="shared" si="152"/>
        <v>347.9042278368363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0.35180186805275021</v>
      </c>
      <c r="EB140" s="21">
        <f>EXP(-LN(2)/25)*EB139+(1-EXP(-LN(2)/25))/(LN(2)/25)*Calculateur!DW140*Calculateur!DY140*VLOOKUP('Données projet'!$B$14,Paramètres!$A$1:$I$89,3,0)*0.475*44/12</f>
        <v>0.45417697207720298</v>
      </c>
      <c r="EC140" s="21">
        <f>EXP(-LN(2)/2)*EC139+(1-EXP(-LN(2)/2))/(LN(2)/2)*DW140*DZ140*VLOOKUP('Données projet'!$B$14,Paramètres!$A$1:$I$89,3,0)*0.475*44/12</f>
        <v>9.38116163187331E-16</v>
      </c>
      <c r="ED140" s="22">
        <f t="shared" si="126"/>
        <v>0.80597884012995413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205.5480000480477</v>
      </c>
      <c r="EP140" s="59">
        <f t="shared" si="154"/>
        <v>229.86812144828366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0.88371157913916698</v>
      </c>
      <c r="EW140" s="21">
        <f>EXP(-LN(2)/25)*EW139+(1-EXP(-LN(2)/25))/(LN(2)/25)*Calculateur!ER140*Calculateur!ET140*VLOOKUP('Données projet'!$B$15,Paramètres!$A$1:$I$89,3,0)*0.475*44/12</f>
        <v>0.31000674852748777</v>
      </c>
      <c r="EX140" s="21">
        <f>EXP(-LN(2)/2)*EX139+(1-EXP(-LN(2)/2))/(LN(2)/2)*ER140*EU140*VLOOKUP('Données projet'!$B$15,Paramètres!$A$1:$I$89,3,0)*0.475*44/12</f>
        <v>2.3221440037544649E-16</v>
      </c>
      <c r="EY140" s="22">
        <f t="shared" si="129"/>
        <v>1.193718327666655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3.05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24.111360000000051</v>
      </c>
      <c r="D141" s="11">
        <f t="shared" si="140"/>
        <v>7.6715508057212833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86.114032306062541</v>
      </c>
      <c r="H141" s="67">
        <f t="shared" si="110"/>
        <v>267.28856965329794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-1.9065282685915009E-13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542.23071537860039</v>
      </c>
      <c r="T141" s="59">
        <f t="shared" si="142"/>
        <v>667.26143680054633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0.86473452919330751</v>
      </c>
      <c r="AA141" s="21">
        <f>EXP(-LN(2)/25)*AA140+(1-EXP(-LN(2)/25))/(LN(2)/25)*Calculateur!V141*Calculateur!X141*VLOOKUP('Données projet'!$B$9,Paramètres!$A$1:$I$89,3,0)*0.475*44/12</f>
        <v>2.1334605456688061</v>
      </c>
      <c r="AB141" s="21">
        <f>EXP(-LN(2)/2)*AB140+(1-EXP(-LN(2)/2))/(LN(2)/2)*V141*Y141*VLOOKUP('Données projet'!$B$9,Paramètres!$A$1:$I$89,3,0)*0.475*44/12</f>
        <v>8.0035743392423928E-16</v>
      </c>
      <c r="AC141" s="22">
        <f t="shared" si="111"/>
        <v>2.9981950748621147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-1.2710188457276673E-13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427.83834708696861</v>
      </c>
      <c r="AO141" s="59">
        <f t="shared" si="144"/>
        <v>545.63950537101903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0.51884071751598526</v>
      </c>
      <c r="AV141" s="21">
        <f>EXP(-LN(2)/25)*AV140+(1-EXP(-LN(2)/25))/(LN(2)/25)*Calculateur!AQ141*Calculateur!AS141*VLOOKUP('Données projet'!$B$10,Paramètres!$A$1:$I$89,3,0)*0.475*44/12</f>
        <v>1.232691430459441</v>
      </c>
      <c r="AW141" s="21">
        <f>EXP(-LN(2)/2)*AW140+(1-EXP(-LN(2)/2))/(LN(2)/2)*AQ141*AT141*VLOOKUP('Données projet'!$B$10,Paramètres!$A$1:$I$89,3,0)*0.475*44/12</f>
        <v>5.1360202551611869E-16</v>
      </c>
      <c r="AX141" s="21">
        <f t="shared" si="114"/>
        <v>1.7515321479754267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-2.6602720026858149E-14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210.62109466714364</v>
      </c>
      <c r="BJ141" s="59">
        <f t="shared" si="146"/>
        <v>193.35729443770401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0.76888688328216326</v>
      </c>
      <c r="BQ141" s="21">
        <f>EXP(-LN(2)/25)*BQ140+(1-EXP(-LN(2)/25))/(LN(2)/25)*Calculateur!BL141*Calculateur!BN141*VLOOKUP('Données projet'!$B$11,Paramètres!$A$1:$I$89,3,0)*0.475*44/12</f>
        <v>0.40114979288647323</v>
      </c>
      <c r="BR141" s="21">
        <f>EXP(-LN(2)/2)*BR140+(1-EXP(-LN(2)/2))/(LN(2)/2)*BL141*BO141*VLOOKUP('Données projet'!$B$11,Paramètres!$A$1:$I$89,3,0)*0.475*44/12</f>
        <v>4.3942521170685504E-16</v>
      </c>
      <c r="BS141" s="22">
        <f t="shared" si="117"/>
        <v>1.1700366761686369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368.16165268258442</v>
      </c>
      <c r="CE141" s="59">
        <f t="shared" si="148"/>
        <v>291.32219253157041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0.88092770559778766</v>
      </c>
      <c r="CL141" s="21">
        <f>EXP(-LN(2)/25)*CL140+(1-EXP(-LN(2)/25))/(LN(2)/25)*Calculateur!CG141*Calculateur!CI141*VLOOKUP('Données projet'!$B$12,Paramètres!$A$1:$I$89,3,0)*0.475*44/12</f>
        <v>0.33260564878700294</v>
      </c>
      <c r="CM141" s="21">
        <f>EXP(-LN(2)/2)*CM140+(1-EXP(-LN(2)/2))/(LN(2)/2)*CG141*CJ141*VLOOKUP('Données projet'!$B$12,Paramètres!$A$1:$I$89,3,0)*0.475*44/12</f>
        <v>4.3980560891365747E-16</v>
      </c>
      <c r="CN141" s="22">
        <f t="shared" si="120"/>
        <v>1.213533354384791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1.1368683772161603E-13</v>
      </c>
      <c r="CU141" s="17">
        <f>CT141*VLOOKUP('Données projet'!$B$13,Paramètres!$A$1:$I$89,3,0)*VLOOKUP('Données projet'!$B$13,Paramètres!$A$1:$I$89,5,0)</f>
        <v>6.7984728957526396E-14</v>
      </c>
      <c r="CV141" s="13">
        <f t="shared" si="149"/>
        <v>1.0682447123141398E-12</v>
      </c>
      <c r="CW141" s="20">
        <f t="shared" si="121"/>
        <v>1.978932943548152E-12</v>
      </c>
      <c r="CX141" s="59">
        <f t="shared" si="122"/>
        <v>288.33620963196063</v>
      </c>
      <c r="CY141" s="59">
        <f ca="1">AVERAGE(OFFSET($CX$3,0,0,'Données projet'!$E$13+1,1))-AVERAGE(OFFSET($H$3,0,0,'Données projet'!$E$13+1,1))</f>
        <v>317.12995176362455</v>
      </c>
      <c r="CZ141" s="59">
        <f t="shared" si="150"/>
        <v>328.11301015275262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2.1266320645949821</v>
      </c>
      <c r="DG141" s="21">
        <f>EXP(-LN(2)/25)*DG140+(1-EXP(-LN(2)/25))/(LN(2)/25)*Calculateur!DB141*Calculateur!DD141*VLOOKUP('Données projet'!$B$13,Paramètres!$A$1:$I$89,3,0)*0.475*44/12</f>
        <v>0.80737916100671403</v>
      </c>
      <c r="DH141" s="21">
        <f>EXP(-LN(2)/2)*DH140+(1-EXP(-LN(2)/2))/(LN(2)/2)*DB141*DE141*VLOOKUP('Données projet'!$B$13,Paramètres!$A$1:$I$89,3,0)*0.475*44/12</f>
        <v>3.1871081796686145E-16</v>
      </c>
      <c r="DI141" s="22">
        <f t="shared" si="123"/>
        <v>2.9340112256016968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2.8421709430404007E-14</v>
      </c>
      <c r="DP141" s="17">
        <f>DO141*VLOOKUP('Données projet'!$B$14,Paramètres!$A$1:$I$89,3,0)*VLOOKUP('Données projet'!$B$14,Paramètres!$A$1:$I$89,5,0)</f>
        <v>2.4829205358400945E-14</v>
      </c>
      <c r="DQ141" s="13">
        <f t="shared" si="151"/>
        <v>4.3867331143352915E-13</v>
      </c>
      <c r="DR141" s="20">
        <f t="shared" si="124"/>
        <v>8.0726688341261168E-13</v>
      </c>
      <c r="DS141" s="59">
        <f t="shared" si="125"/>
        <v>288.33620963195943</v>
      </c>
      <c r="DT141" s="59">
        <f ca="1">AVERAGE(OFFSET($DS$3,0,0,'Données projet'!$E$14+1,1))-AVERAGE(OFFSET($H$3,0,0,'Données projet'!$E$14+1,1))</f>
        <v>325.5873213944476</v>
      </c>
      <c r="DU141" s="59">
        <f t="shared" si="152"/>
        <v>347.9042278368363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0.3449032479981875</v>
      </c>
      <c r="EB141" s="21">
        <f>EXP(-LN(2)/25)*EB140+(1-EXP(-LN(2)/25))/(LN(2)/25)*Calculateur!DW141*Calculateur!DY141*VLOOKUP('Données projet'!$B$14,Paramètres!$A$1:$I$89,3,0)*0.475*44/12</f>
        <v>0.44175747889162292</v>
      </c>
      <c r="EC141" s="21">
        <f>EXP(-LN(2)/2)*EC140+(1-EXP(-LN(2)/2))/(LN(2)/2)*DW141*DZ141*VLOOKUP('Données projet'!$B$14,Paramètres!$A$1:$I$89,3,0)*0.475*44/12</f>
        <v>6.6334830053046757E-16</v>
      </c>
      <c r="ED141" s="22">
        <f t="shared" si="126"/>
        <v>0.78666072688981115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205.5480000480477</v>
      </c>
      <c r="EP141" s="59">
        <f t="shared" si="154"/>
        <v>229.86812144828366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0.8663825340830883</v>
      </c>
      <c r="EW141" s="21">
        <f>EXP(-LN(2)/25)*EW140+(1-EXP(-LN(2)/25))/(LN(2)/25)*Calculateur!ER141*Calculateur!ET141*VLOOKUP('Données projet'!$B$15,Paramètres!$A$1:$I$89,3,0)*0.475*44/12</f>
        <v>0.30152959768645726</v>
      </c>
      <c r="EX141" s="21">
        <f>EXP(-LN(2)/2)*EX140+(1-EXP(-LN(2)/2))/(LN(2)/2)*ER141*EU141*VLOOKUP('Données projet'!$B$15,Paramètres!$A$1:$I$89,3,0)*0.475*44/12</f>
        <v>1.6420037719464618E-16</v>
      </c>
      <c r="EY141" s="22">
        <f t="shared" si="129"/>
        <v>1.1679121317695458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3.05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24.286080000000052</v>
      </c>
      <c r="D142" s="11">
        <f t="shared" si="140"/>
        <v>7.7206503070124768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86.66690574083097</v>
      </c>
      <c r="H142" s="67">
        <f t="shared" si="110"/>
        <v>267.67838861804682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-1.9065282685915009E-13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542.23071537860039</v>
      </c>
      <c r="T142" s="59">
        <f t="shared" si="142"/>
        <v>667.26143680054633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0.84777761251180961</v>
      </c>
      <c r="AA142" s="21">
        <f>EXP(-LN(2)/25)*AA141+(1-EXP(-LN(2)/25))/(LN(2)/25)*Calculateur!V142*Calculateur!X142*VLOOKUP('Données projet'!$B$9,Paramètres!$A$1:$I$89,3,0)*0.475*44/12</f>
        <v>2.0751209548536784</v>
      </c>
      <c r="AB142" s="21">
        <f>EXP(-LN(2)/2)*AB141+(1-EXP(-LN(2)/2))/(LN(2)/2)*V142*Y142*VLOOKUP('Données projet'!$B$9,Paramètres!$A$1:$I$89,3,0)*0.475*44/12</f>
        <v>5.6593816890089372E-16</v>
      </c>
      <c r="AC142" s="22">
        <f t="shared" si="111"/>
        <v>2.9228985673654884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-1.2710188457276673E-13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427.83834708696861</v>
      </c>
      <c r="AO142" s="59">
        <f t="shared" si="144"/>
        <v>545.63950537101903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0.5086665675070865</v>
      </c>
      <c r="AV142" s="21">
        <f>EXP(-LN(2)/25)*AV141+(1-EXP(-LN(2)/25))/(LN(2)/25)*Calculateur!AQ142*Calculateur!AS142*VLOOKUP('Données projet'!$B$10,Paramètres!$A$1:$I$89,3,0)*0.475*44/12</f>
        <v>1.1989834184691026</v>
      </c>
      <c r="AW142" s="21">
        <f>EXP(-LN(2)/2)*AW141+(1-EXP(-LN(2)/2))/(LN(2)/2)*AQ142*AT142*VLOOKUP('Données projet'!$B$10,Paramètres!$A$1:$I$89,3,0)*0.475*44/12</f>
        <v>3.6317147507359374E-16</v>
      </c>
      <c r="AX142" s="21">
        <f t="shared" si="114"/>
        <v>1.7076499859761896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-2.6602720026858149E-14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210.62109466714364</v>
      </c>
      <c r="BJ142" s="59">
        <f t="shared" si="146"/>
        <v>193.35729443770401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0.75380948047569141</v>
      </c>
      <c r="BQ142" s="21">
        <f>EXP(-LN(2)/25)*BQ141+(1-EXP(-LN(2)/25))/(LN(2)/25)*Calculateur!BL142*Calculateur!BN142*VLOOKUP('Données projet'!$B$11,Paramètres!$A$1:$I$89,3,0)*0.475*44/12</f>
        <v>0.39018033070444186</v>
      </c>
      <c r="BR142" s="21">
        <f>EXP(-LN(2)/2)*BR141+(1-EXP(-LN(2)/2))/(LN(2)/2)*BL142*BO142*VLOOKUP('Données projet'!$B$11,Paramètres!$A$1:$I$89,3,0)*0.475*44/12</f>
        <v>3.1072054702225149E-16</v>
      </c>
      <c r="BS142" s="22">
        <f t="shared" si="117"/>
        <v>1.1439898111801334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368.16165268258442</v>
      </c>
      <c r="CE142" s="59">
        <f t="shared" si="148"/>
        <v>291.32219253157041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0.86365325060386022</v>
      </c>
      <c r="CL142" s="21">
        <f>EXP(-LN(2)/25)*CL141+(1-EXP(-LN(2)/25))/(LN(2)/25)*Calculateur!CG142*Calculateur!CI142*VLOOKUP('Données projet'!$B$12,Paramètres!$A$1:$I$89,3,0)*0.475*44/12</f>
        <v>0.32351052982995143</v>
      </c>
      <c r="CM142" s="21">
        <f>EXP(-LN(2)/2)*CM141+(1-EXP(-LN(2)/2))/(LN(2)/2)*CG142*CJ142*VLOOKUP('Données projet'!$B$12,Paramètres!$A$1:$I$89,3,0)*0.475*44/12</f>
        <v>3.109895284667259E-16</v>
      </c>
      <c r="CN142" s="22">
        <f t="shared" si="120"/>
        <v>1.187163780433812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1.1368683772161603E-13</v>
      </c>
      <c r="CU142" s="17">
        <f>CT142*VLOOKUP('Données projet'!$B$13,Paramètres!$A$1:$I$89,3,0)*VLOOKUP('Données projet'!$B$13,Paramètres!$A$1:$I$89,5,0)</f>
        <v>6.7984728957526396E-14</v>
      </c>
      <c r="CV142" s="13">
        <f t="shared" si="149"/>
        <v>1.0682447123141398E-12</v>
      </c>
      <c r="CW142" s="20">
        <f t="shared" si="121"/>
        <v>1.978932943548152E-12</v>
      </c>
      <c r="CX142" s="59">
        <f t="shared" si="122"/>
        <v>288.42289855628451</v>
      </c>
      <c r="CY142" s="59">
        <f ca="1">AVERAGE(OFFSET($CX$3,0,0,'Données projet'!$E$13+1,1))-AVERAGE(OFFSET($H$3,0,0,'Données projet'!$E$13+1,1))</f>
        <v>317.12995176362455</v>
      </c>
      <c r="CZ142" s="59">
        <f t="shared" si="150"/>
        <v>328.11301015275262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2.084930106925754</v>
      </c>
      <c r="DG142" s="21">
        <f>EXP(-LN(2)/25)*DG141+(1-EXP(-LN(2)/25))/(LN(2)/25)*Calculateur!DB142*Calculateur!DD142*VLOOKUP('Données projet'!$B$13,Paramètres!$A$1:$I$89,3,0)*0.475*44/12</f>
        <v>0.78530133539076064</v>
      </c>
      <c r="DH142" s="21">
        <f>EXP(-LN(2)/2)*DH141+(1-EXP(-LN(2)/2))/(LN(2)/2)*DB142*DE142*VLOOKUP('Données projet'!$B$13,Paramètres!$A$1:$I$89,3,0)*0.475*44/12</f>
        <v>2.2536258062187908E-16</v>
      </c>
      <c r="DI142" s="22">
        <f t="shared" si="123"/>
        <v>2.8702314423165149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2.8421709430404007E-14</v>
      </c>
      <c r="DP142" s="17">
        <f>DO142*VLOOKUP('Données projet'!$B$14,Paramètres!$A$1:$I$89,3,0)*VLOOKUP('Données projet'!$B$14,Paramètres!$A$1:$I$89,5,0)</f>
        <v>2.4829205358400945E-14</v>
      </c>
      <c r="DQ142" s="13">
        <f t="shared" si="151"/>
        <v>4.3867331143352915E-13</v>
      </c>
      <c r="DR142" s="20">
        <f t="shared" si="124"/>
        <v>8.0726688341261168E-13</v>
      </c>
      <c r="DS142" s="59">
        <f t="shared" si="125"/>
        <v>288.42289855628331</v>
      </c>
      <c r="DT142" s="59">
        <f ca="1">AVERAGE(OFFSET($DS$3,0,0,'Données projet'!$E$14+1,1))-AVERAGE(OFFSET($H$3,0,0,'Données projet'!$E$14+1,1))</f>
        <v>325.5873213944476</v>
      </c>
      <c r="DU142" s="59">
        <f t="shared" si="152"/>
        <v>347.9042278368363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0.33813990567515201</v>
      </c>
      <c r="EB142" s="21">
        <f>EXP(-LN(2)/25)*EB141+(1-EXP(-LN(2)/25))/(LN(2)/25)*Calculateur!DW142*Calculateur!DY142*VLOOKUP('Données projet'!$B$14,Paramètres!$A$1:$I$89,3,0)*0.475*44/12</f>
        <v>0.4296775974003153</v>
      </c>
      <c r="EC142" s="21">
        <f>EXP(-LN(2)/2)*EC141+(1-EXP(-LN(2)/2))/(LN(2)/2)*DW142*DZ142*VLOOKUP('Données projet'!$B$14,Paramètres!$A$1:$I$89,3,0)*0.475*44/12</f>
        <v>4.690580815936655E-16</v>
      </c>
      <c r="ED142" s="22">
        <f t="shared" si="126"/>
        <v>0.7678175030754677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205.5480000480477</v>
      </c>
      <c r="EP142" s="59">
        <f t="shared" si="154"/>
        <v>229.86812144828366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0.84939330103088551</v>
      </c>
      <c r="EW142" s="21">
        <f>EXP(-LN(2)/25)*EW141+(1-EXP(-LN(2)/25))/(LN(2)/25)*Calculateur!ER142*Calculateur!ET142*VLOOKUP('Données projet'!$B$15,Paramètres!$A$1:$I$89,3,0)*0.475*44/12</f>
        <v>0.29328425498096872</v>
      </c>
      <c r="EX142" s="21">
        <f>EXP(-LN(2)/2)*EX141+(1-EXP(-LN(2)/2))/(LN(2)/2)*ER142*EU142*VLOOKUP('Données projet'!$B$15,Paramètres!$A$1:$I$89,3,0)*0.475*44/12</f>
        <v>1.1610720018772325E-16</v>
      </c>
      <c r="EY142" s="22">
        <f t="shared" si="129"/>
        <v>1.1426775560118545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3.05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24.460800000000052</v>
      </c>
      <c r="D143" s="11">
        <f t="shared" si="140"/>
        <v>7.7697087087225905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87.219677652423655</v>
      </c>
      <c r="H143" s="67">
        <f t="shared" si="110"/>
        <v>268.06813600102527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-1.9065282685915009E-13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542.23071537860039</v>
      </c>
      <c r="T143" s="59">
        <f t="shared" si="142"/>
        <v>667.26143680054633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0.83115321062373793</v>
      </c>
      <c r="AA143" s="21">
        <f>EXP(-LN(2)/25)*AA142+(1-EXP(-LN(2)/25))/(LN(2)/25)*Calculateur!V143*Calculateur!X143*VLOOKUP('Données projet'!$B$9,Paramètres!$A$1:$I$89,3,0)*0.475*44/12</f>
        <v>2.0183766632173361</v>
      </c>
      <c r="AB143" s="21">
        <f>EXP(-LN(2)/2)*AB142+(1-EXP(-LN(2)/2))/(LN(2)/2)*V143*Y143*VLOOKUP('Données projet'!$B$9,Paramètres!$A$1:$I$89,3,0)*0.475*44/12</f>
        <v>4.0017871696211964E-16</v>
      </c>
      <c r="AC143" s="22">
        <f t="shared" si="111"/>
        <v>2.8495298738410746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-1.2710188457276673E-13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427.83834708696861</v>
      </c>
      <c r="AO143" s="59">
        <f t="shared" si="144"/>
        <v>545.63950537101903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0.49869192637424348</v>
      </c>
      <c r="AV143" s="21">
        <f>EXP(-LN(2)/25)*AV142+(1-EXP(-LN(2)/25))/(LN(2)/25)*Calculateur!AQ143*Calculateur!AS143*VLOOKUP('Données projet'!$B$10,Paramètres!$A$1:$I$89,3,0)*0.475*44/12</f>
        <v>1.1661971538392673</v>
      </c>
      <c r="AW143" s="21">
        <f>EXP(-LN(2)/2)*AW142+(1-EXP(-LN(2)/2))/(LN(2)/2)*AQ143*AT143*VLOOKUP('Données projet'!$B$10,Paramètres!$A$1:$I$89,3,0)*0.475*44/12</f>
        <v>2.5680101275805935E-16</v>
      </c>
      <c r="AX143" s="21">
        <f t="shared" si="114"/>
        <v>1.664889080213511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-2.6602720026858149E-14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210.62109466714364</v>
      </c>
      <c r="BJ143" s="59">
        <f t="shared" si="146"/>
        <v>193.35729443770401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0.73902773634194685</v>
      </c>
      <c r="BQ143" s="21">
        <f>EXP(-LN(2)/25)*BQ142+(1-EXP(-LN(2)/25))/(LN(2)/25)*Calculateur!BL143*Calculateur!BN143*VLOOKUP('Données projet'!$B$11,Paramètres!$A$1:$I$89,3,0)*0.475*44/12</f>
        <v>0.37951082904263705</v>
      </c>
      <c r="BR143" s="21">
        <f>EXP(-LN(2)/2)*BR142+(1-EXP(-LN(2)/2))/(LN(2)/2)*BL143*BO143*VLOOKUP('Données projet'!$B$11,Paramètres!$A$1:$I$89,3,0)*0.475*44/12</f>
        <v>2.1971260585342754E-16</v>
      </c>
      <c r="BS143" s="22">
        <f t="shared" si="117"/>
        <v>1.1185385653845841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368.16165268258442</v>
      </c>
      <c r="CE143" s="59">
        <f t="shared" si="148"/>
        <v>291.32219253157041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0.84671753713598652</v>
      </c>
      <c r="CL143" s="21">
        <f>EXP(-LN(2)/25)*CL142+(1-EXP(-LN(2)/25))/(LN(2)/25)*Calculateur!CG143*Calculateur!CI143*VLOOKUP('Données projet'!$B$12,Paramètres!$A$1:$I$89,3,0)*0.475*44/12</f>
        <v>0.31466411737907202</v>
      </c>
      <c r="CM143" s="21">
        <f>EXP(-LN(2)/2)*CM142+(1-EXP(-LN(2)/2))/(LN(2)/2)*CG143*CJ143*VLOOKUP('Données projet'!$B$12,Paramètres!$A$1:$I$89,3,0)*0.475*44/12</f>
        <v>2.1990280445682876E-16</v>
      </c>
      <c r="CN143" s="22">
        <f t="shared" si="120"/>
        <v>1.1613816545150588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1.1368683772161603E-13</v>
      </c>
      <c r="CU143" s="17">
        <f>CT143*VLOOKUP('Données projet'!$B$13,Paramètres!$A$1:$I$89,3,0)*VLOOKUP('Données projet'!$B$13,Paramètres!$A$1:$I$89,5,0)</f>
        <v>6.7984728957526396E-14</v>
      </c>
      <c r="CV143" s="13">
        <f t="shared" si="149"/>
        <v>1.0682447123141398E-12</v>
      </c>
      <c r="CW143" s="20">
        <f t="shared" si="121"/>
        <v>1.978932943548152E-12</v>
      </c>
      <c r="CX143" s="59">
        <f t="shared" si="122"/>
        <v>288.50808362157886</v>
      </c>
      <c r="CY143" s="59">
        <f ca="1">AVERAGE(OFFSET($CX$3,0,0,'Données projet'!$E$13+1,1))-AVERAGE(OFFSET($H$3,0,0,'Données projet'!$E$13+1,1))</f>
        <v>317.12995176362455</v>
      </c>
      <c r="CZ143" s="59">
        <f t="shared" si="150"/>
        <v>328.11301015275262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2.0440458992107371</v>
      </c>
      <c r="DG143" s="21">
        <f>EXP(-LN(2)/25)*DG142+(1-EXP(-LN(2)/25))/(LN(2)/25)*Calculateur!DB143*Calculateur!DD143*VLOOKUP('Données projet'!$B$13,Paramètres!$A$1:$I$89,3,0)*0.475*44/12</f>
        <v>0.76382722907729794</v>
      </c>
      <c r="DH143" s="21">
        <f>EXP(-LN(2)/2)*DH142+(1-EXP(-LN(2)/2))/(LN(2)/2)*DB143*DE143*VLOOKUP('Données projet'!$B$13,Paramètres!$A$1:$I$89,3,0)*0.475*44/12</f>
        <v>1.5935540898343072E-16</v>
      </c>
      <c r="DI143" s="22">
        <f t="shared" si="123"/>
        <v>2.8078731282880351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2.8421709430404007E-14</v>
      </c>
      <c r="DP143" s="17">
        <f>DO143*VLOOKUP('Données projet'!$B$14,Paramètres!$A$1:$I$89,3,0)*VLOOKUP('Données projet'!$B$14,Paramètres!$A$1:$I$89,5,0)</f>
        <v>2.4829205358400945E-14</v>
      </c>
      <c r="DQ143" s="13">
        <f t="shared" si="151"/>
        <v>4.3867331143352915E-13</v>
      </c>
      <c r="DR143" s="20">
        <f t="shared" si="124"/>
        <v>8.0726688341261168E-13</v>
      </c>
      <c r="DS143" s="59">
        <f t="shared" si="125"/>
        <v>288.50808362157767</v>
      </c>
      <c r="DT143" s="59">
        <f ca="1">AVERAGE(OFFSET($DS$3,0,0,'Données projet'!$E$14+1,1))-AVERAGE(OFFSET($H$3,0,0,'Données projet'!$E$14+1,1))</f>
        <v>325.5873213944476</v>
      </c>
      <c r="DU143" s="59">
        <f t="shared" si="152"/>
        <v>347.9042278368363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0.33150918836983972</v>
      </c>
      <c r="EB143" s="21">
        <f>EXP(-LN(2)/25)*EB142+(1-EXP(-LN(2)/25))/(LN(2)/25)*Calculateur!DW143*Calculateur!DY143*VLOOKUP('Données projet'!$B$14,Paramètres!$A$1:$I$89,3,0)*0.475*44/12</f>
        <v>0.41792804090364088</v>
      </c>
      <c r="EC143" s="21">
        <f>EXP(-LN(2)/2)*EC142+(1-EXP(-LN(2)/2))/(LN(2)/2)*DW143*DZ143*VLOOKUP('Données projet'!$B$14,Paramètres!$A$1:$I$89,3,0)*0.475*44/12</f>
        <v>3.3167415026523379E-16</v>
      </c>
      <c r="ED143" s="22">
        <f t="shared" si="126"/>
        <v>0.74943722927348089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205.5480000480477</v>
      </c>
      <c r="EP143" s="59">
        <f t="shared" si="154"/>
        <v>229.86812144828366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0.8327372164764274</v>
      </c>
      <c r="EW143" s="21">
        <f>EXP(-LN(2)/25)*EW142+(1-EXP(-LN(2)/25))/(LN(2)/25)*Calculateur!ER143*Calculateur!ET143*VLOOKUP('Données projet'!$B$15,Paramètres!$A$1:$I$89,3,0)*0.475*44/12</f>
        <v>0.28526438160536549</v>
      </c>
      <c r="EX143" s="21">
        <f>EXP(-LN(2)/2)*EX142+(1-EXP(-LN(2)/2))/(LN(2)/2)*ER143*EU143*VLOOKUP('Données projet'!$B$15,Paramètres!$A$1:$I$89,3,0)*0.475*44/12</f>
        <v>8.2100188597323092E-17</v>
      </c>
      <c r="EY143" s="22">
        <f t="shared" si="129"/>
        <v>1.118001598081793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3.05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24.635520000000053</v>
      </c>
      <c r="D144" s="11">
        <f t="shared" si="140"/>
        <v>7.8187263384608157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87.772348850092811</v>
      </c>
      <c r="H144" s="67">
        <f t="shared" si="110"/>
        <v>268.45781237281932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-1.9065282685915009E-13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542.23071537860039</v>
      </c>
      <c r="T144" s="59">
        <f t="shared" si="142"/>
        <v>667.26143680054633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0.81485480311680747</v>
      </c>
      <c r="AA144" s="21">
        <f>EXP(-LN(2)/25)*AA143+(1-EXP(-LN(2)/25))/(LN(2)/25)*Calculateur!V144*Calculateur!X144*VLOOKUP('Données projet'!$B$9,Paramètres!$A$1:$I$89,3,0)*0.475*44/12</f>
        <v>1.9631840472198423</v>
      </c>
      <c r="AB144" s="21">
        <f>EXP(-LN(2)/2)*AB143+(1-EXP(-LN(2)/2))/(LN(2)/2)*V144*Y144*VLOOKUP('Données projet'!$B$9,Paramètres!$A$1:$I$89,3,0)*0.475*44/12</f>
        <v>2.8296908445044686E-16</v>
      </c>
      <c r="AC144" s="22">
        <f t="shared" si="111"/>
        <v>2.77803885033665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-1.2710188457276673E-13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427.83834708696861</v>
      </c>
      <c r="AO144" s="59">
        <f t="shared" si="144"/>
        <v>545.63950537101903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0.48891288187008514</v>
      </c>
      <c r="AV144" s="21">
        <f>EXP(-LN(2)/25)*AV143+(1-EXP(-LN(2)/25))/(LN(2)/25)*Calculateur!AQ144*Calculateur!AS144*VLOOKUP('Données projet'!$B$10,Paramètres!$A$1:$I$89,3,0)*0.475*44/12</f>
        <v>1.1343074313398895</v>
      </c>
      <c r="AW144" s="21">
        <f>EXP(-LN(2)/2)*AW143+(1-EXP(-LN(2)/2))/(LN(2)/2)*AQ144*AT144*VLOOKUP('Données projet'!$B$10,Paramètres!$A$1:$I$89,3,0)*0.475*44/12</f>
        <v>1.8158573753679687E-16</v>
      </c>
      <c r="AX144" s="21">
        <f t="shared" si="114"/>
        <v>1.623220313209975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-2.6602720026858149E-14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210.62109466714364</v>
      </c>
      <c r="BJ144" s="59">
        <f t="shared" si="146"/>
        <v>193.35729443770401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0.72453585319469138</v>
      </c>
      <c r="BQ144" s="21">
        <f>EXP(-LN(2)/25)*BQ143+(1-EXP(-LN(2)/25))/(LN(2)/25)*Calculateur!BL144*Calculateur!BN144*VLOOKUP('Données projet'!$B$11,Paramètres!$A$1:$I$89,3,0)*0.475*44/12</f>
        <v>0.36913308546485901</v>
      </c>
      <c r="BR144" s="21">
        <f>EXP(-LN(2)/2)*BR143+(1-EXP(-LN(2)/2))/(LN(2)/2)*BL144*BO144*VLOOKUP('Données projet'!$B$11,Paramètres!$A$1:$I$89,3,0)*0.475*44/12</f>
        <v>1.5536027351112577E-16</v>
      </c>
      <c r="BS144" s="22">
        <f t="shared" si="117"/>
        <v>1.0936689386595506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368.16165268258442</v>
      </c>
      <c r="CE144" s="59">
        <f t="shared" si="148"/>
        <v>291.32219253157041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0.83011392267945261</v>
      </c>
      <c r="CL144" s="21">
        <f>EXP(-LN(2)/25)*CL143+(1-EXP(-LN(2)/25))/(LN(2)/25)*Calculateur!CG144*Calculateur!CI144*VLOOKUP('Données projet'!$B$12,Paramètres!$A$1:$I$89,3,0)*0.475*44/12</f>
        <v>0.30605961054187453</v>
      </c>
      <c r="CM144" s="21">
        <f>EXP(-LN(2)/2)*CM143+(1-EXP(-LN(2)/2))/(LN(2)/2)*CG144*CJ144*VLOOKUP('Données projet'!$B$12,Paramètres!$A$1:$I$89,3,0)*0.475*44/12</f>
        <v>1.5549476423336298E-16</v>
      </c>
      <c r="CN144" s="22">
        <f t="shared" si="120"/>
        <v>1.1361735332213274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1.1368683772161603E-13</v>
      </c>
      <c r="CU144" s="17">
        <f>CT144*VLOOKUP('Données projet'!$B$13,Paramètres!$A$1:$I$89,3,0)*VLOOKUP('Données projet'!$B$13,Paramètres!$A$1:$I$89,5,0)</f>
        <v>6.7984728957526396E-14</v>
      </c>
      <c r="CV144" s="13">
        <f t="shared" si="149"/>
        <v>1.0682447123141398E-12</v>
      </c>
      <c r="CW144" s="20">
        <f t="shared" si="121"/>
        <v>1.978932943548152E-12</v>
      </c>
      <c r="CX144" s="59">
        <f t="shared" si="122"/>
        <v>288.59179091643557</v>
      </c>
      <c r="CY144" s="59">
        <f ca="1">AVERAGE(OFFSET($CX$3,0,0,'Données projet'!$E$13+1,1))-AVERAGE(OFFSET($H$3,0,0,'Données projet'!$E$13+1,1))</f>
        <v>317.12995176362455</v>
      </c>
      <c r="CZ144" s="59">
        <f t="shared" si="150"/>
        <v>328.11301015275262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2.0039634058721072</v>
      </c>
      <c r="DG144" s="21">
        <f>EXP(-LN(2)/25)*DG143+(1-EXP(-LN(2)/25))/(LN(2)/25)*Calculateur!DB144*Calculateur!DD144*VLOOKUP('Données projet'!$B$13,Paramètres!$A$1:$I$89,3,0)*0.475*44/12</f>
        <v>0.742940333330251</v>
      </c>
      <c r="DH144" s="21">
        <f>EXP(-LN(2)/2)*DH143+(1-EXP(-LN(2)/2))/(LN(2)/2)*DB144*DE144*VLOOKUP('Données projet'!$B$13,Paramètres!$A$1:$I$89,3,0)*0.475*44/12</f>
        <v>1.1268129031093954E-16</v>
      </c>
      <c r="DI144" s="22">
        <f t="shared" si="123"/>
        <v>2.7469037392023581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2.8421709430404007E-14</v>
      </c>
      <c r="DP144" s="17">
        <f>DO144*VLOOKUP('Données projet'!$B$14,Paramètres!$A$1:$I$89,3,0)*VLOOKUP('Données projet'!$B$14,Paramètres!$A$1:$I$89,5,0)</f>
        <v>2.4829205358400945E-14</v>
      </c>
      <c r="DQ144" s="13">
        <f t="shared" si="151"/>
        <v>4.3867331143352915E-13</v>
      </c>
      <c r="DR144" s="20">
        <f t="shared" si="124"/>
        <v>8.0726688341261168E-13</v>
      </c>
      <c r="DS144" s="59">
        <f t="shared" si="125"/>
        <v>288.59179091643438</v>
      </c>
      <c r="DT144" s="59">
        <f ca="1">AVERAGE(OFFSET($DS$3,0,0,'Données projet'!$E$14+1,1))-AVERAGE(OFFSET($H$3,0,0,'Données projet'!$E$14+1,1))</f>
        <v>325.5873213944476</v>
      </c>
      <c r="DU144" s="59">
        <f t="shared" si="152"/>
        <v>347.9042278368363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0.32500849538654641</v>
      </c>
      <c r="EB144" s="21">
        <f>EXP(-LN(2)/25)*EB143+(1-EXP(-LN(2)/25))/(LN(2)/25)*Calculateur!DW144*Calculateur!DY144*VLOOKUP('Données projet'!$B$14,Paramètres!$A$1:$I$89,3,0)*0.475*44/12</f>
        <v>0.40649977664725034</v>
      </c>
      <c r="EC144" s="21">
        <f>EXP(-LN(2)/2)*EC143+(1-EXP(-LN(2)/2))/(LN(2)/2)*DW144*DZ144*VLOOKUP('Données projet'!$B$14,Paramètres!$A$1:$I$89,3,0)*0.475*44/12</f>
        <v>2.3452904079683275E-16</v>
      </c>
      <c r="ED144" s="22">
        <f t="shared" si="126"/>
        <v>0.73150827203379698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205.5480000480477</v>
      </c>
      <c r="EP144" s="59">
        <f t="shared" si="154"/>
        <v>229.86812144828366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0.81640774758087387</v>
      </c>
      <c r="EW144" s="21">
        <f>EXP(-LN(2)/25)*EW143+(1-EXP(-LN(2)/25))/(LN(2)/25)*Calculateur!ER144*Calculateur!ET144*VLOOKUP('Données projet'!$B$15,Paramètres!$A$1:$I$89,3,0)*0.475*44/12</f>
        <v>0.27746381208896492</v>
      </c>
      <c r="EX144" s="21">
        <f>EXP(-LN(2)/2)*EX143+(1-EXP(-LN(2)/2))/(LN(2)/2)*ER144*EU144*VLOOKUP('Données projet'!$B$15,Paramètres!$A$1:$I$89,3,0)*0.475*44/12</f>
        <v>5.8053600093861623E-17</v>
      </c>
      <c r="EY144" s="22">
        <f t="shared" si="129"/>
        <v>1.0938715596698387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3.05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24.810240000000054</v>
      </c>
      <c r="D145" s="11">
        <f t="shared" si="140"/>
        <v>7.867703518920842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88.32492013094847</v>
      </c>
      <c r="H145" s="67">
        <f t="shared" si="110"/>
        <v>268.84741829545385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-1.9065282685915009E-13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542.23071537860039</v>
      </c>
      <c r="T145" s="59">
        <f t="shared" si="142"/>
        <v>667.26143680054633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0.7988759974400409</v>
      </c>
      <c r="AA145" s="21">
        <f>EXP(-LN(2)/25)*AA144+(1-EXP(-LN(2)/25))/(LN(2)/25)*Calculateur!V145*Calculateur!X145*VLOOKUP('Données projet'!$B$9,Paramètres!$A$1:$I$89,3,0)*0.475*44/12</f>
        <v>1.9095006762092537</v>
      </c>
      <c r="AB145" s="21">
        <f>EXP(-LN(2)/2)*AB144+(1-EXP(-LN(2)/2))/(LN(2)/2)*V145*Y145*VLOOKUP('Données projet'!$B$9,Paramètres!$A$1:$I$89,3,0)*0.475*44/12</f>
        <v>2.0008935848105982E-16</v>
      </c>
      <c r="AC145" s="22">
        <f t="shared" si="111"/>
        <v>2.7083766736492945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-1.2710188457276673E-13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427.83834708696861</v>
      </c>
      <c r="AO145" s="59">
        <f t="shared" si="144"/>
        <v>545.63950537101903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0.47932559846402517</v>
      </c>
      <c r="AV145" s="21">
        <f>EXP(-LN(2)/25)*AV144+(1-EXP(-LN(2)/25))/(LN(2)/25)*Calculateur!AQ145*Calculateur!AS145*VLOOKUP('Données projet'!$B$10,Paramètres!$A$1:$I$89,3,0)*0.475*44/12</f>
        <v>1.103289734979265</v>
      </c>
      <c r="AW145" s="21">
        <f>EXP(-LN(2)/2)*AW144+(1-EXP(-LN(2)/2))/(LN(2)/2)*AQ145*AT145*VLOOKUP('Données projet'!$B$10,Paramètres!$A$1:$I$89,3,0)*0.475*44/12</f>
        <v>1.2840050637902967E-16</v>
      </c>
      <c r="AX145" s="21">
        <f t="shared" si="114"/>
        <v>1.5826153334432904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-2.6602720026858149E-14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210.62109466714364</v>
      </c>
      <c r="BJ145" s="59">
        <f t="shared" si="146"/>
        <v>193.35729443770401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0.7103281470367776</v>
      </c>
      <c r="BQ145" s="21">
        <f>EXP(-LN(2)/25)*BQ144+(1-EXP(-LN(2)/25))/(LN(2)/25)*Calculateur!BL145*Calculateur!BN145*VLOOKUP('Données projet'!$B$11,Paramètres!$A$1:$I$89,3,0)*0.475*44/12</f>
        <v>0.35903912183095715</v>
      </c>
      <c r="BR145" s="21">
        <f>EXP(-LN(2)/2)*BR144+(1-EXP(-LN(2)/2))/(LN(2)/2)*BL145*BO145*VLOOKUP('Données projet'!$B$11,Paramètres!$A$1:$I$89,3,0)*0.475*44/12</f>
        <v>1.098563029267138E-16</v>
      </c>
      <c r="BS145" s="22">
        <f t="shared" si="117"/>
        <v>1.0693672688677347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368.16165268258442</v>
      </c>
      <c r="CE145" s="59">
        <f t="shared" si="148"/>
        <v>291.32219253157041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0.81383589497520648</v>
      </c>
      <c r="CL145" s="21">
        <f>EXP(-LN(2)/25)*CL144+(1-EXP(-LN(2)/25))/(LN(2)/25)*Calculateur!CG145*Calculateur!CI145*VLOOKUP('Données projet'!$B$12,Paramètres!$A$1:$I$89,3,0)*0.475*44/12</f>
        <v>0.29769039439663159</v>
      </c>
      <c r="CM145" s="21">
        <f>EXP(-LN(2)/2)*CM144+(1-EXP(-LN(2)/2))/(LN(2)/2)*CG145*CJ145*VLOOKUP('Données projet'!$B$12,Paramètres!$A$1:$I$89,3,0)*0.475*44/12</f>
        <v>1.0995140222841439E-16</v>
      </c>
      <c r="CN145" s="22">
        <f t="shared" si="120"/>
        <v>1.1115262893718381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1.1368683772161603E-13</v>
      </c>
      <c r="CU145" s="17">
        <f>CT145*VLOOKUP('Données projet'!$B$13,Paramètres!$A$1:$I$89,3,0)*VLOOKUP('Données projet'!$B$13,Paramètres!$A$1:$I$89,5,0)</f>
        <v>6.7984728957526396E-14</v>
      </c>
      <c r="CV145" s="13">
        <f t="shared" si="149"/>
        <v>1.0682447123141398E-12</v>
      </c>
      <c r="CW145" s="20">
        <f t="shared" si="121"/>
        <v>1.978932943548152E-12</v>
      </c>
      <c r="CX145" s="59">
        <f t="shared" si="122"/>
        <v>288.67404607686802</v>
      </c>
      <c r="CY145" s="59">
        <f ca="1">AVERAGE(OFFSET($CX$3,0,0,'Données projet'!$E$13+1,1))-AVERAGE(OFFSET($H$3,0,0,'Données projet'!$E$13+1,1))</f>
        <v>317.12995176362455</v>
      </c>
      <c r="CZ145" s="59">
        <f t="shared" si="150"/>
        <v>328.11301015275262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1.9646669057799409</v>
      </c>
      <c r="DG145" s="21">
        <f>EXP(-LN(2)/25)*DG144+(1-EXP(-LN(2)/25))/(LN(2)/25)*Calculateur!DB145*Calculateur!DD145*VLOOKUP('Données projet'!$B$13,Paramètres!$A$1:$I$89,3,0)*0.475*44/12</f>
        <v>0.72262459084580122</v>
      </c>
      <c r="DH145" s="21">
        <f>EXP(-LN(2)/2)*DH144+(1-EXP(-LN(2)/2))/(LN(2)/2)*DB145*DE145*VLOOKUP('Données projet'!$B$13,Paramètres!$A$1:$I$89,3,0)*0.475*44/12</f>
        <v>7.9677704491715362E-17</v>
      </c>
      <c r="DI145" s="22">
        <f t="shared" si="123"/>
        <v>2.687291496625742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2.8421709430404007E-14</v>
      </c>
      <c r="DP145" s="17">
        <f>DO145*VLOOKUP('Données projet'!$B$14,Paramètres!$A$1:$I$89,3,0)*VLOOKUP('Données projet'!$B$14,Paramètres!$A$1:$I$89,5,0)</f>
        <v>2.4829205358400945E-14</v>
      </c>
      <c r="DQ145" s="13">
        <f t="shared" si="151"/>
        <v>4.3867331143352915E-13</v>
      </c>
      <c r="DR145" s="20">
        <f t="shared" si="124"/>
        <v>8.0726688341261168E-13</v>
      </c>
      <c r="DS145" s="59">
        <f t="shared" si="125"/>
        <v>288.67404607686683</v>
      </c>
      <c r="DT145" s="59">
        <f ca="1">AVERAGE(OFFSET($DS$3,0,0,'Données projet'!$E$14+1,1))-AVERAGE(OFFSET($H$3,0,0,'Données projet'!$E$14+1,1))</f>
        <v>325.5873213944476</v>
      </c>
      <c r="DU145" s="59">
        <f t="shared" si="152"/>
        <v>347.9042278368363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0.31863527702762429</v>
      </c>
      <c r="EB145" s="21">
        <f>EXP(-LN(2)/25)*EB144+(1-EXP(-LN(2)/25))/(LN(2)/25)*Calculateur!DW145*Calculateur!DY145*VLOOKUP('Données projet'!$B$14,Paramètres!$A$1:$I$89,3,0)*0.475*44/12</f>
        <v>0.39538401887793712</v>
      </c>
      <c r="EC145" s="21">
        <f>EXP(-LN(2)/2)*EC144+(1-EXP(-LN(2)/2))/(LN(2)/2)*DW145*DZ145*VLOOKUP('Données projet'!$B$14,Paramètres!$A$1:$I$89,3,0)*0.475*44/12</f>
        <v>1.6583707513261689E-16</v>
      </c>
      <c r="ED145" s="22">
        <f t="shared" si="126"/>
        <v>0.71401929590556146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205.5480000480477</v>
      </c>
      <c r="EP145" s="59">
        <f t="shared" si="154"/>
        <v>229.86812144828366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0.80039848961036952</v>
      </c>
      <c r="EW145" s="21">
        <f>EXP(-LN(2)/25)*EW144+(1-EXP(-LN(2)/25))/(LN(2)/25)*Calculateur!ER145*Calculateur!ET145*VLOOKUP('Données projet'!$B$15,Paramètres!$A$1:$I$89,3,0)*0.475*44/12</f>
        <v>0.26987654955620444</v>
      </c>
      <c r="EX145" s="21">
        <f>EXP(-LN(2)/2)*EX144+(1-EXP(-LN(2)/2))/(LN(2)/2)*ER145*EU145*VLOOKUP('Données projet'!$B$15,Paramètres!$A$1:$I$89,3,0)*0.475*44/12</f>
        <v>4.1050094298661546E-17</v>
      </c>
      <c r="EY145" s="22">
        <f t="shared" si="129"/>
        <v>1.0702750391665741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3.05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24.984960000000054</v>
      </c>
      <c r="D146" s="11">
        <f t="shared" si="140"/>
        <v>7.9166405679887291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88.87739228022491</v>
      </c>
      <c r="H146" s="67">
        <f t="shared" si="110"/>
        <v>269.23695432258046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-1.9065282685915009E-13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542.23071537860039</v>
      </c>
      <c r="T146" s="59">
        <f t="shared" si="142"/>
        <v>667.26143680054633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0.78321052639648658</v>
      </c>
      <c r="AA146" s="21">
        <f>EXP(-LN(2)/25)*AA145+(1-EXP(-LN(2)/25))/(LN(2)/25)*Calculateur!V146*Calculateur!X146*VLOOKUP('Données projet'!$B$9,Paramètres!$A$1:$I$89,3,0)*0.475*44/12</f>
        <v>1.8572852798020354</v>
      </c>
      <c r="AB146" s="21">
        <f>EXP(-LN(2)/2)*AB145+(1-EXP(-LN(2)/2))/(LN(2)/2)*V146*Y146*VLOOKUP('Données projet'!$B$9,Paramètres!$A$1:$I$89,3,0)*0.475*44/12</f>
        <v>1.4148454222522343E-16</v>
      </c>
      <c r="AC146" s="22">
        <f t="shared" si="111"/>
        <v>2.6404958061985218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-1.2710188457276673E-13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427.83834708696861</v>
      </c>
      <c r="AO146" s="59">
        <f t="shared" si="144"/>
        <v>545.63950537101903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0.46992631583789257</v>
      </c>
      <c r="AV146" s="21">
        <f>EXP(-LN(2)/25)*AV145+(1-EXP(-LN(2)/25))/(LN(2)/25)*Calculateur!AQ146*Calculateur!AS146*VLOOKUP('Données projet'!$B$10,Paramètres!$A$1:$I$89,3,0)*0.475*44/12</f>
        <v>1.0731202191567715</v>
      </c>
      <c r="AW146" s="21">
        <f>EXP(-LN(2)/2)*AW145+(1-EXP(-LN(2)/2))/(LN(2)/2)*AQ146*AT146*VLOOKUP('Données projet'!$B$10,Paramètres!$A$1:$I$89,3,0)*0.475*44/12</f>
        <v>9.0792868768398436E-17</v>
      </c>
      <c r="AX146" s="21">
        <f t="shared" si="114"/>
        <v>1.543046534994664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-2.6602720026858149E-14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210.62109466714364</v>
      </c>
      <c r="BJ146" s="59">
        <f t="shared" si="146"/>
        <v>193.35729443770401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0.69639904533077546</v>
      </c>
      <c r="BQ146" s="21">
        <f>EXP(-LN(2)/25)*BQ145+(1-EXP(-LN(2)/25))/(LN(2)/25)*Calculateur!BL146*Calculateur!BN146*VLOOKUP('Données projet'!$B$11,Paramètres!$A$1:$I$89,3,0)*0.475*44/12</f>
        <v>0.34922117816344278</v>
      </c>
      <c r="BR146" s="21">
        <f>EXP(-LN(2)/2)*BR145+(1-EXP(-LN(2)/2))/(LN(2)/2)*BL146*BO146*VLOOKUP('Données projet'!$B$11,Paramètres!$A$1:$I$89,3,0)*0.475*44/12</f>
        <v>7.7680136755562896E-17</v>
      </c>
      <c r="BS146" s="22">
        <f t="shared" si="117"/>
        <v>1.0456202234942182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368.16165268258442</v>
      </c>
      <c r="CE146" s="59">
        <f t="shared" si="148"/>
        <v>291.32219253157041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0.79787706946562409</v>
      </c>
      <c r="CL146" s="21">
        <f>EXP(-LN(2)/25)*CL145+(1-EXP(-LN(2)/25))/(LN(2)/25)*Calculateur!CG146*Calculateur!CI146*VLOOKUP('Données projet'!$B$12,Paramètres!$A$1:$I$89,3,0)*0.475*44/12</f>
        <v>0.28955003490699821</v>
      </c>
      <c r="CM146" s="21">
        <f>EXP(-LN(2)/2)*CM145+(1-EXP(-LN(2)/2))/(LN(2)/2)*CG146*CJ146*VLOOKUP('Données projet'!$B$12,Paramètres!$A$1:$I$89,3,0)*0.475*44/12</f>
        <v>7.77473821166815E-17</v>
      </c>
      <c r="CN146" s="22">
        <f t="shared" si="120"/>
        <v>1.0874271043726222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1.1368683772161603E-13</v>
      </c>
      <c r="CU146" s="17">
        <f>CT146*VLOOKUP('Données projet'!$B$13,Paramètres!$A$1:$I$89,3,0)*VLOOKUP('Données projet'!$B$13,Paramètres!$A$1:$I$89,5,0)</f>
        <v>6.7984728957526396E-14</v>
      </c>
      <c r="CV146" s="13">
        <f t="shared" si="149"/>
        <v>1.0682447123141398E-12</v>
      </c>
      <c r="CW146" s="20">
        <f t="shared" si="121"/>
        <v>1.978932943548152E-12</v>
      </c>
      <c r="CX146" s="59">
        <f t="shared" si="122"/>
        <v>288.75487429416194</v>
      </c>
      <c r="CY146" s="59">
        <f ca="1">AVERAGE(OFFSET($CX$3,0,0,'Données projet'!$E$13+1,1))-AVERAGE(OFFSET($H$3,0,0,'Données projet'!$E$13+1,1))</f>
        <v>317.12995176362455</v>
      </c>
      <c r="CZ146" s="59">
        <f t="shared" si="150"/>
        <v>328.11301015275262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1.9261409860860836</v>
      </c>
      <c r="DG146" s="21">
        <f>EXP(-LN(2)/25)*DG145+(1-EXP(-LN(2)/25))/(LN(2)/25)*Calculateur!DB146*Calculateur!DD146*VLOOKUP('Données projet'!$B$13,Paramètres!$A$1:$I$89,3,0)*0.475*44/12</f>
        <v>0.7028643834079471</v>
      </c>
      <c r="DH146" s="21">
        <f>EXP(-LN(2)/2)*DH145+(1-EXP(-LN(2)/2))/(LN(2)/2)*DB146*DE146*VLOOKUP('Données projet'!$B$13,Paramètres!$A$1:$I$89,3,0)*0.475*44/12</f>
        <v>5.6340645155469769E-17</v>
      </c>
      <c r="DI146" s="22">
        <f t="shared" si="123"/>
        <v>2.6290053694940307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2.8421709430404007E-14</v>
      </c>
      <c r="DP146" s="17">
        <f>DO146*VLOOKUP('Données projet'!$B$14,Paramètres!$A$1:$I$89,3,0)*VLOOKUP('Données projet'!$B$14,Paramètres!$A$1:$I$89,5,0)</f>
        <v>2.4829205358400945E-14</v>
      </c>
      <c r="DQ146" s="13">
        <f t="shared" si="151"/>
        <v>4.3867331143352915E-13</v>
      </c>
      <c r="DR146" s="20">
        <f t="shared" si="124"/>
        <v>8.0726688341261168E-13</v>
      </c>
      <c r="DS146" s="59">
        <f t="shared" si="125"/>
        <v>288.75487429416074</v>
      </c>
      <c r="DT146" s="59">
        <f ca="1">AVERAGE(OFFSET($DS$3,0,0,'Données projet'!$E$14+1,1))-AVERAGE(OFFSET($H$3,0,0,'Données projet'!$E$14+1,1))</f>
        <v>325.5873213944476</v>
      </c>
      <c r="DU146" s="59">
        <f t="shared" si="152"/>
        <v>347.9042278368363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0.31238703359344128</v>
      </c>
      <c r="EB146" s="21">
        <f>EXP(-LN(2)/25)*EB145+(1-EXP(-LN(2)/25))/(LN(2)/25)*Calculateur!DW146*Calculateur!DY146*VLOOKUP('Données projet'!$B$14,Paramètres!$A$1:$I$89,3,0)*0.475*44/12</f>
        <v>0.38457222208937802</v>
      </c>
      <c r="EC146" s="21">
        <f>EXP(-LN(2)/2)*EC145+(1-EXP(-LN(2)/2))/(LN(2)/2)*DW146*DZ146*VLOOKUP('Données projet'!$B$14,Paramètres!$A$1:$I$89,3,0)*0.475*44/12</f>
        <v>1.1726452039841638E-16</v>
      </c>
      <c r="ED146" s="22">
        <f t="shared" si="126"/>
        <v>0.69695925568281936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205.5480000480477</v>
      </c>
      <c r="EP146" s="59">
        <f t="shared" si="154"/>
        <v>229.86812144828366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0.78470316342398361</v>
      </c>
      <c r="EW146" s="21">
        <f>EXP(-LN(2)/25)*EW145+(1-EXP(-LN(2)/25))/(LN(2)/25)*Calculateur!ER146*Calculateur!ET146*VLOOKUP('Données projet'!$B$15,Paramètres!$A$1:$I$89,3,0)*0.475*44/12</f>
        <v>0.26249676111639908</v>
      </c>
      <c r="EX146" s="21">
        <f>EXP(-LN(2)/2)*EX145+(1-EXP(-LN(2)/2))/(LN(2)/2)*ER146*EU146*VLOOKUP('Données projet'!$B$15,Paramètres!$A$1:$I$89,3,0)*0.475*44/12</f>
        <v>2.9026800046930812E-17</v>
      </c>
      <c r="EY146" s="22">
        <f t="shared" si="129"/>
        <v>1.0471999245403827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3.05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25.159680000000055</v>
      </c>
      <c r="D147" s="11">
        <f t="shared" si="140"/>
        <v>7.9655377988476159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89.429766071539518</v>
      </c>
      <c r="H147" s="67">
        <f t="shared" si="110"/>
        <v>269.62642099965967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-1.9065282685915009E-13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542.23071537860039</v>
      </c>
      <c r="T147" s="59">
        <f t="shared" si="142"/>
        <v>667.26143680054633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0.76785224568510246</v>
      </c>
      <c r="AA147" s="21">
        <f>EXP(-LN(2)/25)*AA146+(1-EXP(-LN(2)/25))/(LN(2)/25)*Calculateur!V147*Calculateur!X147*VLOOKUP('Données projet'!$B$9,Paramètres!$A$1:$I$89,3,0)*0.475*44/12</f>
        <v>1.8064977161554607</v>
      </c>
      <c r="AB147" s="21">
        <f>EXP(-LN(2)/2)*AB146+(1-EXP(-LN(2)/2))/(LN(2)/2)*V147*Y147*VLOOKUP('Données projet'!$B$9,Paramètres!$A$1:$I$89,3,0)*0.475*44/12</f>
        <v>1.0004467924052991E-16</v>
      </c>
      <c r="AC147" s="22">
        <f t="shared" si="111"/>
        <v>2.5743499618405634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-1.2710188457276673E-13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427.83834708696861</v>
      </c>
      <c r="AO147" s="59">
        <f t="shared" si="144"/>
        <v>545.63950537101903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0.46071134741106212</v>
      </c>
      <c r="AV147" s="21">
        <f>EXP(-LN(2)/25)*AV146+(1-EXP(-LN(2)/25))/(LN(2)/25)*Calculateur!AQ147*Calculateur!AS147*VLOOKUP('Données projet'!$B$10,Paramètres!$A$1:$I$89,3,0)*0.475*44/12</f>
        <v>1.0437756903309898</v>
      </c>
      <c r="AW147" s="21">
        <f>EXP(-LN(2)/2)*AW146+(1-EXP(-LN(2)/2))/(LN(2)/2)*AQ147*AT147*VLOOKUP('Données projet'!$B$10,Paramètres!$A$1:$I$89,3,0)*0.475*44/12</f>
        <v>6.4200253189514836E-17</v>
      </c>
      <c r="AX147" s="21">
        <f t="shared" si="114"/>
        <v>1.5044870377420518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-2.6602720026858149E-14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210.62109466714364</v>
      </c>
      <c r="BJ147" s="59">
        <f t="shared" si="146"/>
        <v>193.35729443770401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0.68274308481331492</v>
      </c>
      <c r="BQ147" s="21">
        <f>EXP(-LN(2)/25)*BQ146+(1-EXP(-LN(2)/25))/(LN(2)/25)*Calculateur!BL147*Calculateur!BN147*VLOOKUP('Données projet'!$B$11,Paramètres!$A$1:$I$89,3,0)*0.475*44/12</f>
        <v>0.33967170668181984</v>
      </c>
      <c r="BR147" s="21">
        <f>EXP(-LN(2)/2)*BR146+(1-EXP(-LN(2)/2))/(LN(2)/2)*BL147*BO147*VLOOKUP('Données projet'!$B$11,Paramètres!$A$1:$I$89,3,0)*0.475*44/12</f>
        <v>5.4928151463356904E-17</v>
      </c>
      <c r="BS147" s="22">
        <f t="shared" si="117"/>
        <v>1.0224147914951347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368.16165268258442</v>
      </c>
      <c r="CE147" s="59">
        <f t="shared" si="148"/>
        <v>291.32219253157041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0.78223118679036219</v>
      </c>
      <c r="CL147" s="21">
        <f>EXP(-LN(2)/25)*CL146+(1-EXP(-LN(2)/25))/(LN(2)/25)*Calculateur!CG147*Calculateur!CI147*VLOOKUP('Données projet'!$B$12,Paramètres!$A$1:$I$89,3,0)*0.475*44/12</f>
        <v>0.28163227397569179</v>
      </c>
      <c r="CM147" s="21">
        <f>EXP(-LN(2)/2)*CM146+(1-EXP(-LN(2)/2))/(LN(2)/2)*CG147*CJ147*VLOOKUP('Données projet'!$B$12,Paramètres!$A$1:$I$89,3,0)*0.475*44/12</f>
        <v>5.4975701114207209E-17</v>
      </c>
      <c r="CN147" s="22">
        <f t="shared" si="120"/>
        <v>1.063863460766054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1.1368683772161603E-13</v>
      </c>
      <c r="CU147" s="17">
        <f>CT147*VLOOKUP('Données projet'!$B$13,Paramètres!$A$1:$I$89,3,0)*VLOOKUP('Données projet'!$B$13,Paramètres!$A$1:$I$89,5,0)</f>
        <v>6.7984728957526396E-14</v>
      </c>
      <c r="CV147" s="13">
        <f t="shared" si="149"/>
        <v>1.0682447123141398E-12</v>
      </c>
      <c r="CW147" s="20">
        <f t="shared" si="121"/>
        <v>1.978932943548152E-12</v>
      </c>
      <c r="CX147" s="59">
        <f t="shared" si="122"/>
        <v>288.83430032259059</v>
      </c>
      <c r="CY147" s="59">
        <f ca="1">AVERAGE(OFFSET($CX$3,0,0,'Données projet'!$E$13+1,1))-AVERAGE(OFFSET($H$3,0,0,'Données projet'!$E$13+1,1))</f>
        <v>317.12995176362455</v>
      </c>
      <c r="CZ147" s="59">
        <f t="shared" si="150"/>
        <v>328.11301015275262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1.8883705361789322</v>
      </c>
      <c r="DG147" s="21">
        <f>EXP(-LN(2)/25)*DG146+(1-EXP(-LN(2)/25))/(LN(2)/25)*Calculateur!DB147*Calculateur!DD147*VLOOKUP('Données projet'!$B$13,Paramètres!$A$1:$I$89,3,0)*0.475*44/12</f>
        <v>0.68364451988162533</v>
      </c>
      <c r="DH147" s="21">
        <f>EXP(-LN(2)/2)*DH146+(1-EXP(-LN(2)/2))/(LN(2)/2)*DB147*DE147*VLOOKUP('Données projet'!$B$13,Paramètres!$A$1:$I$89,3,0)*0.475*44/12</f>
        <v>3.9838852245857681E-17</v>
      </c>
      <c r="DI147" s="22">
        <f t="shared" si="123"/>
        <v>2.5720150560605575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2.8421709430404007E-14</v>
      </c>
      <c r="DP147" s="17">
        <f>DO147*VLOOKUP('Données projet'!$B$14,Paramètres!$A$1:$I$89,3,0)*VLOOKUP('Données projet'!$B$14,Paramètres!$A$1:$I$89,5,0)</f>
        <v>2.4829205358400945E-14</v>
      </c>
      <c r="DQ147" s="13">
        <f t="shared" si="151"/>
        <v>4.3867331143352915E-13</v>
      </c>
      <c r="DR147" s="20">
        <f t="shared" si="124"/>
        <v>8.0726688341261168E-13</v>
      </c>
      <c r="DS147" s="59">
        <f t="shared" si="125"/>
        <v>288.8343003225894</v>
      </c>
      <c r="DT147" s="59">
        <f ca="1">AVERAGE(OFFSET($DS$3,0,0,'Données projet'!$E$14+1,1))-AVERAGE(OFFSET($H$3,0,0,'Données projet'!$E$14+1,1))</f>
        <v>325.5873213944476</v>
      </c>
      <c r="DU147" s="59">
        <f t="shared" si="152"/>
        <v>347.9042278368363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0.30626131440195037</v>
      </c>
      <c r="EB147" s="21">
        <f>EXP(-LN(2)/25)*EB146+(1-EXP(-LN(2)/25))/(LN(2)/25)*Calculateur!DW147*Calculateur!DY147*VLOOKUP('Données projet'!$B$14,Paramètres!$A$1:$I$89,3,0)*0.475*44/12</f>
        <v>0.37405607445256978</v>
      </c>
      <c r="EC147" s="21">
        <f>EXP(-LN(2)/2)*EC146+(1-EXP(-LN(2)/2))/(LN(2)/2)*DW147*DZ147*VLOOKUP('Données projet'!$B$14,Paramètres!$A$1:$I$89,3,0)*0.475*44/12</f>
        <v>8.2918537566308447E-17</v>
      </c>
      <c r="ED147" s="22">
        <f t="shared" si="126"/>
        <v>0.68031738885452031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205.5480000480477</v>
      </c>
      <c r="EP147" s="59">
        <f t="shared" si="154"/>
        <v>229.86812144828366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0.76931561301090901</v>
      </c>
      <c r="EW147" s="21">
        <f>EXP(-LN(2)/25)*EW146+(1-EXP(-LN(2)/25))/(LN(2)/25)*Calculateur!ER147*Calculateur!ET147*VLOOKUP('Données projet'!$B$15,Paramètres!$A$1:$I$89,3,0)*0.475*44/12</f>
        <v>0.25531877337956643</v>
      </c>
      <c r="EX147" s="21">
        <f>EXP(-LN(2)/2)*EX146+(1-EXP(-LN(2)/2))/(LN(2)/2)*ER147*EU147*VLOOKUP('Données projet'!$B$15,Paramètres!$A$1:$I$89,3,0)*0.475*44/12</f>
        <v>2.0525047149330773E-17</v>
      </c>
      <c r="EY147" s="22">
        <f t="shared" si="129"/>
        <v>1.0246343863904754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3.05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25.334400000000056</v>
      </c>
      <c r="D148" s="11">
        <f t="shared" si="140"/>
        <v>8.0143955200794714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89.982042267143811</v>
      </c>
      <c r="H148" s="67">
        <f t="shared" si="110"/>
        <v>270.01581886413851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-1.9065282685915009E-13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542.23071537860039</v>
      </c>
      <c r="T148" s="59">
        <f t="shared" si="142"/>
        <v>667.26143680054633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0.75279513149084243</v>
      </c>
      <c r="AA148" s="21">
        <f>EXP(-LN(2)/25)*AA147+(1-EXP(-LN(2)/25))/(LN(2)/25)*Calculateur!V148*Calculateur!X148*VLOOKUP('Données projet'!$B$9,Paramètres!$A$1:$I$89,3,0)*0.475*44/12</f>
        <v>1.7570989411076037</v>
      </c>
      <c r="AB148" s="21">
        <f>EXP(-LN(2)/2)*AB147+(1-EXP(-LN(2)/2))/(LN(2)/2)*V148*Y148*VLOOKUP('Données projet'!$B$9,Paramètres!$A$1:$I$89,3,0)*0.475*44/12</f>
        <v>7.0742271112611716E-17</v>
      </c>
      <c r="AC148" s="22">
        <f t="shared" si="111"/>
        <v>2.509894072598446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-1.2710188457276673E-13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427.83834708696861</v>
      </c>
      <c r="AO148" s="59">
        <f t="shared" si="144"/>
        <v>545.63950537101903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0.45167707889450603</v>
      </c>
      <c r="AV148" s="21">
        <f>EXP(-LN(2)/25)*AV147+(1-EXP(-LN(2)/25))/(LN(2)/25)*Calculateur!AQ148*Calculateur!AS148*VLOOKUP('Données projet'!$B$10,Paramètres!$A$1:$I$89,3,0)*0.475*44/12</f>
        <v>1.0152335891891109</v>
      </c>
      <c r="AW148" s="21">
        <f>EXP(-LN(2)/2)*AW147+(1-EXP(-LN(2)/2))/(LN(2)/2)*AQ148*AT148*VLOOKUP('Données projet'!$B$10,Paramètres!$A$1:$I$89,3,0)*0.475*44/12</f>
        <v>4.5396434384199218E-17</v>
      </c>
      <c r="AX148" s="21">
        <f t="shared" si="114"/>
        <v>1.4669106680836168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-2.6602720026858149E-14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210.62109466714364</v>
      </c>
      <c r="BJ148" s="59">
        <f t="shared" si="146"/>
        <v>193.35729443770401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0.66935490935228825</v>
      </c>
      <c r="BQ148" s="21">
        <f>EXP(-LN(2)/25)*BQ147+(1-EXP(-LN(2)/25))/(LN(2)/25)*Calculateur!BL148*Calculateur!BN148*VLOOKUP('Données projet'!$B$11,Paramètres!$A$1:$I$89,3,0)*0.475*44/12</f>
        <v>0.33038336600004675</v>
      </c>
      <c r="BR148" s="21">
        <f>EXP(-LN(2)/2)*BR147+(1-EXP(-LN(2)/2))/(LN(2)/2)*BL148*BO148*VLOOKUP('Données projet'!$B$11,Paramètres!$A$1:$I$89,3,0)*0.475*44/12</f>
        <v>3.8840068377781454E-17</v>
      </c>
      <c r="BS148" s="22">
        <f t="shared" si="117"/>
        <v>0.99973827535233495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368.16165268258442</v>
      </c>
      <c r="CE148" s="59">
        <f t="shared" si="148"/>
        <v>291.32219253157041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0.76689211033131599</v>
      </c>
      <c r="CL148" s="21">
        <f>EXP(-LN(2)/25)*CL147+(1-EXP(-LN(2)/25))/(LN(2)/25)*Calculateur!CG148*Calculateur!CI148*VLOOKUP('Données projet'!$B$12,Paramètres!$A$1:$I$89,3,0)*0.475*44/12</f>
        <v>0.27393102463342889</v>
      </c>
      <c r="CM148" s="21">
        <f>EXP(-LN(2)/2)*CM147+(1-EXP(-LN(2)/2))/(LN(2)/2)*CG148*CJ148*VLOOKUP('Données projet'!$B$12,Paramètres!$A$1:$I$89,3,0)*0.475*44/12</f>
        <v>3.8873691058340756E-17</v>
      </c>
      <c r="CN148" s="22">
        <f t="shared" si="120"/>
        <v>1.0408231349647448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1.1368683772161603E-13</v>
      </c>
      <c r="CU148" s="17">
        <f>CT148*VLOOKUP('Données projet'!$B$13,Paramètres!$A$1:$I$89,3,0)*VLOOKUP('Données projet'!$B$13,Paramètres!$A$1:$I$89,5,0)</f>
        <v>6.7984728957526396E-14</v>
      </c>
      <c r="CV148" s="13">
        <f t="shared" si="149"/>
        <v>1.0682447123141398E-12</v>
      </c>
      <c r="CW148" s="20">
        <f t="shared" si="121"/>
        <v>1.978932943548152E-12</v>
      </c>
      <c r="CX148" s="59">
        <f t="shared" si="122"/>
        <v>288.91234848699605</v>
      </c>
      <c r="CY148" s="59">
        <f ca="1">AVERAGE(OFFSET($CX$3,0,0,'Données projet'!$E$13+1,1))-AVERAGE(OFFSET($H$3,0,0,'Données projet'!$E$13+1,1))</f>
        <v>317.12995176362455</v>
      </c>
      <c r="CZ148" s="59">
        <f t="shared" si="150"/>
        <v>328.11301015275262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1.8513407417567604</v>
      </c>
      <c r="DG148" s="21">
        <f>EXP(-LN(2)/25)*DG147+(1-EXP(-LN(2)/25))/(LN(2)/25)*Calculateur!DB148*Calculateur!DD148*VLOOKUP('Données projet'!$B$13,Paramètres!$A$1:$I$89,3,0)*0.475*44/12</f>
        <v>0.66495022453415953</v>
      </c>
      <c r="DH148" s="21">
        <f>EXP(-LN(2)/2)*DH147+(1-EXP(-LN(2)/2))/(LN(2)/2)*DB148*DE148*VLOOKUP('Données projet'!$B$13,Paramètres!$A$1:$I$89,3,0)*0.475*44/12</f>
        <v>2.8170322577734884E-17</v>
      </c>
      <c r="DI148" s="22">
        <f t="shared" si="123"/>
        <v>2.5162909662909199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2.8421709430404007E-14</v>
      </c>
      <c r="DP148" s="17">
        <f>DO148*VLOOKUP('Données projet'!$B$14,Paramètres!$A$1:$I$89,3,0)*VLOOKUP('Données projet'!$B$14,Paramètres!$A$1:$I$89,5,0)</f>
        <v>2.4829205358400945E-14</v>
      </c>
      <c r="DQ148" s="13">
        <f t="shared" si="151"/>
        <v>4.3867331143352915E-13</v>
      </c>
      <c r="DR148" s="20">
        <f t="shared" si="124"/>
        <v>8.0726688341261168E-13</v>
      </c>
      <c r="DS148" s="59">
        <f t="shared" si="125"/>
        <v>288.91234848699486</v>
      </c>
      <c r="DT148" s="59">
        <f ca="1">AVERAGE(OFFSET($DS$3,0,0,'Données projet'!$E$14+1,1))-AVERAGE(OFFSET($H$3,0,0,'Données projet'!$E$14+1,1))</f>
        <v>325.5873213944476</v>
      </c>
      <c r="DU148" s="59">
        <f t="shared" si="152"/>
        <v>347.9042278368363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0.30025571682748486</v>
      </c>
      <c r="EB148" s="21">
        <f>EXP(-LN(2)/25)*EB147+(1-EXP(-LN(2)/25))/(LN(2)/25)*Calculateur!DW148*Calculateur!DY148*VLOOKUP('Données projet'!$B$14,Paramètres!$A$1:$I$89,3,0)*0.475*44/12</f>
        <v>0.3638274914259102</v>
      </c>
      <c r="EC148" s="21">
        <f>EXP(-LN(2)/2)*EC147+(1-EXP(-LN(2)/2))/(LN(2)/2)*DW148*DZ148*VLOOKUP('Données projet'!$B$14,Paramètres!$A$1:$I$89,3,0)*0.475*44/12</f>
        <v>5.8632260199208188E-17</v>
      </c>
      <c r="ED148" s="22">
        <f t="shared" si="126"/>
        <v>0.66408320825339517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205.5480000480477</v>
      </c>
      <c r="EP148" s="59">
        <f t="shared" si="154"/>
        <v>229.86812144828366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0.75422980307595577</v>
      </c>
      <c r="EW148" s="21">
        <f>EXP(-LN(2)/25)*EW147+(1-EXP(-LN(2)/25))/(LN(2)/25)*Calculateur!ER148*Calculateur!ET148*VLOOKUP('Données projet'!$B$15,Paramètres!$A$1:$I$89,3,0)*0.475*44/12</f>
        <v>0.24833706809487144</v>
      </c>
      <c r="EX148" s="21">
        <f>EXP(-LN(2)/2)*EX147+(1-EXP(-LN(2)/2))/(LN(2)/2)*ER148*EU148*VLOOKUP('Données projet'!$B$15,Paramètres!$A$1:$I$89,3,0)*0.475*44/12</f>
        <v>1.4513400023465406E-17</v>
      </c>
      <c r="EY148" s="22">
        <f t="shared" si="129"/>
        <v>1.0025668711708273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3.05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25.509120000000056</v>
      </c>
      <c r="D149" s="11">
        <f t="shared" si="140"/>
        <v>8.0632140357639468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90.534221618167919</v>
      </c>
      <c r="H149" s="67">
        <f t="shared" si="110"/>
        <v>270.40514844562227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-1.9065282685915009E-13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542.23071537860039</v>
      </c>
      <c r="T149" s="59">
        <f t="shared" si="142"/>
        <v>667.26143680054633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0.73803327812199893</v>
      </c>
      <c r="AA149" s="21">
        <f>EXP(-LN(2)/25)*AA148+(1-EXP(-LN(2)/25))/(LN(2)/25)*Calculateur!V149*Calculateur!X149*VLOOKUP('Données projet'!$B$9,Paramètres!$A$1:$I$89,3,0)*0.475*44/12</f>
        <v>1.7090509781611989</v>
      </c>
      <c r="AB149" s="21">
        <f>EXP(-LN(2)/2)*AB148+(1-EXP(-LN(2)/2))/(LN(2)/2)*V149*Y149*VLOOKUP('Données projet'!$B$9,Paramètres!$A$1:$I$89,3,0)*0.475*44/12</f>
        <v>5.0022339620264955E-17</v>
      </c>
      <c r="AC149" s="22">
        <f t="shared" si="111"/>
        <v>2.4470842562831976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-1.2710188457276673E-13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427.83834708696861</v>
      </c>
      <c r="AO149" s="59">
        <f t="shared" si="144"/>
        <v>545.63950537101903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0.44281996687319997</v>
      </c>
      <c r="AV149" s="21">
        <f>EXP(-LN(2)/25)*AV148+(1-EXP(-LN(2)/25))/(LN(2)/25)*Calculateur!AQ149*Calculateur!AS149*VLOOKUP('Données projet'!$B$10,Paramètres!$A$1:$I$89,3,0)*0.475*44/12</f>
        <v>0.98747197330392056</v>
      </c>
      <c r="AW149" s="21">
        <f>EXP(-LN(2)/2)*AW148+(1-EXP(-LN(2)/2))/(LN(2)/2)*AQ149*AT149*VLOOKUP('Données projet'!$B$10,Paramètres!$A$1:$I$89,3,0)*0.475*44/12</f>
        <v>3.2100126594757418E-17</v>
      </c>
      <c r="AX149" s="21">
        <f t="shared" si="114"/>
        <v>1.4302919401771206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-2.6602720026858149E-14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210.62109466714364</v>
      </c>
      <c r="BJ149" s="59">
        <f t="shared" si="146"/>
        <v>193.35729443770401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0.65622926784607161</v>
      </c>
      <c r="BQ149" s="21">
        <f>EXP(-LN(2)/25)*BQ148+(1-EXP(-LN(2)/25))/(LN(2)/25)*Calculateur!BL149*Calculateur!BN149*VLOOKUP('Données projet'!$B$11,Paramètres!$A$1:$I$89,3,0)*0.475*44/12</f>
        <v>0.32134901548266936</v>
      </c>
      <c r="BR149" s="21">
        <f>EXP(-LN(2)/2)*BR148+(1-EXP(-LN(2)/2))/(LN(2)/2)*BL149*BO149*VLOOKUP('Données projet'!$B$11,Paramètres!$A$1:$I$89,3,0)*0.475*44/12</f>
        <v>2.7464075731678455E-17</v>
      </c>
      <c r="BS149" s="22">
        <f t="shared" si="117"/>
        <v>0.97757828332874097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368.16165268258442</v>
      </c>
      <c r="CE149" s="59">
        <f t="shared" si="148"/>
        <v>291.32219253157041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0.75185382380571897</v>
      </c>
      <c r="CL149" s="21">
        <f>EXP(-LN(2)/25)*CL148+(1-EXP(-LN(2)/25))/(LN(2)/25)*Calculateur!CG149*Calculateur!CI149*VLOOKUP('Données projet'!$B$12,Paramètres!$A$1:$I$89,3,0)*0.475*44/12</f>
        <v>0.26644036635942125</v>
      </c>
      <c r="CM149" s="21">
        <f>EXP(-LN(2)/2)*CM148+(1-EXP(-LN(2)/2))/(LN(2)/2)*CG149*CJ149*VLOOKUP('Données projet'!$B$12,Paramètres!$A$1:$I$89,3,0)*0.475*44/12</f>
        <v>2.7487850557103607E-17</v>
      </c>
      <c r="CN149" s="22">
        <f t="shared" si="120"/>
        <v>1.0182941901651401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1.1368683772161603E-13</v>
      </c>
      <c r="CU149" s="17">
        <f>CT149*VLOOKUP('Données projet'!$B$13,Paramètres!$A$1:$I$89,3,0)*VLOOKUP('Données projet'!$B$13,Paramètres!$A$1:$I$89,5,0)</f>
        <v>6.7984728957526396E-14</v>
      </c>
      <c r="CV149" s="13">
        <f t="shared" si="149"/>
        <v>1.0682447123141398E-12</v>
      </c>
      <c r="CW149" s="20">
        <f t="shared" si="121"/>
        <v>1.978932943548152E-12</v>
      </c>
      <c r="CX149" s="59">
        <f t="shared" si="122"/>
        <v>288.9890426902387</v>
      </c>
      <c r="CY149" s="59">
        <f ca="1">AVERAGE(OFFSET($CX$3,0,0,'Données projet'!$E$13+1,1))-AVERAGE(OFFSET($H$3,0,0,'Données projet'!$E$13+1,1))</f>
        <v>317.12995176362455</v>
      </c>
      <c r="CZ149" s="59">
        <f t="shared" si="150"/>
        <v>328.11301015275262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1.815037079017263</v>
      </c>
      <c r="DG149" s="21">
        <f>EXP(-LN(2)/25)*DG148+(1-EXP(-LN(2)/25))/(LN(2)/25)*Calculateur!DB149*Calculateur!DD149*VLOOKUP('Données projet'!$B$13,Paramètres!$A$1:$I$89,3,0)*0.475*44/12</f>
        <v>0.64676712567606043</v>
      </c>
      <c r="DH149" s="21">
        <f>EXP(-LN(2)/2)*DH148+(1-EXP(-LN(2)/2))/(LN(2)/2)*DB149*DE149*VLOOKUP('Données projet'!$B$13,Paramètres!$A$1:$I$89,3,0)*0.475*44/12</f>
        <v>1.9919426122928841E-17</v>
      </c>
      <c r="DI149" s="22">
        <f t="shared" si="123"/>
        <v>2.4618042046933235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2.8421709430404007E-14</v>
      </c>
      <c r="DP149" s="17">
        <f>DO149*VLOOKUP('Données projet'!$B$14,Paramètres!$A$1:$I$89,3,0)*VLOOKUP('Données projet'!$B$14,Paramètres!$A$1:$I$89,5,0)</f>
        <v>2.4829205358400945E-14</v>
      </c>
      <c r="DQ149" s="13">
        <f t="shared" si="151"/>
        <v>4.3867331143352915E-13</v>
      </c>
      <c r="DR149" s="20">
        <f t="shared" si="124"/>
        <v>8.0726688341261168E-13</v>
      </c>
      <c r="DS149" s="59">
        <f t="shared" si="125"/>
        <v>288.98904269023751</v>
      </c>
      <c r="DT149" s="59">
        <f ca="1">AVERAGE(OFFSET($DS$3,0,0,'Données projet'!$E$14+1,1))-AVERAGE(OFFSET($H$3,0,0,'Données projet'!$E$14+1,1))</f>
        <v>325.5873213944476</v>
      </c>
      <c r="DU149" s="59">
        <f t="shared" si="152"/>
        <v>347.9042278368363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0.2943678853584018</v>
      </c>
      <c r="EB149" s="21">
        <f>EXP(-LN(2)/25)*EB148+(1-EXP(-LN(2)/25))/(LN(2)/25)*Calculateur!DW149*Calculateur!DY149*VLOOKUP('Données projet'!$B$14,Paramètres!$A$1:$I$89,3,0)*0.475*44/12</f>
        <v>0.35387860954001243</v>
      </c>
      <c r="EC149" s="21">
        <f>EXP(-LN(2)/2)*EC148+(1-EXP(-LN(2)/2))/(LN(2)/2)*DW149*DZ149*VLOOKUP('Données projet'!$B$14,Paramètres!$A$1:$I$89,3,0)*0.475*44/12</f>
        <v>4.1459268783154223E-17</v>
      </c>
      <c r="ED149" s="22">
        <f t="shared" si="126"/>
        <v>0.64824649489841424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205.5480000480477</v>
      </c>
      <c r="EP149" s="59">
        <f t="shared" si="154"/>
        <v>229.86812144828366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0.73943981667239145</v>
      </c>
      <c r="EW149" s="21">
        <f>EXP(-LN(2)/25)*EW148+(1-EXP(-LN(2)/25))/(LN(2)/25)*Calculateur!ER149*Calculateur!ET149*VLOOKUP('Données projet'!$B$15,Paramètres!$A$1:$I$89,3,0)*0.475*44/12</f>
        <v>0.24154627790833835</v>
      </c>
      <c r="EX149" s="21">
        <f>EXP(-LN(2)/2)*EX148+(1-EXP(-LN(2)/2))/(LN(2)/2)*ER149*EU149*VLOOKUP('Données projet'!$B$15,Paramètres!$A$1:$I$89,3,0)*0.475*44/12</f>
        <v>1.0262523574665387E-17</v>
      </c>
      <c r="EY149" s="22">
        <f t="shared" si="129"/>
        <v>0.98098609458072983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3.05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25.683840000000057</v>
      </c>
      <c r="D150" s="11">
        <f t="shared" si="140"/>
        <v>8.1119936455744366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91.086304864857709</v>
      </c>
      <c r="H150" s="67">
        <f t="shared" si="110"/>
        <v>270.79441026604223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-1.9065282685915009E-13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542.23071537860039</v>
      </c>
      <c r="T150" s="59">
        <f t="shared" si="142"/>
        <v>667.26143680054633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0.72356089569387694</v>
      </c>
      <c r="AA150" s="21">
        <f>EXP(-LN(2)/25)*AA149+(1-EXP(-LN(2)/25))/(LN(2)/25)*Calculateur!V150*Calculateur!X150*VLOOKUP('Données projet'!$B$9,Paramètres!$A$1:$I$89,3,0)*0.475*44/12</f>
        <v>1.662316889288296</v>
      </c>
      <c r="AB150" s="21">
        <f>EXP(-LN(2)/2)*AB149+(1-EXP(-LN(2)/2))/(LN(2)/2)*V150*Y150*VLOOKUP('Données projet'!$B$9,Paramètres!$A$1:$I$89,3,0)*0.475*44/12</f>
        <v>3.5371135556305858E-17</v>
      </c>
      <c r="AC150" s="22">
        <f t="shared" si="111"/>
        <v>2.3858777849821728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-1.2710188457276673E-13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427.83834708696861</v>
      </c>
      <c r="AO150" s="59">
        <f t="shared" si="144"/>
        <v>545.63950537101903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0.4341365374163268</v>
      </c>
      <c r="AV150" s="21">
        <f>EXP(-LN(2)/25)*AV149+(1-EXP(-LN(2)/25))/(LN(2)/25)*Calculateur!AQ150*Calculateur!AS150*VLOOKUP('Données projet'!$B$10,Paramètres!$A$1:$I$89,3,0)*0.475*44/12</f>
        <v>0.96046950026503064</v>
      </c>
      <c r="AW150" s="21">
        <f>EXP(-LN(2)/2)*AW149+(1-EXP(-LN(2)/2))/(LN(2)/2)*AQ150*AT150*VLOOKUP('Données projet'!$B$10,Paramètres!$A$1:$I$89,3,0)*0.475*44/12</f>
        <v>2.2698217192099609E-17</v>
      </c>
      <c r="AX150" s="21">
        <f t="shared" si="114"/>
        <v>1.3946060376813574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-2.6602720026858149E-14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210.62109466714364</v>
      </c>
      <c r="BJ150" s="59">
        <f t="shared" si="146"/>
        <v>193.35729443770401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0.64336101216394115</v>
      </c>
      <c r="BQ150" s="21">
        <f>EXP(-LN(2)/25)*BQ149+(1-EXP(-LN(2)/25))/(LN(2)/25)*Calculateur!BL150*Calculateur!BN150*VLOOKUP('Données projet'!$B$11,Paramètres!$A$1:$I$89,3,0)*0.475*44/12</f>
        <v>0.31256170975528552</v>
      </c>
      <c r="BR150" s="21">
        <f>EXP(-LN(2)/2)*BR149+(1-EXP(-LN(2)/2))/(LN(2)/2)*BL150*BO150*VLOOKUP('Données projet'!$B$11,Paramètres!$A$1:$I$89,3,0)*0.475*44/12</f>
        <v>1.942003418889073E-17</v>
      </c>
      <c r="BS150" s="22">
        <f t="shared" si="117"/>
        <v>0.95592272191922667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368.16165268258442</v>
      </c>
      <c r="CE150" s="59">
        <f t="shared" si="148"/>
        <v>291.32219253157041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0.73711042890643974</v>
      </c>
      <c r="CL150" s="21">
        <f>EXP(-LN(2)/25)*CL149+(1-EXP(-LN(2)/25))/(LN(2)/25)*Calculateur!CG150*Calculateur!CI150*VLOOKUP('Données projet'!$B$12,Paramètres!$A$1:$I$89,3,0)*0.475*44/12</f>
        <v>0.25915454052983294</v>
      </c>
      <c r="CM150" s="21">
        <f>EXP(-LN(2)/2)*CM149+(1-EXP(-LN(2)/2))/(LN(2)/2)*CG150*CJ150*VLOOKUP('Données projet'!$B$12,Paramètres!$A$1:$I$89,3,0)*0.475*44/12</f>
        <v>1.9436845529170381E-17</v>
      </c>
      <c r="CN150" s="22">
        <f t="shared" si="120"/>
        <v>0.99626496943627263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1.1368683772161603E-13</v>
      </c>
      <c r="CU150" s="17">
        <f>CT150*VLOOKUP('Données projet'!$B$13,Paramètres!$A$1:$I$89,3,0)*VLOOKUP('Données projet'!$B$13,Paramètres!$A$1:$I$89,5,0)</f>
        <v>6.7984728957526396E-14</v>
      </c>
      <c r="CV150" s="13">
        <f t="shared" si="149"/>
        <v>1.0682447123141398E-12</v>
      </c>
      <c r="CW150" s="20">
        <f t="shared" si="121"/>
        <v>1.978932943548152E-12</v>
      </c>
      <c r="CX150" s="59">
        <f t="shared" si="122"/>
        <v>289.06440642051751</v>
      </c>
      <c r="CY150" s="59">
        <f ca="1">AVERAGE(OFFSET($CX$3,0,0,'Données projet'!$E$13+1,1))-AVERAGE(OFFSET($H$3,0,0,'Données projet'!$E$13+1,1))</f>
        <v>317.12995176362455</v>
      </c>
      <c r="CZ150" s="59">
        <f t="shared" si="150"/>
        <v>328.11301015275262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1.7794453089610391</v>
      </c>
      <c r="DG150" s="21">
        <f>EXP(-LN(2)/25)*DG149+(1-EXP(-LN(2)/25))/(LN(2)/25)*Calculateur!DB150*Calculateur!DD150*VLOOKUP('Données projet'!$B$13,Paramètres!$A$1:$I$89,3,0)*0.475*44/12</f>
        <v>0.62908124461244364</v>
      </c>
      <c r="DH150" s="21">
        <f>EXP(-LN(2)/2)*DH149+(1-EXP(-LN(2)/2))/(LN(2)/2)*DB150*DE150*VLOOKUP('Données projet'!$B$13,Paramètres!$A$1:$I$89,3,0)*0.475*44/12</f>
        <v>1.4085161288867442E-17</v>
      </c>
      <c r="DI150" s="22">
        <f t="shared" si="123"/>
        <v>2.4085265535734828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2.8421709430404007E-14</v>
      </c>
      <c r="DP150" s="17">
        <f>DO150*VLOOKUP('Données projet'!$B$14,Paramètres!$A$1:$I$89,3,0)*VLOOKUP('Données projet'!$B$14,Paramètres!$A$1:$I$89,5,0)</f>
        <v>2.4829205358400945E-14</v>
      </c>
      <c r="DQ150" s="13">
        <f t="shared" si="151"/>
        <v>4.3867331143352915E-13</v>
      </c>
      <c r="DR150" s="20">
        <f t="shared" si="124"/>
        <v>8.0726688341261168E-13</v>
      </c>
      <c r="DS150" s="59">
        <f t="shared" si="125"/>
        <v>289.06440642051632</v>
      </c>
      <c r="DT150" s="59">
        <f ca="1">AVERAGE(OFFSET($DS$3,0,0,'Données projet'!$E$14+1,1))-AVERAGE(OFFSET($H$3,0,0,'Données projet'!$E$14+1,1))</f>
        <v>325.5873213944476</v>
      </c>
      <c r="DU150" s="59">
        <f t="shared" si="152"/>
        <v>347.9042278368363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0.28859551067320482</v>
      </c>
      <c r="EB150" s="21">
        <f>EXP(-LN(2)/25)*EB149+(1-EXP(-LN(2)/25))/(LN(2)/25)*Calculateur!DW150*Calculateur!DY150*VLOOKUP('Données projet'!$B$14,Paramètres!$A$1:$I$89,3,0)*0.475*44/12</f>
        <v>0.34420178035247351</v>
      </c>
      <c r="EC150" s="21">
        <f>EXP(-LN(2)/2)*EC149+(1-EXP(-LN(2)/2))/(LN(2)/2)*DW150*DZ150*VLOOKUP('Données projet'!$B$14,Paramètres!$A$1:$I$89,3,0)*0.475*44/12</f>
        <v>2.9316130099604094E-17</v>
      </c>
      <c r="ED150" s="22">
        <f t="shared" si="126"/>
        <v>0.63279729102567828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205.5480000480477</v>
      </c>
      <c r="EP150" s="59">
        <f t="shared" si="154"/>
        <v>229.86812144828366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0.72493985288120011</v>
      </c>
      <c r="EW150" s="21">
        <f>EXP(-LN(2)/25)*EW149+(1-EXP(-LN(2)/25))/(LN(2)/25)*Calculateur!ER150*Calculateur!ET150*VLOOKUP('Données projet'!$B$15,Paramètres!$A$1:$I$89,3,0)*0.475*44/12</f>
        <v>0.23494118223656815</v>
      </c>
      <c r="EX150" s="21">
        <f>EXP(-LN(2)/2)*EX149+(1-EXP(-LN(2)/2))/(LN(2)/2)*ER150*EU150*VLOOKUP('Données projet'!$B$15,Paramètres!$A$1:$I$89,3,0)*0.475*44/12</f>
        <v>7.2567000117327029E-18</v>
      </c>
      <c r="EY150" s="22">
        <f t="shared" si="129"/>
        <v>0.95988103511776823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3.05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25.858560000000057</v>
      </c>
      <c r="D151" s="11">
        <f t="shared" si="140"/>
        <v>8.160734644871475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91.638292736805482</v>
      </c>
      <c r="H151" s="67">
        <f t="shared" si="110"/>
        <v>271.18360483981792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-1.9065282685915009E-13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542.23071537860039</v>
      </c>
      <c r="T151" s="59">
        <f t="shared" si="142"/>
        <v>667.26143680054633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0.70937230785788885</v>
      </c>
      <c r="AA151" s="21">
        <f>EXP(-LN(2)/25)*AA150+(1-EXP(-LN(2)/25))/(LN(2)/25)*Calculateur!V151*Calculateur!X151*VLOOKUP('Données projet'!$B$9,Paramètres!$A$1:$I$89,3,0)*0.475*44/12</f>
        <v>1.6168607465332616</v>
      </c>
      <c r="AB151" s="21">
        <f>EXP(-LN(2)/2)*AB150+(1-EXP(-LN(2)/2))/(LN(2)/2)*V151*Y151*VLOOKUP('Données projet'!$B$9,Paramètres!$A$1:$I$89,3,0)*0.475*44/12</f>
        <v>2.5011169810132477E-17</v>
      </c>
      <c r="AC151" s="22">
        <f t="shared" si="111"/>
        <v>2.3262330543911505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-1.2710188457276673E-13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427.83834708696861</v>
      </c>
      <c r="AO151" s="59">
        <f t="shared" si="144"/>
        <v>545.63950537101903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0.42562338471473393</v>
      </c>
      <c r="AV151" s="21">
        <f>EXP(-LN(2)/25)*AV150+(1-EXP(-LN(2)/25))/(LN(2)/25)*Calculateur!AQ151*Calculateur!AS151*VLOOKUP('Données projet'!$B$10,Paramètres!$A$1:$I$89,3,0)*0.475*44/12</f>
        <v>0.93420541127138756</v>
      </c>
      <c r="AW151" s="21">
        <f>EXP(-LN(2)/2)*AW150+(1-EXP(-LN(2)/2))/(LN(2)/2)*AQ151*AT151*VLOOKUP('Données projet'!$B$10,Paramètres!$A$1:$I$89,3,0)*0.475*44/12</f>
        <v>1.6050063297378709E-17</v>
      </c>
      <c r="AX151" s="21">
        <f t="shared" si="114"/>
        <v>1.3598287959861215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-2.6602720026858149E-14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210.62109466714364</v>
      </c>
      <c r="BJ151" s="59">
        <f t="shared" si="146"/>
        <v>193.35729443770401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0.63074509512687627</v>
      </c>
      <c r="BQ151" s="21">
        <f>EXP(-LN(2)/25)*BQ150+(1-EXP(-LN(2)/25))/(LN(2)/25)*Calculateur!BL151*Calculateur!BN151*VLOOKUP('Données projet'!$B$11,Paramètres!$A$1:$I$89,3,0)*0.475*44/12</f>
        <v>0.30401469336512127</v>
      </c>
      <c r="BR151" s="21">
        <f>EXP(-LN(2)/2)*BR150+(1-EXP(-LN(2)/2))/(LN(2)/2)*BL151*BO151*VLOOKUP('Données projet'!$B$11,Paramètres!$A$1:$I$89,3,0)*0.475*44/12</f>
        <v>1.3732037865839231E-17</v>
      </c>
      <c r="BS151" s="22">
        <f t="shared" si="117"/>
        <v>0.93475978849199759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368.16165268258442</v>
      </c>
      <c r="CE151" s="59">
        <f t="shared" si="148"/>
        <v>291.32219253157041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0.72265614298855252</v>
      </c>
      <c r="CL151" s="21">
        <f>EXP(-LN(2)/25)*CL150+(1-EXP(-LN(2)/25))/(LN(2)/25)*Calculateur!CG151*Calculateur!CI151*VLOOKUP('Données projet'!$B$12,Paramètres!$A$1:$I$89,3,0)*0.475*44/12</f>
        <v>0.2520679459906997</v>
      </c>
      <c r="CM151" s="21">
        <f>EXP(-LN(2)/2)*CM150+(1-EXP(-LN(2)/2))/(LN(2)/2)*CG151*CJ151*VLOOKUP('Données projet'!$B$12,Paramètres!$A$1:$I$89,3,0)*0.475*44/12</f>
        <v>1.3743925278551807E-17</v>
      </c>
      <c r="CN151" s="22">
        <f t="shared" si="120"/>
        <v>0.97472408897925222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1.1368683772161603E-13</v>
      </c>
      <c r="CU151" s="17">
        <f>CT151*VLOOKUP('Données projet'!$B$13,Paramètres!$A$1:$I$89,3,0)*VLOOKUP('Données projet'!$B$13,Paramètres!$A$1:$I$89,5,0)</f>
        <v>6.7984728957526396E-14</v>
      </c>
      <c r="CV151" s="13">
        <f t="shared" si="149"/>
        <v>1.0682447123141398E-12</v>
      </c>
      <c r="CW151" s="20">
        <f t="shared" si="121"/>
        <v>1.978932943548152E-12</v>
      </c>
      <c r="CX151" s="59">
        <f t="shared" si="122"/>
        <v>289.13846275856412</v>
      </c>
      <c r="CY151" s="59">
        <f ca="1">AVERAGE(OFFSET($CX$3,0,0,'Données projet'!$E$13+1,1))-AVERAGE(OFFSET($H$3,0,0,'Données projet'!$E$13+1,1))</f>
        <v>317.12995176362455</v>
      </c>
      <c r="CZ151" s="59">
        <f t="shared" si="150"/>
        <v>328.11301015275262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1.7445514718067818</v>
      </c>
      <c r="DG151" s="21">
        <f>EXP(-LN(2)/25)*DG150+(1-EXP(-LN(2)/25))/(LN(2)/25)*Calculateur!DB151*Calculateur!DD151*VLOOKUP('Données projet'!$B$13,Paramètres!$A$1:$I$89,3,0)*0.475*44/12</f>
        <v>0.61187898489657144</v>
      </c>
      <c r="DH151" s="21">
        <f>EXP(-LN(2)/2)*DH150+(1-EXP(-LN(2)/2))/(LN(2)/2)*DB151*DE151*VLOOKUP('Données projet'!$B$13,Paramètres!$A$1:$I$89,3,0)*0.475*44/12</f>
        <v>9.9597130614644203E-18</v>
      </c>
      <c r="DI151" s="22">
        <f t="shared" si="123"/>
        <v>2.3564304567033534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2.8421709430404007E-14</v>
      </c>
      <c r="DP151" s="17">
        <f>DO151*VLOOKUP('Données projet'!$B$14,Paramètres!$A$1:$I$89,3,0)*VLOOKUP('Données projet'!$B$14,Paramètres!$A$1:$I$89,5,0)</f>
        <v>2.4829205358400945E-14</v>
      </c>
      <c r="DQ151" s="13">
        <f t="shared" si="151"/>
        <v>4.3867331143352915E-13</v>
      </c>
      <c r="DR151" s="20">
        <f t="shared" si="124"/>
        <v>8.0726688341261168E-13</v>
      </c>
      <c r="DS151" s="59">
        <f t="shared" si="125"/>
        <v>289.13846275856292</v>
      </c>
      <c r="DT151" s="59">
        <f ca="1">AVERAGE(OFFSET($DS$3,0,0,'Données projet'!$E$14+1,1))-AVERAGE(OFFSET($H$3,0,0,'Données projet'!$E$14+1,1))</f>
        <v>325.5873213944476</v>
      </c>
      <c r="DU151" s="59">
        <f t="shared" si="152"/>
        <v>347.9042278368363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0.28293632873478369</v>
      </c>
      <c r="EB151" s="21">
        <f>EXP(-LN(2)/25)*EB150+(1-EXP(-LN(2)/25))/(LN(2)/25)*Calculateur!DW151*Calculateur!DY151*VLOOKUP('Données projet'!$B$14,Paramètres!$A$1:$I$89,3,0)*0.475*44/12</f>
        <v>0.33478956456795017</v>
      </c>
      <c r="EC151" s="21">
        <f>EXP(-LN(2)/2)*EC150+(1-EXP(-LN(2)/2))/(LN(2)/2)*DW151*DZ151*VLOOKUP('Données projet'!$B$14,Paramètres!$A$1:$I$89,3,0)*0.475*44/12</f>
        <v>2.0729634391577112E-17</v>
      </c>
      <c r="ED151" s="22">
        <f t="shared" si="126"/>
        <v>0.61772589330273386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205.5480000480477</v>
      </c>
      <c r="EP151" s="59">
        <f t="shared" si="154"/>
        <v>229.86812144828366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0.71072422453584938</v>
      </c>
      <c r="EW151" s="21">
        <f>EXP(-LN(2)/25)*EW150+(1-EXP(-LN(2)/25))/(LN(2)/25)*Calculateur!ER151*Calculateur!ET151*VLOOKUP('Données projet'!$B$15,Paramètres!$A$1:$I$89,3,0)*0.475*44/12</f>
        <v>0.22851670325328938</v>
      </c>
      <c r="EX151" s="21">
        <f>EXP(-LN(2)/2)*EX150+(1-EXP(-LN(2)/2))/(LN(2)/2)*ER151*EU151*VLOOKUP('Données projet'!$B$15,Paramètres!$A$1:$I$89,3,0)*0.475*44/12</f>
        <v>5.1312617873326933E-18</v>
      </c>
      <c r="EY151" s="22">
        <f t="shared" si="129"/>
        <v>0.9392409277891387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3.05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26.033280000000058</v>
      </c>
      <c r="D152" s="11">
        <f t="shared" si="140"/>
        <v>8.2094373247934911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92.19018595317425</v>
      </c>
      <c r="H152" s="67">
        <f t="shared" si="110"/>
        <v>271.57273267401541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-1.9065282685915009E-13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542.23071537860039</v>
      </c>
      <c r="T152" s="59">
        <f t="shared" si="142"/>
        <v>667.26143680054633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0.69546194957518037</v>
      </c>
      <c r="AA152" s="21">
        <f>EXP(-LN(2)/25)*AA151+(1-EXP(-LN(2)/25))/(LN(2)/25)*Calculateur!V152*Calculateur!X152*VLOOKUP('Données projet'!$B$9,Paramètres!$A$1:$I$89,3,0)*0.475*44/12</f>
        <v>1.5726476043922983</v>
      </c>
      <c r="AB152" s="21">
        <f>EXP(-LN(2)/2)*AB151+(1-EXP(-LN(2)/2))/(LN(2)/2)*V152*Y152*VLOOKUP('Données projet'!$B$9,Paramètres!$A$1:$I$89,3,0)*0.475*44/12</f>
        <v>1.7685567778152929E-17</v>
      </c>
      <c r="AC152" s="22">
        <f t="shared" si="111"/>
        <v>2.2681095539674789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-1.2710188457276673E-13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427.83834708696861</v>
      </c>
      <c r="AO152" s="59">
        <f t="shared" si="144"/>
        <v>545.63950537101903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0.41727716974510887</v>
      </c>
      <c r="AV152" s="21">
        <f>EXP(-LN(2)/25)*AV151+(1-EXP(-LN(2)/25))/(LN(2)/25)*Calculateur!AQ152*Calculateur!AS152*VLOOKUP('Données projet'!$B$10,Paramètres!$A$1:$I$89,3,0)*0.475*44/12</f>
        <v>0.90865951517244403</v>
      </c>
      <c r="AW152" s="21">
        <f>EXP(-LN(2)/2)*AW151+(1-EXP(-LN(2)/2))/(LN(2)/2)*AQ152*AT152*VLOOKUP('Données projet'!$B$10,Paramètres!$A$1:$I$89,3,0)*0.475*44/12</f>
        <v>1.1349108596049805E-17</v>
      </c>
      <c r="AX152" s="21">
        <f t="shared" si="114"/>
        <v>1.3259366849175529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-2.6602720026858149E-14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210.62109466714364</v>
      </c>
      <c r="BJ152" s="59">
        <f t="shared" si="146"/>
        <v>193.35729443770401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0.61837656852795864</v>
      </c>
      <c r="BQ152" s="21">
        <f>EXP(-LN(2)/25)*BQ151+(1-EXP(-LN(2)/25))/(LN(2)/25)*Calculateur!BL152*Calculateur!BN152*VLOOKUP('Données projet'!$B$11,Paramètres!$A$1:$I$89,3,0)*0.475*44/12</f>
        <v>0.29570139558761416</v>
      </c>
      <c r="BR152" s="21">
        <f>EXP(-LN(2)/2)*BR151+(1-EXP(-LN(2)/2))/(LN(2)/2)*BL152*BO152*VLOOKUP('Données projet'!$B$11,Paramètres!$A$1:$I$89,3,0)*0.475*44/12</f>
        <v>9.7100170944453667E-18</v>
      </c>
      <c r="BS152" s="22">
        <f t="shared" si="117"/>
        <v>0.91407796411557274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368.16165268258442</v>
      </c>
      <c r="CE152" s="59">
        <f t="shared" si="148"/>
        <v>291.32219253157041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0.70848529680127115</v>
      </c>
      <c r="CL152" s="21">
        <f>EXP(-LN(2)/25)*CL151+(1-EXP(-LN(2)/25))/(LN(2)/25)*Calculateur!CG152*Calculateur!CI152*VLOOKUP('Données projet'!$B$12,Paramètres!$A$1:$I$89,3,0)*0.475*44/12</f>
        <v>0.24517513475190686</v>
      </c>
      <c r="CM152" s="21">
        <f>EXP(-LN(2)/2)*CM151+(1-EXP(-LN(2)/2))/(LN(2)/2)*CG152*CJ152*VLOOKUP('Données projet'!$B$12,Paramètres!$A$1:$I$89,3,0)*0.475*44/12</f>
        <v>9.7184227645851922E-18</v>
      </c>
      <c r="CN152" s="22">
        <f t="shared" si="120"/>
        <v>0.95366043155317803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1.1368683772161603E-13</v>
      </c>
      <c r="CU152" s="17">
        <f>CT152*VLOOKUP('Données projet'!$B$13,Paramètres!$A$1:$I$89,3,0)*VLOOKUP('Données projet'!$B$13,Paramètres!$A$1:$I$89,5,0)</f>
        <v>6.7984728957526396E-14</v>
      </c>
      <c r="CV152" s="13">
        <f t="shared" si="149"/>
        <v>1.0682447123141398E-12</v>
      </c>
      <c r="CW152" s="20">
        <f t="shared" si="121"/>
        <v>1.978932943548152E-12</v>
      </c>
      <c r="CX152" s="59">
        <f t="shared" si="122"/>
        <v>289.21123438471079</v>
      </c>
      <c r="CY152" s="59">
        <f ca="1">AVERAGE(OFFSET($CX$3,0,0,'Données projet'!$E$13+1,1))-AVERAGE(OFFSET($H$3,0,0,'Données projet'!$E$13+1,1))</f>
        <v>317.12995176362455</v>
      </c>
      <c r="CZ152" s="59">
        <f t="shared" si="150"/>
        <v>328.11301015275262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1.7103418815159803</v>
      </c>
      <c r="DG152" s="21">
        <f>EXP(-LN(2)/25)*DG151+(1-EXP(-LN(2)/25))/(LN(2)/25)*Calculateur!DB152*Calculateur!DD152*VLOOKUP('Données projet'!$B$13,Paramètres!$A$1:$I$89,3,0)*0.475*44/12</f>
        <v>0.59514712187725738</v>
      </c>
      <c r="DH152" s="21">
        <f>EXP(-LN(2)/2)*DH151+(1-EXP(-LN(2)/2))/(LN(2)/2)*DB152*DE152*VLOOKUP('Données projet'!$B$13,Paramètres!$A$1:$I$89,3,0)*0.475*44/12</f>
        <v>7.0425806444337211E-18</v>
      </c>
      <c r="DI152" s="22">
        <f t="shared" si="123"/>
        <v>2.3054890033932378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2.8421709430404007E-14</v>
      </c>
      <c r="DP152" s="17">
        <f>DO152*VLOOKUP('Données projet'!$B$14,Paramètres!$A$1:$I$89,3,0)*VLOOKUP('Données projet'!$B$14,Paramètres!$A$1:$I$89,5,0)</f>
        <v>2.4829205358400945E-14</v>
      </c>
      <c r="DQ152" s="13">
        <f t="shared" si="151"/>
        <v>4.3867331143352915E-13</v>
      </c>
      <c r="DR152" s="20">
        <f t="shared" si="124"/>
        <v>8.0726688341261168E-13</v>
      </c>
      <c r="DS152" s="59">
        <f t="shared" si="125"/>
        <v>289.2112343847096</v>
      </c>
      <c r="DT152" s="59">
        <f ca="1">AVERAGE(OFFSET($DS$3,0,0,'Données projet'!$E$14+1,1))-AVERAGE(OFFSET($H$3,0,0,'Données projet'!$E$14+1,1))</f>
        <v>325.5873213944476</v>
      </c>
      <c r="DU152" s="59">
        <f t="shared" si="152"/>
        <v>347.9042278368363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0.27738811990241485</v>
      </c>
      <c r="EB152" s="21">
        <f>EXP(-LN(2)/25)*EB151+(1-EXP(-LN(2)/25))/(LN(2)/25)*Calculateur!DW152*Calculateur!DY152*VLOOKUP('Données projet'!$B$14,Paramètres!$A$1:$I$89,3,0)*0.475*44/12</f>
        <v>0.32563472631902157</v>
      </c>
      <c r="EC152" s="21">
        <f>EXP(-LN(2)/2)*EC151+(1-EXP(-LN(2)/2))/(LN(2)/2)*DW152*DZ152*VLOOKUP('Données projet'!$B$14,Paramètres!$A$1:$I$89,3,0)*0.475*44/12</f>
        <v>1.4658065049802047E-17</v>
      </c>
      <c r="ED152" s="22">
        <f t="shared" si="126"/>
        <v>0.60302284622143643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205.5480000480477</v>
      </c>
      <c r="EP152" s="59">
        <f t="shared" si="154"/>
        <v>229.86812144828366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0.69678735599167385</v>
      </c>
      <c r="EW152" s="21">
        <f>EXP(-LN(2)/25)*EW151+(1-EXP(-LN(2)/25))/(LN(2)/25)*Calculateur!ER152*Calculateur!ET152*VLOOKUP('Données projet'!$B$15,Paramètres!$A$1:$I$89,3,0)*0.475*44/12</f>
        <v>0.22226790198565705</v>
      </c>
      <c r="EX152" s="21">
        <f>EXP(-LN(2)/2)*EX151+(1-EXP(-LN(2)/2))/(LN(2)/2)*ER152*EU152*VLOOKUP('Données projet'!$B$15,Paramètres!$A$1:$I$89,3,0)*0.475*44/12</f>
        <v>3.6283500058663514E-18</v>
      </c>
      <c r="EY152" s="22">
        <f t="shared" si="129"/>
        <v>0.9190552579773309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3.05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26.208000000000059</v>
      </c>
      <c r="D153" s="11">
        <f t="shared" si="140"/>
        <v>8.2581019723451181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92.741985222915815</v>
      </c>
      <c r="H153" s="67">
        <f t="shared" si="110"/>
        <v>271.96179426850114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-1.9065282685915009E-13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542.23071537860039</v>
      </c>
      <c r="T153" s="59">
        <f t="shared" si="142"/>
        <v>667.26143680054633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0.68182436493391507</v>
      </c>
      <c r="AA153" s="21">
        <f>EXP(-LN(2)/25)*AA152+(1-EXP(-LN(2)/25))/(LN(2)/25)*Calculateur!V153*Calculateur!X153*VLOOKUP('Données projet'!$B$9,Paramètres!$A$1:$I$89,3,0)*0.475*44/12</f>
        <v>1.5296434729482478</v>
      </c>
      <c r="AB153" s="21">
        <f>EXP(-LN(2)/2)*AB152+(1-EXP(-LN(2)/2))/(LN(2)/2)*V153*Y153*VLOOKUP('Données projet'!$B$9,Paramètres!$A$1:$I$89,3,0)*0.475*44/12</f>
        <v>1.2505584905066239E-17</v>
      </c>
      <c r="AC153" s="22">
        <f t="shared" si="111"/>
        <v>2.2114678378821626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-1.2710188457276673E-13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427.83834708696861</v>
      </c>
      <c r="AO153" s="59">
        <f t="shared" si="144"/>
        <v>545.63950537101903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0.40909461896034965</v>
      </c>
      <c r="AV153" s="21">
        <f>EXP(-LN(2)/25)*AV152+(1-EXP(-LN(2)/25))/(LN(2)/25)*Calculateur!AQ153*Calculateur!AS153*VLOOKUP('Données projet'!$B$10,Paramètres!$A$1:$I$89,3,0)*0.475*44/12</f>
        <v>0.88381217294572645</v>
      </c>
      <c r="AW153" s="21">
        <f>EXP(-LN(2)/2)*AW152+(1-EXP(-LN(2)/2))/(LN(2)/2)*AQ153*AT153*VLOOKUP('Données projet'!$B$10,Paramètres!$A$1:$I$89,3,0)*0.475*44/12</f>
        <v>8.0250316486893545E-18</v>
      </c>
      <c r="AX153" s="21">
        <f t="shared" si="114"/>
        <v>1.2929067919060762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-2.6602720026858149E-14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210.62109466714364</v>
      </c>
      <c r="BJ153" s="59">
        <f t="shared" si="146"/>
        <v>193.35729443770401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0.60625058119158948</v>
      </c>
      <c r="BQ153" s="21">
        <f>EXP(-LN(2)/25)*BQ152+(1-EXP(-LN(2)/25))/(LN(2)/25)*Calculateur!BL153*Calculateur!BN153*VLOOKUP('Données projet'!$B$11,Paramètres!$A$1:$I$89,3,0)*0.475*44/12</f>
        <v>0.28761542537501028</v>
      </c>
      <c r="BR153" s="21">
        <f>EXP(-LN(2)/2)*BR152+(1-EXP(-LN(2)/2))/(LN(2)/2)*BL153*BO153*VLOOKUP('Données projet'!$B$11,Paramètres!$A$1:$I$89,3,0)*0.475*44/12</f>
        <v>6.8660189329196161E-18</v>
      </c>
      <c r="BS153" s="22">
        <f t="shared" si="117"/>
        <v>0.89386600656659976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368.16165268258442</v>
      </c>
      <c r="CE153" s="59">
        <f t="shared" si="148"/>
        <v>291.32219253157041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0.69459233226435968</v>
      </c>
      <c r="CL153" s="21">
        <f>EXP(-LN(2)/25)*CL152+(1-EXP(-LN(2)/25))/(LN(2)/25)*Calculateur!CG153*Calculateur!CI153*VLOOKUP('Données projet'!$B$12,Paramètres!$A$1:$I$89,3,0)*0.475*44/12</f>
        <v>0.238470807798916</v>
      </c>
      <c r="CM153" s="21">
        <f>EXP(-LN(2)/2)*CM152+(1-EXP(-LN(2)/2))/(LN(2)/2)*CG153*CJ153*VLOOKUP('Données projet'!$B$12,Paramètres!$A$1:$I$89,3,0)*0.475*44/12</f>
        <v>6.8719626392759042E-18</v>
      </c>
      <c r="CN153" s="22">
        <f t="shared" si="120"/>
        <v>0.93306314006327562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1.1368683772161603E-13</v>
      </c>
      <c r="CU153" s="17">
        <f>CT153*VLOOKUP('Données projet'!$B$13,Paramètres!$A$1:$I$89,3,0)*VLOOKUP('Données projet'!$B$13,Paramètres!$A$1:$I$89,5,0)</f>
        <v>6.7984728957526396E-14</v>
      </c>
      <c r="CV153" s="13">
        <f t="shared" si="149"/>
        <v>1.0682447123141398E-12</v>
      </c>
      <c r="CW153" s="20">
        <f t="shared" si="121"/>
        <v>1.978932943548152E-12</v>
      </c>
      <c r="CX153" s="59">
        <f t="shared" si="122"/>
        <v>289.28274358583678</v>
      </c>
      <c r="CY153" s="59">
        <f ca="1">AVERAGE(OFFSET($CX$3,0,0,'Données projet'!$E$13+1,1))-AVERAGE(OFFSET($H$3,0,0,'Données projet'!$E$13+1,1))</f>
        <v>317.12995176362455</v>
      </c>
      <c r="CZ153" s="59">
        <f t="shared" si="150"/>
        <v>328.11301015275262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1.6768031204249916</v>
      </c>
      <c r="DG153" s="21">
        <f>EXP(-LN(2)/25)*DG152+(1-EXP(-LN(2)/25))/(LN(2)/25)*Calculateur!DB153*Calculateur!DD153*VLOOKUP('Données projet'!$B$13,Paramètres!$A$1:$I$89,3,0)*0.475*44/12</f>
        <v>0.57887279253209689</v>
      </c>
      <c r="DH153" s="21">
        <f>EXP(-LN(2)/2)*DH152+(1-EXP(-LN(2)/2))/(LN(2)/2)*DB153*DE153*VLOOKUP('Données projet'!$B$13,Paramètres!$A$1:$I$89,3,0)*0.475*44/12</f>
        <v>4.9798565307322101E-18</v>
      </c>
      <c r="DI153" s="22">
        <f t="shared" si="123"/>
        <v>2.2556759129570887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2.8421709430404007E-14</v>
      </c>
      <c r="DP153" s="17">
        <f>DO153*VLOOKUP('Données projet'!$B$14,Paramètres!$A$1:$I$89,3,0)*VLOOKUP('Données projet'!$B$14,Paramètres!$A$1:$I$89,5,0)</f>
        <v>2.4829205358400945E-14</v>
      </c>
      <c r="DQ153" s="13">
        <f t="shared" si="151"/>
        <v>4.3867331143352915E-13</v>
      </c>
      <c r="DR153" s="20">
        <f t="shared" si="124"/>
        <v>8.0726688341261168E-13</v>
      </c>
      <c r="DS153" s="59">
        <f t="shared" si="125"/>
        <v>289.28274358583559</v>
      </c>
      <c r="DT153" s="59">
        <f ca="1">AVERAGE(OFFSET($DS$3,0,0,'Données projet'!$E$14+1,1))-AVERAGE(OFFSET($H$3,0,0,'Données projet'!$E$14+1,1))</f>
        <v>325.5873213944476</v>
      </c>
      <c r="DU153" s="59">
        <f t="shared" si="152"/>
        <v>347.9042278368363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0.27194870806117549</v>
      </c>
      <c r="EB153" s="21">
        <f>EXP(-LN(2)/25)*EB152+(1-EXP(-LN(2)/25))/(LN(2)/25)*Calculateur!DW153*Calculateur!DY153*VLOOKUP('Données projet'!$B$14,Paramètres!$A$1:$I$89,3,0)*0.475*44/12</f>
        <v>0.31673022760344194</v>
      </c>
      <c r="EC153" s="21">
        <f>EXP(-LN(2)/2)*EC152+(1-EXP(-LN(2)/2))/(LN(2)/2)*DW153*DZ153*VLOOKUP('Données projet'!$B$14,Paramètres!$A$1:$I$89,3,0)*0.475*44/12</f>
        <v>1.0364817195788556E-17</v>
      </c>
      <c r="ED153" s="22">
        <f t="shared" si="126"/>
        <v>0.58867893566461738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205.5480000480477</v>
      </c>
      <c r="EP153" s="59">
        <f t="shared" si="154"/>
        <v>229.86812144828366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0.68312378093899917</v>
      </c>
      <c r="EW153" s="21">
        <f>EXP(-LN(2)/25)*EW152+(1-EXP(-LN(2)/25))/(LN(2)/25)*Calculateur!ER153*Calculateur!ET153*VLOOKUP('Données projet'!$B$15,Paramètres!$A$1:$I$89,3,0)*0.475*44/12</f>
        <v>0.21618997451729829</v>
      </c>
      <c r="EX153" s="21">
        <f>EXP(-LN(2)/2)*EX152+(1-EXP(-LN(2)/2))/(LN(2)/2)*ER153*EU153*VLOOKUP('Données projet'!$B$15,Paramètres!$A$1:$I$89,3,0)*0.475*44/12</f>
        <v>2.5656308936663466E-18</v>
      </c>
      <c r="EY153" s="22">
        <f t="shared" si="129"/>
        <v>0.89931375545629744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3.05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26.382720000000059</v>
      </c>
      <c r="D154" s="11">
        <f t="shared" si="140"/>
        <v>8.3067288704829991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93.29369124498271</v>
      </c>
      <c r="H154" s="67">
        <f t="shared" si="110"/>
        <v>272.35079011609128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-1.9065282685915009E-13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542.23071537860039</v>
      </c>
      <c r="T154" s="59">
        <f t="shared" si="142"/>
        <v>667.26143680054633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0.6684542050093597</v>
      </c>
      <c r="AA154" s="21">
        <f>EXP(-LN(2)/25)*AA153+(1-EXP(-LN(2)/25))/(LN(2)/25)*Calculateur!V154*Calculateur!X154*VLOOKUP('Données projet'!$B$9,Paramètres!$A$1:$I$89,3,0)*0.475*44/12</f>
        <v>1.4878152917400238</v>
      </c>
      <c r="AB154" s="21">
        <f>EXP(-LN(2)/2)*AB153+(1-EXP(-LN(2)/2))/(LN(2)/2)*V154*Y154*VLOOKUP('Données projet'!$B$9,Paramètres!$A$1:$I$89,3,0)*0.475*44/12</f>
        <v>8.8427838890764644E-18</v>
      </c>
      <c r="AC154" s="22">
        <f t="shared" ref="AC154:AC203" si="163">SUM(Z154:AB154)</f>
        <v>2.1562694967493834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-1.2710188457276673E-13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427.83834708696861</v>
      </c>
      <c r="AO154" s="59">
        <f t="shared" si="144"/>
        <v>545.63950537101903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0.40107252300561641</v>
      </c>
      <c r="AV154" s="21">
        <f>EXP(-LN(2)/25)*AV153+(1-EXP(-LN(2)/25))/(LN(2)/25)*Calculateur!AQ154*Calculateur!AS154*VLOOKUP('Données projet'!$B$10,Paramètres!$A$1:$I$89,3,0)*0.475*44/12</f>
        <v>0.85964428259886339</v>
      </c>
      <c r="AW154" s="21">
        <f>EXP(-LN(2)/2)*AW153+(1-EXP(-LN(2)/2))/(LN(2)/2)*AQ154*AT154*VLOOKUP('Données projet'!$B$10,Paramètres!$A$1:$I$89,3,0)*0.475*44/12</f>
        <v>5.6745542980249023E-18</v>
      </c>
      <c r="AX154" s="21">
        <f t="shared" ref="AX154:AX203" si="166">SUM(AU154:AW154)</f>
        <v>1.2607168056044797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-2.6602720026858149E-14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210.62109466714364</v>
      </c>
      <c r="BJ154" s="59">
        <f t="shared" si="146"/>
        <v>193.35729443770401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0.59436237707076456</v>
      </c>
      <c r="BQ154" s="21">
        <f>EXP(-LN(2)/25)*BQ153+(1-EXP(-LN(2)/25))/(LN(2)/25)*Calculateur!BL154*Calculateur!BN154*VLOOKUP('Données projet'!$B$11,Paramètres!$A$1:$I$89,3,0)*0.475*44/12</f>
        <v>0.27975056644309276</v>
      </c>
      <c r="BR154" s="21">
        <f>EXP(-LN(2)/2)*BR153+(1-EXP(-LN(2)/2))/(LN(2)/2)*BL154*BO154*VLOOKUP('Données projet'!$B$11,Paramètres!$A$1:$I$89,3,0)*0.475*44/12</f>
        <v>4.8550085472226841E-18</v>
      </c>
      <c r="BS154" s="22">
        <f t="shared" ref="BS154:BS203" si="169">SUM(BP154:BR154)</f>
        <v>0.87411294351385727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368.16165268258442</v>
      </c>
      <c r="CE154" s="59">
        <f t="shared" si="148"/>
        <v>291.32219253157041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0.68097180028814541</v>
      </c>
      <c r="CL154" s="21">
        <f>EXP(-LN(2)/25)*CL153+(1-EXP(-LN(2)/25))/(LN(2)/25)*Calculateur!CG154*Calculateur!CI154*VLOOKUP('Données projet'!$B$12,Paramètres!$A$1:$I$89,3,0)*0.475*44/12</f>
        <v>0.23194981101901987</v>
      </c>
      <c r="CM154" s="21">
        <f>EXP(-LN(2)/2)*CM153+(1-EXP(-LN(2)/2))/(LN(2)/2)*CG154*CJ154*VLOOKUP('Données projet'!$B$12,Paramètres!$A$1:$I$89,3,0)*0.475*44/12</f>
        <v>4.8592113822925969E-18</v>
      </c>
      <c r="CN154" s="22">
        <f t="shared" ref="CN154:CN203" si="172">SUM(CK154:CM154)</f>
        <v>0.91292161130716531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1.1368683772161603E-13</v>
      </c>
      <c r="CU154" s="17">
        <f>CT154*VLOOKUP('Données projet'!$B$13,Paramètres!$A$1:$I$89,3,0)*VLOOKUP('Données projet'!$B$13,Paramètres!$A$1:$I$89,5,0)</f>
        <v>6.7984728957526396E-14</v>
      </c>
      <c r="CV154" s="13">
        <f t="shared" ref="CV154:CV203" si="173">EXP(-1.0587+0.8836*LN(CU154)+0.284)</f>
        <v>1.0682447123141398E-12</v>
      </c>
      <c r="CW154" s="20">
        <f t="shared" ref="CW154:CW203" si="174">(CU154+CV154)*0.475*44/12</f>
        <v>1.978932943548152E-12</v>
      </c>
      <c r="CX154" s="59">
        <f t="shared" si="122"/>
        <v>289.35301226219383</v>
      </c>
      <c r="CY154" s="59">
        <f ca="1">AVERAGE(OFFSET($CX$3,0,0,'Données projet'!$E$13+1,1))-AVERAGE(OFFSET($H$3,0,0,'Données projet'!$E$13+1,1))</f>
        <v>317.12995176362455</v>
      </c>
      <c r="CZ154" s="59">
        <f t="shared" si="150"/>
        <v>328.11301015275262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1.6439220339823728</v>
      </c>
      <c r="DG154" s="21">
        <f>EXP(-LN(2)/25)*DG153+(1-EXP(-LN(2)/25))/(LN(2)/25)*Calculateur!DB154*Calculateur!DD154*VLOOKUP('Données projet'!$B$13,Paramètres!$A$1:$I$89,3,0)*0.475*44/12</f>
        <v>0.56304348557870953</v>
      </c>
      <c r="DH154" s="21">
        <f>EXP(-LN(2)/2)*DH153+(1-EXP(-LN(2)/2))/(LN(2)/2)*DB154*DE154*VLOOKUP('Données projet'!$B$13,Paramètres!$A$1:$I$89,3,0)*0.475*44/12</f>
        <v>3.5212903222168606E-18</v>
      </c>
      <c r="DI154" s="22">
        <f t="shared" ref="DI154:DI203" si="175">SUM(DF154:DH154)</f>
        <v>2.2069655195610824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2.8421709430404007E-14</v>
      </c>
      <c r="DP154" s="17">
        <f>DO154*VLOOKUP('Données projet'!$B$14,Paramètres!$A$1:$I$89,3,0)*VLOOKUP('Données projet'!$B$14,Paramètres!$A$1:$I$89,5,0)</f>
        <v>2.4829205358400945E-14</v>
      </c>
      <c r="DQ154" s="13">
        <f t="shared" ref="DQ154:DQ203" si="176">EXP(-1.0587+0.8836*LN(DP154)+0.284)</f>
        <v>4.3867331143352915E-13</v>
      </c>
      <c r="DR154" s="20">
        <f t="shared" ref="DR154:DR203" si="177">(DP154+DQ154)*0.475*44/12</f>
        <v>8.0726688341261168E-13</v>
      </c>
      <c r="DS154" s="59">
        <f t="shared" si="125"/>
        <v>289.35301226219264</v>
      </c>
      <c r="DT154" s="59">
        <f ca="1">AVERAGE(OFFSET($DS$3,0,0,'Données projet'!$E$14+1,1))-AVERAGE(OFFSET($H$3,0,0,'Données projet'!$E$14+1,1))</f>
        <v>325.5873213944476</v>
      </c>
      <c r="DU154" s="59">
        <f t="shared" si="152"/>
        <v>347.9042278368363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0.26661595976842922</v>
      </c>
      <c r="EB154" s="21">
        <f>EXP(-LN(2)/25)*EB153+(1-EXP(-LN(2)/25))/(LN(2)/25)*Calculateur!DW154*Calculateur!DY154*VLOOKUP('Données projet'!$B$14,Paramètres!$A$1:$I$89,3,0)*0.475*44/12</f>
        <v>0.30806922287350702</v>
      </c>
      <c r="EC154" s="21">
        <f>EXP(-LN(2)/2)*EC153+(1-EXP(-LN(2)/2))/(LN(2)/2)*DW154*DZ154*VLOOKUP('Données projet'!$B$14,Paramètres!$A$1:$I$89,3,0)*0.475*44/12</f>
        <v>7.3290325249010235E-18</v>
      </c>
      <c r="ED154" s="22">
        <f t="shared" ref="ED154:ED203" si="178">SUM(EA154:EC154)</f>
        <v>0.57468518264193624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205.5480000480477</v>
      </c>
      <c r="EP154" s="59">
        <f t="shared" si="154"/>
        <v>229.86812144828366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0.66972814025914962</v>
      </c>
      <c r="EW154" s="21">
        <f>EXP(-LN(2)/25)*EW153+(1-EXP(-LN(2)/25))/(LN(2)/25)*Calculateur!ER154*Calculateur!ET154*VLOOKUP('Données projet'!$B$15,Paramètres!$A$1:$I$89,3,0)*0.475*44/12</f>
        <v>0.21027824829518613</v>
      </c>
      <c r="EX154" s="21">
        <f>EXP(-LN(2)/2)*EX153+(1-EXP(-LN(2)/2))/(LN(2)/2)*ER154*EU154*VLOOKUP('Données projet'!$B$15,Paramètres!$A$1:$I$89,3,0)*0.475*44/12</f>
        <v>1.8141750029331757E-18</v>
      </c>
      <c r="EY154" s="22">
        <f t="shared" ref="EY154:EY203" si="181">SUM(EV154:EX154)</f>
        <v>0.88000638855433577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3.05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26.55744000000006</v>
      </c>
      <c r="D155" s="11">
        <f t="shared" si="140"/>
        <v>8.3553182981993626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93.845304708534712</v>
      </c>
      <c r="H155" s="67">
        <f t="shared" si="110"/>
        <v>272.7397207026973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-1.9065282685915009E-13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542.23071537860039</v>
      </c>
      <c r="T155" s="59">
        <f t="shared" si="142"/>
        <v>667.26143680054633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0.65534622576593249</v>
      </c>
      <c r="AA155" s="21">
        <f>EXP(-LN(2)/25)*AA154+(1-EXP(-LN(2)/25))/(LN(2)/25)*Calculateur!V155*Calculateur!X155*VLOOKUP('Données projet'!$B$9,Paramètres!$A$1:$I$89,3,0)*0.475*44/12</f>
        <v>1.4471309043465872</v>
      </c>
      <c r="AB155" s="21">
        <f>EXP(-LN(2)/2)*AB154+(1-EXP(-LN(2)/2))/(LN(2)/2)*V155*Y155*VLOOKUP('Données projet'!$B$9,Paramètres!$A$1:$I$89,3,0)*0.475*44/12</f>
        <v>6.2527924525331194E-18</v>
      </c>
      <c r="AC155" s="22">
        <f t="shared" si="163"/>
        <v>2.1024771301125198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-1.2710188457276673E-13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427.83834708696861</v>
      </c>
      <c r="AO155" s="59">
        <f t="shared" si="144"/>
        <v>545.63950537101903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0.39320773545956011</v>
      </c>
      <c r="AV155" s="21">
        <f>EXP(-LN(2)/25)*AV154+(1-EXP(-LN(2)/25))/(LN(2)/25)*Calculateur!AQ155*Calculateur!AS155*VLOOKUP('Données projet'!$B$10,Paramètres!$A$1:$I$89,3,0)*0.475*44/12</f>
        <v>0.83613726448446934</v>
      </c>
      <c r="AW155" s="21">
        <f>EXP(-LN(2)/2)*AW154+(1-EXP(-LN(2)/2))/(LN(2)/2)*AQ155*AT155*VLOOKUP('Données projet'!$B$10,Paramètres!$A$1:$I$89,3,0)*0.475*44/12</f>
        <v>4.0125158243446773E-18</v>
      </c>
      <c r="AX155" s="21">
        <f t="shared" si="166"/>
        <v>1.2293449999440296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-2.6602720026858149E-14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210.62109466714364</v>
      </c>
      <c r="BJ155" s="59">
        <f t="shared" si="146"/>
        <v>193.35729443770401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0.5827072933816605</v>
      </c>
      <c r="BQ155" s="21">
        <f>EXP(-LN(2)/25)*BQ154+(1-EXP(-LN(2)/25))/(LN(2)/25)*Calculateur!BL155*Calculateur!BN155*VLOOKUP('Données projet'!$B$11,Paramètres!$A$1:$I$89,3,0)*0.475*44/12</f>
        <v>0.2721007724922635</v>
      </c>
      <c r="BR155" s="21">
        <f>EXP(-LN(2)/2)*BR154+(1-EXP(-LN(2)/2))/(LN(2)/2)*BL155*BO155*VLOOKUP('Données projet'!$B$11,Paramètres!$A$1:$I$89,3,0)*0.475*44/12</f>
        <v>3.4330094664598088E-18</v>
      </c>
      <c r="BS155" s="22">
        <f t="shared" si="169"/>
        <v>0.85480806587392399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368.16165268258442</v>
      </c>
      <c r="CE155" s="59">
        <f t="shared" si="148"/>
        <v>291.32219253157041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0.6676183586362805</v>
      </c>
      <c r="CL155" s="21">
        <f>EXP(-LN(2)/25)*CL154+(1-EXP(-LN(2)/25))/(LN(2)/25)*Calculateur!CG155*Calculateur!CI155*VLOOKUP('Données projet'!$B$12,Paramètres!$A$1:$I$89,3,0)*0.475*44/12</f>
        <v>0.22560713123899434</v>
      </c>
      <c r="CM155" s="21">
        <f>EXP(-LN(2)/2)*CM154+(1-EXP(-LN(2)/2))/(LN(2)/2)*CG155*CJ155*VLOOKUP('Données projet'!$B$12,Paramètres!$A$1:$I$89,3,0)*0.475*44/12</f>
        <v>3.4359813196379525E-18</v>
      </c>
      <c r="CN155" s="22">
        <f t="shared" si="172"/>
        <v>0.89322548987527484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1.1368683772161603E-13</v>
      </c>
      <c r="CU155" s="17">
        <f>CT155*VLOOKUP('Données projet'!$B$13,Paramètres!$A$1:$I$89,3,0)*VLOOKUP('Données projet'!$B$13,Paramètres!$A$1:$I$89,5,0)</f>
        <v>6.7984728957526396E-14</v>
      </c>
      <c r="CV155" s="13">
        <f t="shared" si="173"/>
        <v>1.0682447123141398E-12</v>
      </c>
      <c r="CW155" s="20">
        <f t="shared" si="174"/>
        <v>1.978932943548152E-12</v>
      </c>
      <c r="CX155" s="59">
        <f t="shared" si="122"/>
        <v>289.42206193411334</v>
      </c>
      <c r="CY155" s="59">
        <f ca="1">AVERAGE(OFFSET($CX$3,0,0,'Données projet'!$E$13+1,1))-AVERAGE(OFFSET($H$3,0,0,'Données projet'!$E$13+1,1))</f>
        <v>317.12995176362455</v>
      </c>
      <c r="CZ155" s="59">
        <f t="shared" si="150"/>
        <v>328.11301015275262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1.6116857255894115</v>
      </c>
      <c r="DG155" s="21">
        <f>EXP(-LN(2)/25)*DG154+(1-EXP(-LN(2)/25))/(LN(2)/25)*Calculateur!DB155*Calculateur!DD155*VLOOKUP('Données projet'!$B$13,Paramètres!$A$1:$I$89,3,0)*0.475*44/12</f>
        <v>0.54764703185638963</v>
      </c>
      <c r="DH155" s="21">
        <f>EXP(-LN(2)/2)*DH154+(1-EXP(-LN(2)/2))/(LN(2)/2)*DB155*DE155*VLOOKUP('Données projet'!$B$13,Paramètres!$A$1:$I$89,3,0)*0.475*44/12</f>
        <v>2.4899282653661051E-18</v>
      </c>
      <c r="DI155" s="22">
        <f t="shared" si="175"/>
        <v>2.1593327574458012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2.8421709430404007E-14</v>
      </c>
      <c r="DP155" s="17">
        <f>DO155*VLOOKUP('Données projet'!$B$14,Paramètres!$A$1:$I$89,3,0)*VLOOKUP('Données projet'!$B$14,Paramètres!$A$1:$I$89,5,0)</f>
        <v>2.4829205358400945E-14</v>
      </c>
      <c r="DQ155" s="13">
        <f t="shared" si="176"/>
        <v>4.3867331143352915E-13</v>
      </c>
      <c r="DR155" s="20">
        <f t="shared" si="177"/>
        <v>8.0726688341261168E-13</v>
      </c>
      <c r="DS155" s="59">
        <f t="shared" si="125"/>
        <v>289.42206193411215</v>
      </c>
      <c r="DT155" s="59">
        <f ca="1">AVERAGE(OFFSET($DS$3,0,0,'Données projet'!$E$14+1,1))-AVERAGE(OFFSET($H$3,0,0,'Données projet'!$E$14+1,1))</f>
        <v>325.5873213944476</v>
      </c>
      <c r="DU155" s="59">
        <f t="shared" si="152"/>
        <v>347.9042278368363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0.26138778341704844</v>
      </c>
      <c r="EB155" s="21">
        <f>EXP(-LN(2)/25)*EB154+(1-EXP(-LN(2)/25))/(LN(2)/25)*Calculateur!DW155*Calculateur!DY155*VLOOKUP('Données projet'!$B$14,Paramètres!$A$1:$I$89,3,0)*0.475*44/12</f>
        <v>0.29964505377337464</v>
      </c>
      <c r="EC155" s="21">
        <f>EXP(-LN(2)/2)*EC154+(1-EXP(-LN(2)/2))/(LN(2)/2)*DW155*DZ155*VLOOKUP('Données projet'!$B$14,Paramètres!$A$1:$I$89,3,0)*0.475*44/12</f>
        <v>5.1824085978942779E-18</v>
      </c>
      <c r="ED155" s="22">
        <f t="shared" si="178"/>
        <v>0.56103283719042307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205.5480000480477</v>
      </c>
      <c r="EP155" s="59">
        <f t="shared" si="154"/>
        <v>229.86812144828366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0.65659517992249783</v>
      </c>
      <c r="EW155" s="21">
        <f>EXP(-LN(2)/25)*EW154+(1-EXP(-LN(2)/25))/(LN(2)/25)*Calculateur!ER155*Calculateur!ET155*VLOOKUP('Données projet'!$B$15,Paramètres!$A$1:$I$89,3,0)*0.475*44/12</f>
        <v>0.20452817853750177</v>
      </c>
      <c r="EX155" s="21">
        <f>EXP(-LN(2)/2)*EX154+(1-EXP(-LN(2)/2))/(LN(2)/2)*ER155*EU155*VLOOKUP('Données projet'!$B$15,Paramètres!$A$1:$I$89,3,0)*0.475*44/12</f>
        <v>1.2828154468331733E-18</v>
      </c>
      <c r="EY155" s="22">
        <f t="shared" si="181"/>
        <v>0.86112335845999954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3.05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26.732160000000061</v>
      </c>
      <c r="D156" s="11">
        <f t="shared" si="140"/>
        <v>8.4038705306032195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94.396826293139327</v>
      </c>
      <c r="H156" s="67">
        <f t="shared" si="110"/>
        <v>273.12858650746733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-1.9065282685915009E-13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542.23071537860039</v>
      </c>
      <c r="T156" s="59">
        <f t="shared" si="142"/>
        <v>667.26143680054633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0.64249528600039107</v>
      </c>
      <c r="AA156" s="21">
        <f>EXP(-LN(2)/25)*AA155+(1-EXP(-LN(2)/25))/(LN(2)/25)*Calculateur!V156*Calculateur!X156*VLOOKUP('Données projet'!$B$9,Paramètres!$A$1:$I$89,3,0)*0.475*44/12</f>
        <v>1.4075590336659229</v>
      </c>
      <c r="AB156" s="21">
        <f>EXP(-LN(2)/2)*AB155+(1-EXP(-LN(2)/2))/(LN(2)/2)*V156*Y156*VLOOKUP('Données projet'!$B$9,Paramètres!$A$1:$I$89,3,0)*0.475*44/12</f>
        <v>4.4213919445382322E-18</v>
      </c>
      <c r="AC156" s="22">
        <f t="shared" si="163"/>
        <v>2.0500543196663141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-1.2710188457276673E-13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427.83834708696861</v>
      </c>
      <c r="AO156" s="59">
        <f t="shared" si="144"/>
        <v>545.63950537101903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0.38549717160023522</v>
      </c>
      <c r="AV156" s="21">
        <f>EXP(-LN(2)/25)*AV155+(1-EXP(-LN(2)/25))/(LN(2)/25)*Calculateur!AQ156*Calculateur!AS156*VLOOKUP('Données projet'!$B$10,Paramètres!$A$1:$I$89,3,0)*0.475*44/12</f>
        <v>0.81327304701659386</v>
      </c>
      <c r="AW156" s="21">
        <f>EXP(-LN(2)/2)*AW155+(1-EXP(-LN(2)/2))/(LN(2)/2)*AQ156*AT156*VLOOKUP('Données projet'!$B$10,Paramètres!$A$1:$I$89,3,0)*0.475*44/12</f>
        <v>2.8372771490124511E-18</v>
      </c>
      <c r="AX156" s="21">
        <f t="shared" si="166"/>
        <v>1.1987702186168292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-2.6602720026858149E-14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210.62109466714364</v>
      </c>
      <c r="BJ156" s="59">
        <f t="shared" si="146"/>
        <v>193.35729443770401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0.57128075877480067</v>
      </c>
      <c r="BQ156" s="21">
        <f>EXP(-LN(2)/25)*BQ155+(1-EXP(-LN(2)/25))/(LN(2)/25)*Calculateur!BL156*Calculateur!BN156*VLOOKUP('Données projet'!$B$11,Paramètres!$A$1:$I$89,3,0)*0.475*44/12</f>
        <v>0.2646601625593048</v>
      </c>
      <c r="BR156" s="21">
        <f>EXP(-LN(2)/2)*BR155+(1-EXP(-LN(2)/2))/(LN(2)/2)*BL156*BO156*VLOOKUP('Données projet'!$B$11,Paramètres!$A$1:$I$89,3,0)*0.475*44/12</f>
        <v>2.4275042736113424E-18</v>
      </c>
      <c r="BS156" s="22">
        <f t="shared" si="169"/>
        <v>0.83594092133410547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368.16165268258442</v>
      </c>
      <c r="CE156" s="59">
        <f t="shared" si="148"/>
        <v>291.32219253157041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0.65452676983041347</v>
      </c>
      <c r="CL156" s="21">
        <f>EXP(-LN(2)/25)*CL155+(1-EXP(-LN(2)/25))/(LN(2)/25)*Calculateur!CG156*Calculateur!CI156*VLOOKUP('Données projet'!$B$12,Paramètres!$A$1:$I$89,3,0)*0.475*44/12</f>
        <v>0.21943789237110065</v>
      </c>
      <c r="CM156" s="21">
        <f>EXP(-LN(2)/2)*CM155+(1-EXP(-LN(2)/2))/(LN(2)/2)*CG156*CJ156*VLOOKUP('Données projet'!$B$12,Paramètres!$A$1:$I$89,3,0)*0.475*44/12</f>
        <v>2.4296056911462988E-18</v>
      </c>
      <c r="CN156" s="22">
        <f t="shared" si="172"/>
        <v>0.87396466220151414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1.1368683772161603E-13</v>
      </c>
      <c r="CU156" s="17">
        <f>CT156*VLOOKUP('Données projet'!$B$13,Paramètres!$A$1:$I$89,3,0)*VLOOKUP('Données projet'!$B$13,Paramètres!$A$1:$I$89,5,0)</f>
        <v>6.7984728957526396E-14</v>
      </c>
      <c r="CV156" s="13">
        <f t="shared" si="173"/>
        <v>1.0682447123141398E-12</v>
      </c>
      <c r="CW156" s="20">
        <f t="shared" si="174"/>
        <v>1.978932943548152E-12</v>
      </c>
      <c r="CX156" s="59">
        <f t="shared" si="122"/>
        <v>289.48991374859702</v>
      </c>
      <c r="CY156" s="59">
        <f ca="1">AVERAGE(OFFSET($CX$3,0,0,'Données projet'!$E$13+1,1))-AVERAGE(OFFSET($H$3,0,0,'Données projet'!$E$13+1,1))</f>
        <v>317.12995176362455</v>
      </c>
      <c r="CZ156" s="59">
        <f t="shared" si="150"/>
        <v>328.11301015275262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1.5800815515418294</v>
      </c>
      <c r="DG156" s="21">
        <f>EXP(-LN(2)/25)*DG155+(1-EXP(-LN(2)/25))/(LN(2)/25)*Calculateur!DB156*Calculateur!DD156*VLOOKUP('Données projet'!$B$13,Paramètres!$A$1:$I$89,3,0)*0.475*44/12</f>
        <v>0.53267159497077088</v>
      </c>
      <c r="DH156" s="21">
        <f>EXP(-LN(2)/2)*DH155+(1-EXP(-LN(2)/2))/(LN(2)/2)*DB156*DE156*VLOOKUP('Données projet'!$B$13,Paramètres!$A$1:$I$89,3,0)*0.475*44/12</f>
        <v>1.7606451611084303E-18</v>
      </c>
      <c r="DI156" s="22">
        <f t="shared" si="175"/>
        <v>2.1127531465126004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2.8421709430404007E-14</v>
      </c>
      <c r="DP156" s="17">
        <f>DO156*VLOOKUP('Données projet'!$B$14,Paramètres!$A$1:$I$89,3,0)*VLOOKUP('Données projet'!$B$14,Paramètres!$A$1:$I$89,5,0)</f>
        <v>2.4829205358400945E-14</v>
      </c>
      <c r="DQ156" s="13">
        <f t="shared" si="176"/>
        <v>4.3867331143352915E-13</v>
      </c>
      <c r="DR156" s="20">
        <f t="shared" si="177"/>
        <v>8.0726688341261168E-13</v>
      </c>
      <c r="DS156" s="59">
        <f t="shared" si="125"/>
        <v>289.48991374859582</v>
      </c>
      <c r="DT156" s="59">
        <f ca="1">AVERAGE(OFFSET($DS$3,0,0,'Données projet'!$E$14+1,1))-AVERAGE(OFFSET($H$3,0,0,'Données projet'!$E$14+1,1))</f>
        <v>325.5873213944476</v>
      </c>
      <c r="DU156" s="59">
        <f t="shared" si="152"/>
        <v>347.9042278368363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0.25626212841504553</v>
      </c>
      <c r="EB156" s="21">
        <f>EXP(-LN(2)/25)*EB155+(1-EXP(-LN(2)/25))/(LN(2)/25)*Calculateur!DW156*Calculateur!DY156*VLOOKUP('Données projet'!$B$14,Paramètres!$A$1:$I$89,3,0)*0.475*44/12</f>
        <v>0.29145124402029315</v>
      </c>
      <c r="EC156" s="21">
        <f>EXP(-LN(2)/2)*EC155+(1-EXP(-LN(2)/2))/(LN(2)/2)*DW156*DZ156*VLOOKUP('Données projet'!$B$14,Paramètres!$A$1:$I$89,3,0)*0.475*44/12</f>
        <v>3.6645162624505117E-18</v>
      </c>
      <c r="ED156" s="22">
        <f t="shared" si="178"/>
        <v>0.54771337243533869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205.5480000480477</v>
      </c>
      <c r="EP156" s="59">
        <f t="shared" si="154"/>
        <v>229.86812144828366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0.64371974892773298</v>
      </c>
      <c r="EW156" s="21">
        <f>EXP(-LN(2)/25)*EW155+(1-EXP(-LN(2)/25))/(LN(2)/25)*Calculateur!ER156*Calculateur!ET156*VLOOKUP('Données projet'!$B$15,Paramètres!$A$1:$I$89,3,0)*0.475*44/12</f>
        <v>0.19893534473972432</v>
      </c>
      <c r="EX156" s="21">
        <f>EXP(-LN(2)/2)*EX155+(1-EXP(-LN(2)/2))/(LN(2)/2)*ER156*EU156*VLOOKUP('Données projet'!$B$15,Paramètres!$A$1:$I$89,3,0)*0.475*44/12</f>
        <v>9.0708750146658786E-19</v>
      </c>
      <c r="EY156" s="22">
        <f t="shared" si="181"/>
        <v>0.84265509366745728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3.05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26.906880000000061</v>
      </c>
      <c r="D157" s="11">
        <f t="shared" si="140"/>
        <v>8.4523858389994579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94.948256668967247</v>
      </c>
      <c r="H157" s="67">
        <f t="shared" si="110"/>
        <v>273.51738800292412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-1.9065282685915009E-13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542.23071537860039</v>
      </c>
      <c r="T157" s="59">
        <f t="shared" si="142"/>
        <v>667.26143680054633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0.62989634532535255</v>
      </c>
      <c r="AA157" s="21">
        <f>EXP(-LN(2)/25)*AA156+(1-EXP(-LN(2)/25))/(LN(2)/25)*Calculateur!V157*Calculateur!X157*VLOOKUP('Données projet'!$B$9,Paramètres!$A$1:$I$89,3,0)*0.475*44/12</f>
        <v>1.3690692578700157</v>
      </c>
      <c r="AB157" s="21">
        <f>EXP(-LN(2)/2)*AB156+(1-EXP(-LN(2)/2))/(LN(2)/2)*V157*Y157*VLOOKUP('Données projet'!$B$9,Paramètres!$A$1:$I$89,3,0)*0.475*44/12</f>
        <v>3.1263962262665597E-18</v>
      </c>
      <c r="AC157" s="22">
        <f t="shared" si="163"/>
        <v>1.9989656031953682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-1.2710188457276673E-13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427.83834708696861</v>
      </c>
      <c r="AO157" s="59">
        <f t="shared" si="144"/>
        <v>545.63950537101903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0.37793780719521214</v>
      </c>
      <c r="AV157" s="21">
        <f>EXP(-LN(2)/25)*AV156+(1-EXP(-LN(2)/25))/(LN(2)/25)*Calculateur!AQ157*Calculateur!AS157*VLOOKUP('Données projet'!$B$10,Paramètres!$A$1:$I$89,3,0)*0.475*44/12</f>
        <v>0.79103405277775429</v>
      </c>
      <c r="AW157" s="21">
        <f>EXP(-LN(2)/2)*AW156+(1-EXP(-LN(2)/2))/(LN(2)/2)*AQ157*AT157*VLOOKUP('Données projet'!$B$10,Paramètres!$A$1:$I$89,3,0)*0.475*44/12</f>
        <v>2.0062579121723386E-18</v>
      </c>
      <c r="AX157" s="21">
        <f t="shared" si="166"/>
        <v>1.1689718599729664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-2.6602720026858149E-14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210.62109466714364</v>
      </c>
      <c r="BJ157" s="59">
        <f t="shared" si="146"/>
        <v>193.35729443770401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0.56007829154208344</v>
      </c>
      <c r="BQ157" s="21">
        <f>EXP(-LN(2)/25)*BQ156+(1-EXP(-LN(2)/25))/(LN(2)/25)*Calculateur!BL157*Calculateur!BN157*VLOOKUP('Données projet'!$B$11,Paramètres!$A$1:$I$89,3,0)*0.475*44/12</f>
        <v>0.25742301649624755</v>
      </c>
      <c r="BR157" s="21">
        <f>EXP(-LN(2)/2)*BR156+(1-EXP(-LN(2)/2))/(LN(2)/2)*BL157*BO157*VLOOKUP('Données projet'!$B$11,Paramètres!$A$1:$I$89,3,0)*0.475*44/12</f>
        <v>1.7165047332299046E-18</v>
      </c>
      <c r="BS157" s="22">
        <f t="shared" si="169"/>
        <v>0.81750130803833099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368.16165268258442</v>
      </c>
      <c r="CE157" s="59">
        <f t="shared" si="148"/>
        <v>291.32219253157041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0.64169189909594881</v>
      </c>
      <c r="CL157" s="21">
        <f>EXP(-LN(2)/25)*CL156+(1-EXP(-LN(2)/25))/(LN(2)/25)*Calculateur!CG157*Calculateur!CI157*VLOOKUP('Données projet'!$B$12,Paramètres!$A$1:$I$89,3,0)*0.475*44/12</f>
        <v>0.21343735166447567</v>
      </c>
      <c r="CM157" s="21">
        <f>EXP(-LN(2)/2)*CM156+(1-EXP(-LN(2)/2))/(LN(2)/2)*CG157*CJ157*VLOOKUP('Données projet'!$B$12,Paramètres!$A$1:$I$89,3,0)*0.475*44/12</f>
        <v>1.7179906598189766E-18</v>
      </c>
      <c r="CN157" s="22">
        <f t="shared" si="172"/>
        <v>0.85512925076042445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1.1368683772161603E-13</v>
      </c>
      <c r="CU157" s="17">
        <f>CT157*VLOOKUP('Données projet'!$B$13,Paramètres!$A$1:$I$89,3,0)*VLOOKUP('Données projet'!$B$13,Paramètres!$A$1:$I$89,5,0)</f>
        <v>6.7984728957526396E-14</v>
      </c>
      <c r="CV157" s="13">
        <f t="shared" si="173"/>
        <v>1.0682447123141398E-12</v>
      </c>
      <c r="CW157" s="20">
        <f t="shared" si="174"/>
        <v>1.978932943548152E-12</v>
      </c>
      <c r="CX157" s="59">
        <f t="shared" si="122"/>
        <v>289.55658848579327</v>
      </c>
      <c r="CY157" s="59">
        <f ca="1">AVERAGE(OFFSET($CX$3,0,0,'Données projet'!$E$13+1,1))-AVERAGE(OFFSET($H$3,0,0,'Données projet'!$E$13+1,1))</f>
        <v>317.12995176362455</v>
      </c>
      <c r="CZ157" s="59">
        <f t="shared" si="150"/>
        <v>328.11301015275262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1.5490971160706777</v>
      </c>
      <c r="DG157" s="21">
        <f>EXP(-LN(2)/25)*DG156+(1-EXP(-LN(2)/25))/(LN(2)/25)*Calculateur!DB157*Calculateur!DD157*VLOOKUP('Données projet'!$B$13,Paramètres!$A$1:$I$89,3,0)*0.475*44/12</f>
        <v>0.51810566219431342</v>
      </c>
      <c r="DH157" s="21">
        <f>EXP(-LN(2)/2)*DH156+(1-EXP(-LN(2)/2))/(LN(2)/2)*DB157*DE157*VLOOKUP('Données projet'!$B$13,Paramètres!$A$1:$I$89,3,0)*0.475*44/12</f>
        <v>1.2449641326830525E-18</v>
      </c>
      <c r="DI157" s="22">
        <f t="shared" si="175"/>
        <v>2.0672027782649911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2.8421709430404007E-14</v>
      </c>
      <c r="DP157" s="17">
        <f>DO157*VLOOKUP('Données projet'!$B$14,Paramètres!$A$1:$I$89,3,0)*VLOOKUP('Données projet'!$B$14,Paramètres!$A$1:$I$89,5,0)</f>
        <v>2.4829205358400945E-14</v>
      </c>
      <c r="DQ157" s="13">
        <f t="shared" si="176"/>
        <v>4.3867331143352915E-13</v>
      </c>
      <c r="DR157" s="20">
        <f t="shared" si="177"/>
        <v>8.0726688341261168E-13</v>
      </c>
      <c r="DS157" s="59">
        <f t="shared" si="125"/>
        <v>289.55658848579208</v>
      </c>
      <c r="DT157" s="59">
        <f ca="1">AVERAGE(OFFSET($DS$3,0,0,'Données projet'!$E$14+1,1))-AVERAGE(OFFSET($H$3,0,0,'Données projet'!$E$14+1,1))</f>
        <v>325.5873213944476</v>
      </c>
      <c r="DU157" s="59">
        <f t="shared" si="152"/>
        <v>347.9042278368363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0.25123698438129105</v>
      </c>
      <c r="EB157" s="21">
        <f>EXP(-LN(2)/25)*EB156+(1-EXP(-LN(2)/25))/(LN(2)/25)*Calculateur!DW157*Calculateur!DY157*VLOOKUP('Données projet'!$B$14,Paramètres!$A$1:$I$89,3,0)*0.475*44/12</f>
        <v>0.28348149442580345</v>
      </c>
      <c r="EC157" s="21">
        <f>EXP(-LN(2)/2)*EC156+(1-EXP(-LN(2)/2))/(LN(2)/2)*DW157*DZ157*VLOOKUP('Données projet'!$B$14,Paramètres!$A$1:$I$89,3,0)*0.475*44/12</f>
        <v>2.591204298947139E-18</v>
      </c>
      <c r="ED157" s="22">
        <f t="shared" si="178"/>
        <v>0.53471847880709444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205.5480000480477</v>
      </c>
      <c r="EP157" s="59">
        <f t="shared" si="154"/>
        <v>229.86812144828366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0.631096797281538</v>
      </c>
      <c r="EW157" s="21">
        <f>EXP(-LN(2)/25)*EW156+(1-EXP(-LN(2)/25))/(LN(2)/25)*Calculateur!ER157*Calculateur!ET157*VLOOKUP('Données projet'!$B$15,Paramètres!$A$1:$I$89,3,0)*0.475*44/12</f>
        <v>0.19349544727626145</v>
      </c>
      <c r="EX157" s="21">
        <f>EXP(-LN(2)/2)*EX156+(1-EXP(-LN(2)/2))/(LN(2)/2)*ER157*EU157*VLOOKUP('Données projet'!$B$15,Paramètres!$A$1:$I$89,3,0)*0.475*44/12</f>
        <v>6.4140772341658666E-19</v>
      </c>
      <c r="EY157" s="22">
        <f t="shared" si="181"/>
        <v>0.82459224455779945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3.05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27.081600000000062</v>
      </c>
      <c r="D158" s="11">
        <f t="shared" si="140"/>
        <v>8.5008644909657924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95.499596496982321</v>
      </c>
      <c r="H158" s="67">
        <f t="shared" si="110"/>
        <v>273.90612565509883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-1.9065282685915009E-13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542.23071537860039</v>
      </c>
      <c r="T158" s="59">
        <f t="shared" si="142"/>
        <v>667.26143680054633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0.61754446219235659</v>
      </c>
      <c r="AA158" s="21">
        <f>EXP(-LN(2)/25)*AA157+(1-EXP(-LN(2)/25))/(LN(2)/25)*Calculateur!V158*Calculateur!X158*VLOOKUP('Données projet'!$B$9,Paramètres!$A$1:$I$89,3,0)*0.475*44/12</f>
        <v>1.3316319870173368</v>
      </c>
      <c r="AB158" s="21">
        <f>EXP(-LN(2)/2)*AB157+(1-EXP(-LN(2)/2))/(LN(2)/2)*V158*Y158*VLOOKUP('Données projet'!$B$9,Paramètres!$A$1:$I$89,3,0)*0.475*44/12</f>
        <v>2.2106959722691161E-18</v>
      </c>
      <c r="AC158" s="22">
        <f t="shared" si="163"/>
        <v>1.9491764492096935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-1.2710188457276673E-13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427.83834708696861</v>
      </c>
      <c r="AO158" s="59">
        <f t="shared" si="144"/>
        <v>545.63950537101903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0.37052667731541455</v>
      </c>
      <c r="AV158" s="21">
        <f>EXP(-LN(2)/25)*AV157+(1-EXP(-LN(2)/25))/(LN(2)/25)*Calculateur!AQ158*Calculateur!AS158*VLOOKUP('Données projet'!$B$10,Paramètres!$A$1:$I$89,3,0)*0.475*44/12</f>
        <v>0.76940318500587368</v>
      </c>
      <c r="AW158" s="21">
        <f>EXP(-LN(2)/2)*AW157+(1-EXP(-LN(2)/2))/(LN(2)/2)*AQ158*AT158*VLOOKUP('Données projet'!$B$10,Paramètres!$A$1:$I$89,3,0)*0.475*44/12</f>
        <v>1.4186385745062256E-18</v>
      </c>
      <c r="AX158" s="21">
        <f t="shared" si="166"/>
        <v>1.1399298623212881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-2.6602720026858149E-14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210.62109466714364</v>
      </c>
      <c r="BJ158" s="59">
        <f t="shared" si="146"/>
        <v>193.35729443770401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0.54909549785896949</v>
      </c>
      <c r="BQ158" s="21">
        <f>EXP(-LN(2)/25)*BQ157+(1-EXP(-LN(2)/25))/(LN(2)/25)*Calculateur!BL158*Calculateur!BN158*VLOOKUP('Données projet'!$B$11,Paramètres!$A$1:$I$89,3,0)*0.475*44/12</f>
        <v>0.25038377057286959</v>
      </c>
      <c r="BR158" s="21">
        <f>EXP(-LN(2)/2)*BR157+(1-EXP(-LN(2)/2))/(LN(2)/2)*BL158*BO158*VLOOKUP('Données projet'!$B$11,Paramètres!$A$1:$I$89,3,0)*0.475*44/12</f>
        <v>1.2137521368056714E-18</v>
      </c>
      <c r="BS158" s="22">
        <f t="shared" si="169"/>
        <v>0.79947926843183903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368.16165268258442</v>
      </c>
      <c r="CE158" s="59">
        <f t="shared" si="148"/>
        <v>291.32219253157041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0.62910871234808885</v>
      </c>
      <c r="CL158" s="21">
        <f>EXP(-LN(2)/25)*CL157+(1-EXP(-LN(2)/25))/(LN(2)/25)*Calculateur!CG158*Calculateur!CI158*VLOOKUP('Données projet'!$B$12,Paramètres!$A$1:$I$89,3,0)*0.475*44/12</f>
        <v>0.20760089605902807</v>
      </c>
      <c r="CM158" s="21">
        <f>EXP(-LN(2)/2)*CM157+(1-EXP(-LN(2)/2))/(LN(2)/2)*CG158*CJ158*VLOOKUP('Données projet'!$B$12,Paramètres!$A$1:$I$89,3,0)*0.475*44/12</f>
        <v>1.2148028455731496E-18</v>
      </c>
      <c r="CN158" s="22">
        <f t="shared" si="172"/>
        <v>0.83670960840711694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1.1368683772161603E-13</v>
      </c>
      <c r="CU158" s="17">
        <f>CT158*VLOOKUP('Données projet'!$B$13,Paramètres!$A$1:$I$89,3,0)*VLOOKUP('Données projet'!$B$13,Paramètres!$A$1:$I$89,5,0)</f>
        <v>6.7984728957526396E-14</v>
      </c>
      <c r="CV158" s="13">
        <f t="shared" si="173"/>
        <v>1.0682447123141398E-12</v>
      </c>
      <c r="CW158" s="20">
        <f t="shared" si="174"/>
        <v>1.978932943548152E-12</v>
      </c>
      <c r="CX158" s="59">
        <f t="shared" si="122"/>
        <v>289.62210656536161</v>
      </c>
      <c r="CY158" s="59">
        <f ca="1">AVERAGE(OFFSET($CX$3,0,0,'Données projet'!$E$13+1,1))-AVERAGE(OFFSET($H$3,0,0,'Données projet'!$E$13+1,1))</f>
        <v>317.12995176362455</v>
      </c>
      <c r="CZ158" s="59">
        <f t="shared" si="150"/>
        <v>328.11301015275262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1.5187202664804758</v>
      </c>
      <c r="DG158" s="21">
        <f>EXP(-LN(2)/25)*DG157+(1-EXP(-LN(2)/25))/(LN(2)/25)*Calculateur!DB158*Calculateur!DD158*VLOOKUP('Données projet'!$B$13,Paramètres!$A$1:$I$89,3,0)*0.475*44/12</f>
        <v>0.50393803561561734</v>
      </c>
      <c r="DH158" s="21">
        <f>EXP(-LN(2)/2)*DH157+(1-EXP(-LN(2)/2))/(LN(2)/2)*DB158*DE158*VLOOKUP('Données projet'!$B$13,Paramètres!$A$1:$I$89,3,0)*0.475*44/12</f>
        <v>8.8032258055421514E-19</v>
      </c>
      <c r="DI158" s="22">
        <f t="shared" si="175"/>
        <v>2.0226583020960929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2.8421709430404007E-14</v>
      </c>
      <c r="DP158" s="17">
        <f>DO158*VLOOKUP('Données projet'!$B$14,Paramètres!$A$1:$I$89,3,0)*VLOOKUP('Données projet'!$B$14,Paramètres!$A$1:$I$89,5,0)</f>
        <v>2.4829205358400945E-14</v>
      </c>
      <c r="DQ158" s="13">
        <f t="shared" si="176"/>
        <v>4.3867331143352915E-13</v>
      </c>
      <c r="DR158" s="20">
        <f t="shared" si="177"/>
        <v>8.0726688341261168E-13</v>
      </c>
      <c r="DS158" s="59">
        <f t="shared" si="125"/>
        <v>289.62210656536041</v>
      </c>
      <c r="DT158" s="59">
        <f ca="1">AVERAGE(OFFSET($DS$3,0,0,'Données projet'!$E$14+1,1))-AVERAGE(OFFSET($H$3,0,0,'Données projet'!$E$14+1,1))</f>
        <v>325.5873213944476</v>
      </c>
      <c r="DU158" s="59">
        <f t="shared" si="152"/>
        <v>347.9042278368363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0.24631038035700326</v>
      </c>
      <c r="EB158" s="21">
        <f>EXP(-LN(2)/25)*EB157+(1-EXP(-LN(2)/25))/(LN(2)/25)*Calculateur!DW158*Calculateur!DY158*VLOOKUP('Données projet'!$B$14,Paramètres!$A$1:$I$89,3,0)*0.475*44/12</f>
        <v>0.27572967805308596</v>
      </c>
      <c r="EC158" s="21">
        <f>EXP(-LN(2)/2)*EC157+(1-EXP(-LN(2)/2))/(LN(2)/2)*DW158*DZ158*VLOOKUP('Données projet'!$B$14,Paramètres!$A$1:$I$89,3,0)*0.475*44/12</f>
        <v>1.8322581312252559E-18</v>
      </c>
      <c r="ED158" s="22">
        <f t="shared" si="178"/>
        <v>0.52204005841008927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205.5480000480477</v>
      </c>
      <c r="EP158" s="59">
        <f t="shared" si="154"/>
        <v>229.86812144828366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0.61872137401788463</v>
      </c>
      <c r="EW158" s="21">
        <f>EXP(-LN(2)/25)*EW157+(1-EXP(-LN(2)/25))/(LN(2)/25)*Calculateur!ER158*Calculateur!ET158*VLOOKUP('Données projet'!$B$15,Paramètres!$A$1:$I$89,3,0)*0.475*44/12</f>
        <v>0.18820430409500874</v>
      </c>
      <c r="EX158" s="21">
        <f>EXP(-LN(2)/2)*EX157+(1-EXP(-LN(2)/2))/(LN(2)/2)*ER158*EU158*VLOOKUP('Données projet'!$B$15,Paramètres!$A$1:$I$89,3,0)*0.475*44/12</f>
        <v>4.5354375073329393E-19</v>
      </c>
      <c r="EY158" s="22">
        <f t="shared" si="181"/>
        <v>0.8069256781128934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3.05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27.256320000000063</v>
      </c>
      <c r="D159" s="11">
        <f t="shared" si="140"/>
        <v>8.5493067504276716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96.05084642912675</v>
      </c>
      <c r="H159" s="67">
        <f t="shared" si="110"/>
        <v>274.29479992366163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-1.9065282685915009E-13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542.23071537860039</v>
      </c>
      <c r="T159" s="59">
        <f t="shared" si="142"/>
        <v>667.26143680054633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0.60543479195369387</v>
      </c>
      <c r="AA159" s="21">
        <f>EXP(-LN(2)/25)*AA158+(1-EXP(-LN(2)/25))/(LN(2)/25)*Calculateur!V159*Calculateur!X159*VLOOKUP('Données projet'!$B$9,Paramètres!$A$1:$I$89,3,0)*0.475*44/12</f>
        <v>1.295218440304865</v>
      </c>
      <c r="AB159" s="21">
        <f>EXP(-LN(2)/2)*AB158+(1-EXP(-LN(2)/2))/(LN(2)/2)*V159*Y159*VLOOKUP('Données projet'!$B$9,Paramètres!$A$1:$I$89,3,0)*0.475*44/12</f>
        <v>1.5631981131332798E-18</v>
      </c>
      <c r="AC159" s="22">
        <f t="shared" si="163"/>
        <v>1.9006532322585588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-1.2710188457276673E-13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427.83834708696861</v>
      </c>
      <c r="AO159" s="59">
        <f t="shared" si="144"/>
        <v>545.63950537101903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0.36326087517221689</v>
      </c>
      <c r="AV159" s="21">
        <f>EXP(-LN(2)/25)*AV158+(1-EXP(-LN(2)/25))/(LN(2)/25)*Calculateur!AQ159*Calculateur!AS159*VLOOKUP('Données projet'!$B$10,Paramètres!$A$1:$I$89,3,0)*0.475*44/12</f>
        <v>0.74836381445073308</v>
      </c>
      <c r="AW159" s="21">
        <f>EXP(-LN(2)/2)*AW158+(1-EXP(-LN(2)/2))/(LN(2)/2)*AQ159*AT159*VLOOKUP('Données projet'!$B$10,Paramètres!$A$1:$I$89,3,0)*0.475*44/12</f>
        <v>1.0031289560861693E-18</v>
      </c>
      <c r="AX159" s="21">
        <f t="shared" si="166"/>
        <v>1.11162468962295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-2.6602720026858149E-14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210.62109466714364</v>
      </c>
      <c r="BJ159" s="59">
        <f t="shared" si="146"/>
        <v>193.35729443770401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0.5383280700611387</v>
      </c>
      <c r="BQ159" s="21">
        <f>EXP(-LN(2)/25)*BQ158+(1-EXP(-LN(2)/25))/(LN(2)/25)*Calculateur!BL159*Calculateur!BN159*VLOOKUP('Données projet'!$B$11,Paramètres!$A$1:$I$89,3,0)*0.475*44/12</f>
        <v>0.24353701319944424</v>
      </c>
      <c r="BR159" s="21">
        <f>EXP(-LN(2)/2)*BR158+(1-EXP(-LN(2)/2))/(LN(2)/2)*BL159*BO159*VLOOKUP('Données projet'!$B$11,Paramètres!$A$1:$I$89,3,0)*0.475*44/12</f>
        <v>8.5825236661495249E-19</v>
      </c>
      <c r="BS159" s="22">
        <f t="shared" si="169"/>
        <v>0.7818650832605829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368.16165268258442</v>
      </c>
      <c r="CE159" s="59">
        <f t="shared" si="148"/>
        <v>291.32219253157041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0.61677227421736835</v>
      </c>
      <c r="CL159" s="21">
        <f>EXP(-LN(2)/25)*CL158+(1-EXP(-LN(2)/25))/(LN(2)/25)*Calculateur!CG159*Calculateur!CI159*VLOOKUP('Données projet'!$B$12,Paramètres!$A$1:$I$89,3,0)*0.475*44/12</f>
        <v>0.2019240386390373</v>
      </c>
      <c r="CM159" s="21">
        <f>EXP(-LN(2)/2)*CM158+(1-EXP(-LN(2)/2))/(LN(2)/2)*CG159*CJ159*VLOOKUP('Données projet'!$B$12,Paramètres!$A$1:$I$89,3,0)*0.475*44/12</f>
        <v>8.589953299094884E-19</v>
      </c>
      <c r="CN159" s="22">
        <f t="shared" si="172"/>
        <v>0.81869631285640565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1.1368683772161603E-13</v>
      </c>
      <c r="CU159" s="17">
        <f>CT159*VLOOKUP('Données projet'!$B$13,Paramètres!$A$1:$I$89,3,0)*VLOOKUP('Données projet'!$B$13,Paramètres!$A$1:$I$89,5,0)</f>
        <v>6.7984728957526396E-14</v>
      </c>
      <c r="CV159" s="13">
        <f t="shared" si="173"/>
        <v>1.0682447123141398E-12</v>
      </c>
      <c r="CW159" s="20">
        <f t="shared" si="174"/>
        <v>1.978932943548152E-12</v>
      </c>
      <c r="CX159" s="59">
        <f t="shared" si="122"/>
        <v>289.68648805272585</v>
      </c>
      <c r="CY159" s="59">
        <f ca="1">AVERAGE(OFFSET($CX$3,0,0,'Données projet'!$E$13+1,1))-AVERAGE(OFFSET($H$3,0,0,'Données projet'!$E$13+1,1))</f>
        <v>317.12995176362455</v>
      </c>
      <c r="CZ159" s="59">
        <f t="shared" si="150"/>
        <v>328.11301015275262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1.488939088382689</v>
      </c>
      <c r="DG159" s="21">
        <f>EXP(-LN(2)/25)*DG158+(1-EXP(-LN(2)/25))/(LN(2)/25)*Calculateur!DB159*Calculateur!DD159*VLOOKUP('Données projet'!$B$13,Paramètres!$A$1:$I$89,3,0)*0.475*44/12</f>
        <v>0.49015782353075876</v>
      </c>
      <c r="DH159" s="21">
        <f>EXP(-LN(2)/2)*DH158+(1-EXP(-LN(2)/2))/(LN(2)/2)*DB159*DE159*VLOOKUP('Données projet'!$B$13,Paramètres!$A$1:$I$89,3,0)*0.475*44/12</f>
        <v>6.2248206634152627E-19</v>
      </c>
      <c r="DI159" s="22">
        <f t="shared" si="175"/>
        <v>1.9790969119134476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2.8421709430404007E-14</v>
      </c>
      <c r="DP159" s="17">
        <f>DO159*VLOOKUP('Données projet'!$B$14,Paramètres!$A$1:$I$89,3,0)*VLOOKUP('Données projet'!$B$14,Paramètres!$A$1:$I$89,5,0)</f>
        <v>2.4829205358400945E-14</v>
      </c>
      <c r="DQ159" s="13">
        <f t="shared" si="176"/>
        <v>4.3867331143352915E-13</v>
      </c>
      <c r="DR159" s="20">
        <f t="shared" si="177"/>
        <v>8.0726688341261168E-13</v>
      </c>
      <c r="DS159" s="59">
        <f t="shared" si="125"/>
        <v>289.68648805272466</v>
      </c>
      <c r="DT159" s="59">
        <f ca="1">AVERAGE(OFFSET($DS$3,0,0,'Données projet'!$E$14+1,1))-AVERAGE(OFFSET($H$3,0,0,'Données projet'!$E$14+1,1))</f>
        <v>325.5873213944476</v>
      </c>
      <c r="DU159" s="59">
        <f t="shared" si="152"/>
        <v>347.9042278368363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0.2414803840327</v>
      </c>
      <c r="EB159" s="21">
        <f>EXP(-LN(2)/25)*EB158+(1-EXP(-LN(2)/25))/(LN(2)/25)*Calculateur!DW159*Calculateur!DY159*VLOOKUP('Données projet'!$B$14,Paramètres!$A$1:$I$89,3,0)*0.475*44/12</f>
        <v>0.26818983550673076</v>
      </c>
      <c r="EC159" s="21">
        <f>EXP(-LN(2)/2)*EC158+(1-EXP(-LN(2)/2))/(LN(2)/2)*DW159*DZ159*VLOOKUP('Données projet'!$B$14,Paramètres!$A$1:$I$89,3,0)*0.475*44/12</f>
        <v>1.2956021494735695E-18</v>
      </c>
      <c r="ED159" s="22">
        <f t="shared" si="178"/>
        <v>0.5096702195394307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205.5480000480477</v>
      </c>
      <c r="EP159" s="59">
        <f t="shared" si="154"/>
        <v>229.86812144828366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0.60658862525616863</v>
      </c>
      <c r="EW159" s="21">
        <f>EXP(-LN(2)/25)*EW158+(1-EXP(-LN(2)/25))/(LN(2)/25)*Calculateur!ER159*Calculateur!ET159*VLOOKUP('Données projet'!$B$15,Paramètres!$A$1:$I$89,3,0)*0.475*44/12</f>
        <v>0.18305784750229653</v>
      </c>
      <c r="EX159" s="21">
        <f>EXP(-LN(2)/2)*EX158+(1-EXP(-LN(2)/2))/(LN(2)/2)*ER159*EU159*VLOOKUP('Données projet'!$B$15,Paramètres!$A$1:$I$89,3,0)*0.475*44/12</f>
        <v>3.2070386170829333E-19</v>
      </c>
      <c r="EY159" s="22">
        <f t="shared" si="181"/>
        <v>0.78964647275846511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3.05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27.431040000000063</v>
      </c>
      <c r="D160" s="11">
        <f t="shared" si="140"/>
        <v>8.5977128777312348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96.602007108501198</v>
      </c>
      <c r="H160" s="67">
        <f t="shared" si="110"/>
        <v>274.68341126204865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-1.9065282685915009E-13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542.23071537860039</v>
      </c>
      <c r="T160" s="59">
        <f t="shared" si="142"/>
        <v>667.26143680054633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0.59356258496224179</v>
      </c>
      <c r="AA160" s="21">
        <f>EXP(-LN(2)/25)*AA159+(1-EXP(-LN(2)/25))/(LN(2)/25)*Calculateur!V160*Calculateur!X160*VLOOKUP('Données projet'!$B$9,Paramètres!$A$1:$I$89,3,0)*0.475*44/12</f>
        <v>1.2598006239421509</v>
      </c>
      <c r="AB160" s="21">
        <f>EXP(-LN(2)/2)*AB159+(1-EXP(-LN(2)/2))/(LN(2)/2)*V160*Y160*VLOOKUP('Données projet'!$B$9,Paramètres!$A$1:$I$89,3,0)*0.475*44/12</f>
        <v>1.1053479861345581E-18</v>
      </c>
      <c r="AC160" s="22">
        <f t="shared" si="163"/>
        <v>1.8533632089043928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-1.2710188457276673E-13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427.83834708696861</v>
      </c>
      <c r="AO160" s="59">
        <f t="shared" si="144"/>
        <v>545.63950537101903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0.35613755097734562</v>
      </c>
      <c r="AV160" s="21">
        <f>EXP(-LN(2)/25)*AV159+(1-EXP(-LN(2)/25))/(LN(2)/25)*Calculateur!AQ160*Calculateur!AS160*VLOOKUP('Données projet'!$B$10,Paramètres!$A$1:$I$89,3,0)*0.475*44/12</f>
        <v>0.72789976658983524</v>
      </c>
      <c r="AW160" s="21">
        <f>EXP(-LN(2)/2)*AW159+(1-EXP(-LN(2)/2))/(LN(2)/2)*AQ160*AT160*VLOOKUP('Données projet'!$B$10,Paramètres!$A$1:$I$89,3,0)*0.475*44/12</f>
        <v>7.0931928725311278E-19</v>
      </c>
      <c r="AX160" s="21">
        <f t="shared" si="166"/>
        <v>1.0840373175671809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-2.6602720026858149E-14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210.62109466714364</v>
      </c>
      <c r="BJ160" s="59">
        <f t="shared" si="146"/>
        <v>193.35729443770401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0.52777178495494081</v>
      </c>
      <c r="BQ160" s="21">
        <f>EXP(-LN(2)/25)*BQ159+(1-EXP(-LN(2)/25))/(LN(2)/25)*Calculateur!BL160*Calculateur!BN160*VLOOKUP('Données projet'!$B$11,Paramètres!$A$1:$I$89,3,0)*0.475*44/12</f>
        <v>0.23687748076645052</v>
      </c>
      <c r="BR160" s="21">
        <f>EXP(-LN(2)/2)*BR159+(1-EXP(-LN(2)/2))/(LN(2)/2)*BL160*BO160*VLOOKUP('Données projet'!$B$11,Paramètres!$A$1:$I$89,3,0)*0.475*44/12</f>
        <v>6.068760684028358E-19</v>
      </c>
      <c r="BS160" s="22">
        <f t="shared" si="169"/>
        <v>0.76464926572139136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368.16165268258442</v>
      </c>
      <c r="CE160" s="59">
        <f t="shared" si="148"/>
        <v>291.32219253157041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0.60467774611390701</v>
      </c>
      <c r="CL160" s="21">
        <f>EXP(-LN(2)/25)*CL159+(1-EXP(-LN(2)/25))/(LN(2)/25)*Calculateur!CG160*Calculateur!CI160*VLOOKUP('Données projet'!$B$12,Paramètres!$A$1:$I$89,3,0)*0.475*44/12</f>
        <v>0.19640241518372914</v>
      </c>
      <c r="CM160" s="21">
        <f>EXP(-LN(2)/2)*CM159+(1-EXP(-LN(2)/2))/(LN(2)/2)*CG160*CJ160*VLOOKUP('Données projet'!$B$12,Paramètres!$A$1:$I$89,3,0)*0.475*44/12</f>
        <v>6.074014227865749E-19</v>
      </c>
      <c r="CN160" s="22">
        <f t="shared" si="172"/>
        <v>0.80108016129763615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1.1368683772161603E-13</v>
      </c>
      <c r="CU160" s="17">
        <f>CT160*VLOOKUP('Données projet'!$B$13,Paramètres!$A$1:$I$89,3,0)*VLOOKUP('Données projet'!$B$13,Paramètres!$A$1:$I$89,5,0)</f>
        <v>6.7984728957526396E-14</v>
      </c>
      <c r="CV160" s="13">
        <f t="shared" si="173"/>
        <v>1.0682447123141398E-12</v>
      </c>
      <c r="CW160" s="20">
        <f t="shared" si="174"/>
        <v>1.978932943548152E-12</v>
      </c>
      <c r="CX160" s="59">
        <f t="shared" si="122"/>
        <v>289.74975266521983</v>
      </c>
      <c r="CY160" s="59">
        <f ca="1">AVERAGE(OFFSET($CX$3,0,0,'Données projet'!$E$13+1,1))-AVERAGE(OFFSET($H$3,0,0,'Données projet'!$E$13+1,1))</f>
        <v>317.12995176362455</v>
      </c>
      <c r="CZ160" s="59">
        <f t="shared" si="150"/>
        <v>328.11301015275262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1.4597419010226746</v>
      </c>
      <c r="DG160" s="21">
        <f>EXP(-LN(2)/25)*DG159+(1-EXP(-LN(2)/25))/(LN(2)/25)*Calculateur!DB160*Calculateur!DD160*VLOOKUP('Données projet'!$B$13,Paramètres!$A$1:$I$89,3,0)*0.475*44/12</f>
        <v>0.47675443207003049</v>
      </c>
      <c r="DH160" s="21">
        <f>EXP(-LN(2)/2)*DH159+(1-EXP(-LN(2)/2))/(LN(2)/2)*DB160*DE160*VLOOKUP('Données projet'!$B$13,Paramètres!$A$1:$I$89,3,0)*0.475*44/12</f>
        <v>4.4016129027710757E-19</v>
      </c>
      <c r="DI160" s="22">
        <f t="shared" si="175"/>
        <v>1.9364963330927052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2.8421709430404007E-14</v>
      </c>
      <c r="DP160" s="17">
        <f>DO160*VLOOKUP('Données projet'!$B$14,Paramètres!$A$1:$I$89,3,0)*VLOOKUP('Données projet'!$B$14,Paramètres!$A$1:$I$89,5,0)</f>
        <v>2.4829205358400945E-14</v>
      </c>
      <c r="DQ160" s="13">
        <f t="shared" si="176"/>
        <v>4.3867331143352915E-13</v>
      </c>
      <c r="DR160" s="20">
        <f t="shared" si="177"/>
        <v>8.0726688341261168E-13</v>
      </c>
      <c r="DS160" s="59">
        <f t="shared" si="125"/>
        <v>289.74975266521864</v>
      </c>
      <c r="DT160" s="59">
        <f ca="1">AVERAGE(OFFSET($DS$3,0,0,'Données projet'!$E$14+1,1))-AVERAGE(OFFSET($H$3,0,0,'Données projet'!$E$14+1,1))</f>
        <v>325.5873213944476</v>
      </c>
      <c r="DU160" s="59">
        <f t="shared" si="152"/>
        <v>347.9042278368363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0.23674510099030949</v>
      </c>
      <c r="EB160" s="21">
        <f>EXP(-LN(2)/25)*EB159+(1-EXP(-LN(2)/25))/(LN(2)/25)*Calculateur!DW160*Calculateur!DY160*VLOOKUP('Données projet'!$B$14,Paramètres!$A$1:$I$89,3,0)*0.475*44/12</f>
        <v>0.2608561703513087</v>
      </c>
      <c r="EC160" s="21">
        <f>EXP(-LN(2)/2)*EC159+(1-EXP(-LN(2)/2))/(LN(2)/2)*DW160*DZ160*VLOOKUP('Données projet'!$B$14,Paramètres!$A$1:$I$89,3,0)*0.475*44/12</f>
        <v>9.1612906561262793E-19</v>
      </c>
      <c r="ED160" s="22">
        <f t="shared" si="178"/>
        <v>0.49760127134161819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205.5480000480477</v>
      </c>
      <c r="EP160" s="59">
        <f t="shared" si="154"/>
        <v>229.86812144828366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0.59469379229742381</v>
      </c>
      <c r="EW160" s="21">
        <f>EXP(-LN(2)/25)*EW159+(1-EXP(-LN(2)/25))/(LN(2)/25)*Calculateur!ER160*Calculateur!ET160*VLOOKUP('Données projet'!$B$15,Paramètres!$A$1:$I$89,3,0)*0.475*44/12</f>
        <v>0.17805212103575241</v>
      </c>
      <c r="EX160" s="21">
        <f>EXP(-LN(2)/2)*EX159+(1-EXP(-LN(2)/2))/(LN(2)/2)*ER160*EU160*VLOOKUP('Données projet'!$B$15,Paramètres!$A$1:$I$89,3,0)*0.475*44/12</f>
        <v>2.2677187536664697E-19</v>
      </c>
      <c r="EY160" s="22">
        <f t="shared" si="181"/>
        <v>0.77274591333317622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3.05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27.605760000000064</v>
      </c>
      <c r="D161" s="11">
        <f t="shared" si="140"/>
        <v>8.6460831297143041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97.153079169540064</v>
      </c>
      <c r="H161" s="67">
        <f t="shared" si="110"/>
        <v>275.07196011758583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-1.9065282685915009E-13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542.23071537860039</v>
      </c>
      <c r="T161" s="59">
        <f t="shared" si="142"/>
        <v>667.26143680054633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0.58192318470856086</v>
      </c>
      <c r="AA161" s="21">
        <f>EXP(-LN(2)/25)*AA160+(1-EXP(-LN(2)/25))/(LN(2)/25)*Calculateur!V161*Calculateur!X161*VLOOKUP('Données projet'!$B$9,Paramètres!$A$1:$I$89,3,0)*0.475*44/12</f>
        <v>1.2253513096304172</v>
      </c>
      <c r="AB161" s="21">
        <f>EXP(-LN(2)/2)*AB160+(1-EXP(-LN(2)/2))/(LN(2)/2)*V161*Y161*VLOOKUP('Données projet'!$B$9,Paramètres!$A$1:$I$89,3,0)*0.475*44/12</f>
        <v>7.8159905656663992E-19</v>
      </c>
      <c r="AC161" s="22">
        <f t="shared" si="163"/>
        <v>1.807274494338978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-1.2710188457276673E-13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427.83834708696861</v>
      </c>
      <c r="AO161" s="59">
        <f t="shared" si="144"/>
        <v>545.63950537101903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0.34915391082513703</v>
      </c>
      <c r="AV161" s="21">
        <f>EXP(-LN(2)/25)*AV160+(1-EXP(-LN(2)/25))/(LN(2)/25)*Calculateur!AQ161*Calculateur!AS161*VLOOKUP('Données projet'!$B$10,Paramètres!$A$1:$I$89,3,0)*0.475*44/12</f>
        <v>0.70799530919385112</v>
      </c>
      <c r="AW161" s="21">
        <f>EXP(-LN(2)/2)*AW160+(1-EXP(-LN(2)/2))/(LN(2)/2)*AQ161*AT161*VLOOKUP('Données projet'!$B$10,Paramètres!$A$1:$I$89,3,0)*0.475*44/12</f>
        <v>5.0156447804308466E-19</v>
      </c>
      <c r="AX161" s="21">
        <f t="shared" si="166"/>
        <v>1.0571492200189883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-2.6602720026858149E-14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210.62109466714364</v>
      </c>
      <c r="BJ161" s="59">
        <f t="shared" si="146"/>
        <v>193.35729443770401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0.5174225021609774</v>
      </c>
      <c r="BQ161" s="21">
        <f>EXP(-LN(2)/25)*BQ160+(1-EXP(-LN(2)/25))/(LN(2)/25)*Calculateur!BL161*Calculateur!BN161*VLOOKUP('Données projet'!$B$11,Paramètres!$A$1:$I$89,3,0)*0.475*44/12</f>
        <v>0.23040005359804661</v>
      </c>
      <c r="BR161" s="21">
        <f>EXP(-LN(2)/2)*BR160+(1-EXP(-LN(2)/2))/(LN(2)/2)*BL161*BO161*VLOOKUP('Données projet'!$B$11,Paramètres!$A$1:$I$89,3,0)*0.475*44/12</f>
        <v>4.2912618330747629E-19</v>
      </c>
      <c r="BS161" s="22">
        <f t="shared" si="169"/>
        <v>0.74782255575902401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368.16165268258442</v>
      </c>
      <c r="CE161" s="59">
        <f t="shared" si="148"/>
        <v>291.32219253157041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0.59282038432962081</v>
      </c>
      <c r="CL161" s="21">
        <f>EXP(-LN(2)/25)*CL160+(1-EXP(-LN(2)/25))/(LN(2)/25)*Calculateur!CG161*Calculateur!CI161*VLOOKUP('Données projet'!$B$12,Paramètres!$A$1:$I$89,3,0)*0.475*44/12</f>
        <v>0.19103178081217592</v>
      </c>
      <c r="CM161" s="21">
        <f>EXP(-LN(2)/2)*CM160+(1-EXP(-LN(2)/2))/(LN(2)/2)*CG161*CJ161*VLOOKUP('Données projet'!$B$12,Paramètres!$A$1:$I$89,3,0)*0.475*44/12</f>
        <v>4.294976649547443E-19</v>
      </c>
      <c r="CN161" s="22">
        <f t="shared" si="172"/>
        <v>0.78385216514179668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1.1368683772161603E-13</v>
      </c>
      <c r="CU161" s="17">
        <f>CT161*VLOOKUP('Données projet'!$B$13,Paramètres!$A$1:$I$89,3,0)*VLOOKUP('Données projet'!$B$13,Paramètres!$A$1:$I$89,5,0)</f>
        <v>6.7984728957526396E-14</v>
      </c>
      <c r="CV161" s="13">
        <f t="shared" si="173"/>
        <v>1.0682447123141398E-12</v>
      </c>
      <c r="CW161" s="20">
        <f t="shared" si="174"/>
        <v>1.978932943548152E-12</v>
      </c>
      <c r="CX161" s="59">
        <f t="shared" si="122"/>
        <v>289.81191977812546</v>
      </c>
      <c r="CY161" s="59">
        <f ca="1">AVERAGE(OFFSET($CX$3,0,0,'Données projet'!$E$13+1,1))-AVERAGE(OFFSET($H$3,0,0,'Données projet'!$E$13+1,1))</f>
        <v>317.12995176362455</v>
      </c>
      <c r="CZ161" s="59">
        <f t="shared" si="150"/>
        <v>328.11301015275262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1.4311172526982645</v>
      </c>
      <c r="DG161" s="21">
        <f>EXP(-LN(2)/25)*DG160+(1-EXP(-LN(2)/25))/(LN(2)/25)*Calculateur!DB161*Calculateur!DD161*VLOOKUP('Données projet'!$B$13,Paramètres!$A$1:$I$89,3,0)*0.475*44/12</f>
        <v>0.46371755705364953</v>
      </c>
      <c r="DH161" s="21">
        <f>EXP(-LN(2)/2)*DH160+(1-EXP(-LN(2)/2))/(LN(2)/2)*DB161*DE161*VLOOKUP('Données projet'!$B$13,Paramètres!$A$1:$I$89,3,0)*0.475*44/12</f>
        <v>3.1124103317076313E-19</v>
      </c>
      <c r="DI161" s="22">
        <f t="shared" si="175"/>
        <v>1.8948348097519141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2.8421709430404007E-14</v>
      </c>
      <c r="DP161" s="17">
        <f>DO161*VLOOKUP('Données projet'!$B$14,Paramètres!$A$1:$I$89,3,0)*VLOOKUP('Données projet'!$B$14,Paramètres!$A$1:$I$89,5,0)</f>
        <v>2.4829205358400945E-14</v>
      </c>
      <c r="DQ161" s="13">
        <f t="shared" si="176"/>
        <v>4.3867331143352915E-13</v>
      </c>
      <c r="DR161" s="20">
        <f t="shared" si="177"/>
        <v>8.0726688341261168E-13</v>
      </c>
      <c r="DS161" s="59">
        <f t="shared" si="125"/>
        <v>289.81191977812426</v>
      </c>
      <c r="DT161" s="59">
        <f ca="1">AVERAGE(OFFSET($DS$3,0,0,'Données projet'!$E$14+1,1))-AVERAGE(OFFSET($H$3,0,0,'Données projet'!$E$14+1,1))</f>
        <v>325.5873213944476</v>
      </c>
      <c r="DU161" s="59">
        <f t="shared" si="152"/>
        <v>347.9042278368363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0.23210267396014278</v>
      </c>
      <c r="EB161" s="21">
        <f>EXP(-LN(2)/25)*EB160+(1-EXP(-LN(2)/25))/(LN(2)/25)*Calculateur!DW161*Calculateur!DY161*VLOOKUP('Données projet'!$B$14,Paramètres!$A$1:$I$89,3,0)*0.475*44/12</f>
        <v>0.25372304465522239</v>
      </c>
      <c r="EC161" s="21">
        <f>EXP(-LN(2)/2)*EC160+(1-EXP(-LN(2)/2))/(LN(2)/2)*DW161*DZ161*VLOOKUP('Données projet'!$B$14,Paramètres!$A$1:$I$89,3,0)*0.475*44/12</f>
        <v>6.4780107473678474E-19</v>
      </c>
      <c r="ED161" s="22">
        <f t="shared" si="178"/>
        <v>0.48582571861536517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205.5480000480477</v>
      </c>
      <c r="EP161" s="59">
        <f t="shared" si="154"/>
        <v>229.86812144828366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0.58303220975786829</v>
      </c>
      <c r="EW161" s="21">
        <f>EXP(-LN(2)/25)*EW160+(1-EXP(-LN(2)/25))/(LN(2)/25)*Calculateur!ER161*Calculateur!ET161*VLOOKUP('Données projet'!$B$15,Paramètres!$A$1:$I$89,3,0)*0.475*44/12</f>
        <v>0.17318327642267567</v>
      </c>
      <c r="EX161" s="21">
        <f>EXP(-LN(2)/2)*EX160+(1-EXP(-LN(2)/2))/(LN(2)/2)*ER161*EU161*VLOOKUP('Données projet'!$B$15,Paramètres!$A$1:$I$89,3,0)*0.475*44/12</f>
        <v>1.6035193085414666E-19</v>
      </c>
      <c r="EY161" s="22">
        <f t="shared" si="181"/>
        <v>0.75621548618054391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3.05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27.780480000000065</v>
      </c>
      <c r="D162" s="11">
        <f t="shared" si="140"/>
        <v>8.6944177597755772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97.704063238182641</v>
      </c>
      <c r="H162" s="67">
        <f t="shared" si="110"/>
        <v>275.46044693160923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-1.9065282685915009E-13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542.23071537860039</v>
      </c>
      <c r="T162" s="59">
        <f t="shared" si="142"/>
        <v>667.26143680054633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0.57051202599452144</v>
      </c>
      <c r="AA162" s="21">
        <f>EXP(-LN(2)/25)*AA161+(1-EXP(-LN(2)/25))/(LN(2)/25)*Calculateur!V162*Calculateur!X162*VLOOKUP('Données projet'!$B$9,Paramètres!$A$1:$I$89,3,0)*0.475*44/12</f>
        <v>1.1918440136301487</v>
      </c>
      <c r="AB162" s="21">
        <f>EXP(-LN(2)/2)*AB161+(1-EXP(-LN(2)/2))/(LN(2)/2)*V162*Y162*VLOOKUP('Données projet'!$B$9,Paramètres!$A$1:$I$89,3,0)*0.475*44/12</f>
        <v>5.5267399306727903E-19</v>
      </c>
      <c r="AC162" s="22">
        <f t="shared" si="163"/>
        <v>1.7623560396246702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-1.2710188457276673E-13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427.83834708696861</v>
      </c>
      <c r="AO162" s="59">
        <f t="shared" si="144"/>
        <v>545.63950537101903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0.34230721559671334</v>
      </c>
      <c r="AV162" s="21">
        <f>EXP(-LN(2)/25)*AV161+(1-EXP(-LN(2)/25))/(LN(2)/25)*Calculateur!AQ162*Calculateur!AS162*VLOOKUP('Données projet'!$B$10,Paramètres!$A$1:$I$89,3,0)*0.475*44/12</f>
        <v>0.68863514023209005</v>
      </c>
      <c r="AW162" s="21">
        <f>EXP(-LN(2)/2)*AW161+(1-EXP(-LN(2)/2))/(LN(2)/2)*AQ162*AT162*VLOOKUP('Données projet'!$B$10,Paramètres!$A$1:$I$89,3,0)*0.475*44/12</f>
        <v>3.5465964362655639E-19</v>
      </c>
      <c r="AX162" s="21">
        <f t="shared" si="166"/>
        <v>1.0309423558288033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-2.6602720026858149E-14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210.62109466714364</v>
      </c>
      <c r="BJ162" s="59">
        <f t="shared" si="146"/>
        <v>193.35729443770401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0.50727616249016438</v>
      </c>
      <c r="BQ162" s="21">
        <f>EXP(-LN(2)/25)*BQ161+(1-EXP(-LN(2)/25))/(LN(2)/25)*Calculateur!BL162*Calculateur!BN162*VLOOKUP('Données projet'!$B$11,Paramètres!$A$1:$I$89,3,0)*0.475*44/12</f>
        <v>0.22409975201619578</v>
      </c>
      <c r="BR162" s="21">
        <f>EXP(-LN(2)/2)*BR161+(1-EXP(-LN(2)/2))/(LN(2)/2)*BL162*BO162*VLOOKUP('Données projet'!$B$11,Paramètres!$A$1:$I$89,3,0)*0.475*44/12</f>
        <v>3.0343803420141795E-19</v>
      </c>
      <c r="BS162" s="22">
        <f t="shared" si="169"/>
        <v>0.73137591450636019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368.16165268258442</v>
      </c>
      <c r="CE162" s="59">
        <f t="shared" si="148"/>
        <v>291.32219253157041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0.58119553817764791</v>
      </c>
      <c r="CL162" s="21">
        <f>EXP(-LN(2)/25)*CL161+(1-EXP(-LN(2)/25))/(LN(2)/25)*Calculateur!CG162*Calculateur!CI162*VLOOKUP('Données projet'!$B$12,Paramètres!$A$1:$I$89,3,0)*0.475*44/12</f>
        <v>0.18580800671994221</v>
      </c>
      <c r="CM162" s="21">
        <f>EXP(-LN(2)/2)*CM161+(1-EXP(-LN(2)/2))/(LN(2)/2)*CG162*CJ162*VLOOKUP('Données projet'!$B$12,Paramètres!$A$1:$I$89,3,0)*0.475*44/12</f>
        <v>3.037007113932875E-19</v>
      </c>
      <c r="CN162" s="22">
        <f t="shared" si="172"/>
        <v>0.76700354489759015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1.1368683772161603E-13</v>
      </c>
      <c r="CU162" s="17">
        <f>CT162*VLOOKUP('Données projet'!$B$13,Paramètres!$A$1:$I$89,3,0)*VLOOKUP('Données projet'!$B$13,Paramètres!$A$1:$I$89,5,0)</f>
        <v>6.7984728957526396E-14</v>
      </c>
      <c r="CV162" s="13">
        <f t="shared" si="173"/>
        <v>1.0682447123141398E-12</v>
      </c>
      <c r="CW162" s="20">
        <f t="shared" si="174"/>
        <v>1.978932943548152E-12</v>
      </c>
      <c r="CX162" s="59">
        <f t="shared" si="122"/>
        <v>289.87300843060706</v>
      </c>
      <c r="CY162" s="59">
        <f ca="1">AVERAGE(OFFSET($CX$3,0,0,'Données projet'!$E$13+1,1))-AVERAGE(OFFSET($H$3,0,0,'Données projet'!$E$13+1,1))</f>
        <v>317.12995176362455</v>
      </c>
      <c r="CZ162" s="59">
        <f t="shared" si="150"/>
        <v>328.11301015275262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1.4030539162681845</v>
      </c>
      <c r="DG162" s="21">
        <f>EXP(-LN(2)/25)*DG161+(1-EXP(-LN(2)/25))/(LN(2)/25)*Calculateur!DB162*Calculateur!DD162*VLOOKUP('Données projet'!$B$13,Paramètres!$A$1:$I$89,3,0)*0.475*44/12</f>
        <v>0.45103717607017102</v>
      </c>
      <c r="DH162" s="21">
        <f>EXP(-LN(2)/2)*DH161+(1-EXP(-LN(2)/2))/(LN(2)/2)*DB162*DE162*VLOOKUP('Données projet'!$B$13,Paramètres!$A$1:$I$89,3,0)*0.475*44/12</f>
        <v>2.2008064513855378E-19</v>
      </c>
      <c r="DI162" s="22">
        <f t="shared" si="175"/>
        <v>1.8540910923383556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2.8421709430404007E-14</v>
      </c>
      <c r="DP162" s="17">
        <f>DO162*VLOOKUP('Données projet'!$B$14,Paramètres!$A$1:$I$89,3,0)*VLOOKUP('Données projet'!$B$14,Paramètres!$A$1:$I$89,5,0)</f>
        <v>2.4829205358400945E-14</v>
      </c>
      <c r="DQ162" s="13">
        <f t="shared" si="176"/>
        <v>4.3867331143352915E-13</v>
      </c>
      <c r="DR162" s="20">
        <f t="shared" si="177"/>
        <v>8.0726688341261168E-13</v>
      </c>
      <c r="DS162" s="59">
        <f t="shared" si="125"/>
        <v>289.87300843060586</v>
      </c>
      <c r="DT162" s="59">
        <f ca="1">AVERAGE(OFFSET($DS$3,0,0,'Données projet'!$E$14+1,1))-AVERAGE(OFFSET($H$3,0,0,'Données projet'!$E$14+1,1))</f>
        <v>325.5873213944476</v>
      </c>
      <c r="DU162" s="59">
        <f t="shared" si="152"/>
        <v>347.9042278368363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0.22755128209243675</v>
      </c>
      <c r="EB162" s="21">
        <f>EXP(-LN(2)/25)*EB161+(1-EXP(-LN(2)/25))/(LN(2)/25)*Calculateur!DW162*Calculateur!DY162*VLOOKUP('Données projet'!$B$14,Paramètres!$A$1:$I$89,3,0)*0.475*44/12</f>
        <v>0.24678497465641031</v>
      </c>
      <c r="EC162" s="21">
        <f>EXP(-LN(2)/2)*EC161+(1-EXP(-LN(2)/2))/(LN(2)/2)*DW162*DZ162*VLOOKUP('Données projet'!$B$14,Paramètres!$A$1:$I$89,3,0)*0.475*44/12</f>
        <v>4.5806453280631397E-19</v>
      </c>
      <c r="ED162" s="22">
        <f t="shared" si="178"/>
        <v>0.47433625674884705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205.5480000480477</v>
      </c>
      <c r="EP162" s="59">
        <f t="shared" si="154"/>
        <v>229.86812144828366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0.57159930373905043</v>
      </c>
      <c r="EW162" s="21">
        <f>EXP(-LN(2)/25)*EW161+(1-EXP(-LN(2)/25))/(LN(2)/25)*Calculateur!ER162*Calculateur!ET162*VLOOKUP('Données projet'!$B$15,Paramètres!$A$1:$I$89,3,0)*0.475*44/12</f>
        <v>0.16844757062158491</v>
      </c>
      <c r="EX162" s="21">
        <f>EXP(-LN(2)/2)*EX161+(1-EXP(-LN(2)/2))/(LN(2)/2)*ER162*EU162*VLOOKUP('Données projet'!$B$15,Paramètres!$A$1:$I$89,3,0)*0.475*44/12</f>
        <v>1.1338593768332348E-19</v>
      </c>
      <c r="EY162" s="22">
        <f t="shared" si="181"/>
        <v>0.74004687436063532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3.05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27.955200000000065</v>
      </c>
      <c r="D163" s="11">
        <f t="shared" si="140"/>
        <v>8.7427170179420131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98.254959932039384</v>
      </c>
      <c r="H163" s="67">
        <f t="shared" si="110"/>
        <v>275.8488721395824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-1.9065282685915009E-13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542.23071537860039</v>
      </c>
      <c r="T163" s="59">
        <f t="shared" si="142"/>
        <v>667.26143680054633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0.55932463314274472</v>
      </c>
      <c r="AA163" s="21">
        <f>EXP(-LN(2)/25)*AA162+(1-EXP(-LN(2)/25))/(LN(2)/25)*Calculateur!V163*Calculateur!X163*VLOOKUP('Données projet'!$B$9,Paramètres!$A$1:$I$89,3,0)*0.475*44/12</f>
        <v>1.1592529764010795</v>
      </c>
      <c r="AB163" s="21">
        <f>EXP(-LN(2)/2)*AB162+(1-EXP(-LN(2)/2))/(LN(2)/2)*V163*Y163*VLOOKUP('Données projet'!$B$9,Paramètres!$A$1:$I$89,3,0)*0.475*44/12</f>
        <v>3.9079952828331996E-19</v>
      </c>
      <c r="AC163" s="22">
        <f t="shared" si="163"/>
        <v>1.7185776095438241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-1.2710188457276673E-13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427.83834708696861</v>
      </c>
      <c r="AO163" s="59">
        <f t="shared" si="144"/>
        <v>545.63950537101903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0.33559477988564734</v>
      </c>
      <c r="AV163" s="21">
        <f>EXP(-LN(2)/25)*AV162+(1-EXP(-LN(2)/25))/(LN(2)/25)*Calculateur!AQ163*Calculateur!AS163*VLOOKUP('Données projet'!$B$10,Paramètres!$A$1:$I$89,3,0)*0.475*44/12</f>
        <v>0.66980437610869537</v>
      </c>
      <c r="AW163" s="21">
        <f>EXP(-LN(2)/2)*AW162+(1-EXP(-LN(2)/2))/(LN(2)/2)*AQ163*AT163*VLOOKUP('Données projet'!$B$10,Paramètres!$A$1:$I$89,3,0)*0.475*44/12</f>
        <v>2.5078223902154233E-19</v>
      </c>
      <c r="AX163" s="21">
        <f t="shared" si="166"/>
        <v>1.0053991559943427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-2.6602720026858149E-14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210.62109466714364</v>
      </c>
      <c r="BJ163" s="59">
        <f t="shared" si="146"/>
        <v>193.35729443770401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0.49732878635163991</v>
      </c>
      <c r="BQ163" s="21">
        <f>EXP(-LN(2)/25)*BQ162+(1-EXP(-LN(2)/25))/(LN(2)/25)*Calculateur!BL163*Calculateur!BN163*VLOOKUP('Données projet'!$B$11,Paramètres!$A$1:$I$89,3,0)*0.475*44/12</f>
        <v>0.21797173251241914</v>
      </c>
      <c r="BR163" s="21">
        <f>EXP(-LN(2)/2)*BR162+(1-EXP(-LN(2)/2))/(LN(2)/2)*BL163*BO163*VLOOKUP('Données projet'!$B$11,Paramètres!$A$1:$I$89,3,0)*0.475*44/12</f>
        <v>2.1456309165373817E-19</v>
      </c>
      <c r="BS163" s="22">
        <f t="shared" si="169"/>
        <v>0.7153005188640591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368.16165268258442</v>
      </c>
      <c r="CE163" s="59">
        <f t="shared" si="148"/>
        <v>291.32219253157041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0.56979864816825909</v>
      </c>
      <c r="CL163" s="21">
        <f>EXP(-LN(2)/25)*CL162+(1-EXP(-LN(2)/25))/(LN(2)/25)*Calculateur!CG163*Calculateur!CI163*VLOOKUP('Données projet'!$B$12,Paramètres!$A$1:$I$89,3,0)*0.475*44/12</f>
        <v>0.18072707700496699</v>
      </c>
      <c r="CM163" s="21">
        <f>EXP(-LN(2)/2)*CM162+(1-EXP(-LN(2)/2))/(LN(2)/2)*CG163*CJ163*VLOOKUP('Données projet'!$B$12,Paramètres!$A$1:$I$89,3,0)*0.475*44/12</f>
        <v>2.1474883247737217E-19</v>
      </c>
      <c r="CN163" s="22">
        <f t="shared" si="172"/>
        <v>0.75052572517322602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1.1368683772161603E-13</v>
      </c>
      <c r="CU163" s="17">
        <f>CT163*VLOOKUP('Données projet'!$B$13,Paramètres!$A$1:$I$89,3,0)*VLOOKUP('Données projet'!$B$13,Paramètres!$A$1:$I$89,5,0)</f>
        <v>6.7984728957526396E-14</v>
      </c>
      <c r="CV163" s="13">
        <f t="shared" si="173"/>
        <v>1.0682447123141398E-12</v>
      </c>
      <c r="CW163" s="20">
        <f t="shared" si="174"/>
        <v>1.978932943548152E-12</v>
      </c>
      <c r="CX163" s="59">
        <f t="shared" si="122"/>
        <v>289.93303733154187</v>
      </c>
      <c r="CY163" s="59">
        <f ca="1">AVERAGE(OFFSET($CX$3,0,0,'Données projet'!$E$13+1,1))-AVERAGE(OFFSET($H$3,0,0,'Données projet'!$E$13+1,1))</f>
        <v>317.12995176362455</v>
      </c>
      <c r="CZ163" s="59">
        <f t="shared" si="150"/>
        <v>328.11301015275262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1.3755408847485533</v>
      </c>
      <c r="DG163" s="21">
        <f>EXP(-LN(2)/25)*DG162+(1-EXP(-LN(2)/25))/(LN(2)/25)*Calculateur!DB163*Calculateur!DD163*VLOOKUP('Données projet'!$B$13,Paramètres!$A$1:$I$89,3,0)*0.475*44/12</f>
        <v>0.43870354077151796</v>
      </c>
      <c r="DH163" s="21">
        <f>EXP(-LN(2)/2)*DH162+(1-EXP(-LN(2)/2))/(LN(2)/2)*DB163*DE163*VLOOKUP('Données projet'!$B$13,Paramètres!$A$1:$I$89,3,0)*0.475*44/12</f>
        <v>1.5562051658538157E-19</v>
      </c>
      <c r="DI163" s="22">
        <f t="shared" si="175"/>
        <v>1.8142444255200711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2.8421709430404007E-14</v>
      </c>
      <c r="DP163" s="17">
        <f>DO163*VLOOKUP('Données projet'!$B$14,Paramètres!$A$1:$I$89,3,0)*VLOOKUP('Données projet'!$B$14,Paramètres!$A$1:$I$89,5,0)</f>
        <v>2.4829205358400945E-14</v>
      </c>
      <c r="DQ163" s="13">
        <f t="shared" si="176"/>
        <v>4.3867331143352915E-13</v>
      </c>
      <c r="DR163" s="20">
        <f t="shared" si="177"/>
        <v>8.0726688341261168E-13</v>
      </c>
      <c r="DS163" s="59">
        <f t="shared" si="125"/>
        <v>289.93303733154067</v>
      </c>
      <c r="DT163" s="59">
        <f ca="1">AVERAGE(OFFSET($DS$3,0,0,'Données projet'!$E$14+1,1))-AVERAGE(OFFSET($H$3,0,0,'Données projet'!$E$14+1,1))</f>
        <v>325.5873213944476</v>
      </c>
      <c r="DU163" s="59">
        <f t="shared" si="152"/>
        <v>347.9042278368363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0.22308914024318152</v>
      </c>
      <c r="EB163" s="21">
        <f>EXP(-LN(2)/25)*EB162+(1-EXP(-LN(2)/25))/(LN(2)/25)*Calculateur!DW163*Calculateur!DY163*VLOOKUP('Données projet'!$B$14,Paramètres!$A$1:$I$89,3,0)*0.475*44/12</f>
        <v>0.24003662654657298</v>
      </c>
      <c r="EC163" s="21">
        <f>EXP(-LN(2)/2)*EC162+(1-EXP(-LN(2)/2))/(LN(2)/2)*DW163*DZ163*VLOOKUP('Données projet'!$B$14,Paramètres!$A$1:$I$89,3,0)*0.475*44/12</f>
        <v>3.2390053736839237E-19</v>
      </c>
      <c r="ED163" s="22">
        <f t="shared" si="178"/>
        <v>0.46312576678975448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205.5480000480477</v>
      </c>
      <c r="EP163" s="59">
        <f t="shared" si="154"/>
        <v>229.86812144828366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0.56039059003387748</v>
      </c>
      <c r="EW163" s="21">
        <f>EXP(-LN(2)/25)*EW162+(1-EXP(-LN(2)/25))/(LN(2)/25)*Calculateur!ER163*Calculateur!ET163*VLOOKUP('Données projet'!$B$15,Paramètres!$A$1:$I$89,3,0)*0.475*44/12</f>
        <v>0.16384136294466492</v>
      </c>
      <c r="EX163" s="21">
        <f>EXP(-LN(2)/2)*EX162+(1-EXP(-LN(2)/2))/(LN(2)/2)*ER163*EU163*VLOOKUP('Données projet'!$B$15,Paramètres!$A$1:$I$89,3,0)*0.475*44/12</f>
        <v>8.0175965427073332E-20</v>
      </c>
      <c r="EY163" s="22">
        <f t="shared" si="181"/>
        <v>0.72423195297854237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3.05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28.129920000000066</v>
      </c>
      <c r="D164" s="11">
        <f t="shared" si="140"/>
        <v>8.7909811509344724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98.805769860554108</v>
      </c>
      <c r="H164" s="67">
        <f t="shared" si="110"/>
        <v>276.23723617121095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-1.9065282685915009E-13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542.23071537860039</v>
      </c>
      <c r="T164" s="59">
        <f t="shared" si="142"/>
        <v>667.26143680054633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0.54835661824115556</v>
      </c>
      <c r="AA164" s="21">
        <f>EXP(-LN(2)/25)*AA163+(1-EXP(-LN(2)/25))/(LN(2)/25)*Calculateur!V164*Calculateur!X164*VLOOKUP('Données projet'!$B$9,Paramètres!$A$1:$I$89,3,0)*0.475*44/12</f>
        <v>1.1275531427989274</v>
      </c>
      <c r="AB164" s="21">
        <f>EXP(-LN(2)/2)*AB163+(1-EXP(-LN(2)/2))/(LN(2)/2)*V164*Y164*VLOOKUP('Données projet'!$B$9,Paramètres!$A$1:$I$89,3,0)*0.475*44/12</f>
        <v>2.7633699653363951E-19</v>
      </c>
      <c r="AC164" s="22">
        <f t="shared" si="163"/>
        <v>1.6759097610400828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-1.2710188457276673E-13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427.83834708696861</v>
      </c>
      <c r="AO164" s="59">
        <f t="shared" si="144"/>
        <v>545.63950537101903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0.32901397094469381</v>
      </c>
      <c r="AV164" s="21">
        <f>EXP(-LN(2)/25)*AV163+(1-EXP(-LN(2)/25))/(LN(2)/25)*Calculateur!AQ164*Calculateur!AS164*VLOOKUP('Données projet'!$B$10,Paramètres!$A$1:$I$89,3,0)*0.475*44/12</f>
        <v>0.65148854022052183</v>
      </c>
      <c r="AW164" s="21">
        <f>EXP(-LN(2)/2)*AW163+(1-EXP(-LN(2)/2))/(LN(2)/2)*AQ164*AT164*VLOOKUP('Données projet'!$B$10,Paramètres!$A$1:$I$89,3,0)*0.475*44/12</f>
        <v>1.773298218132782E-19</v>
      </c>
      <c r="AX164" s="21">
        <f t="shared" si="166"/>
        <v>0.9805025111652157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-2.6602720026858149E-14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210.62109466714364</v>
      </c>
      <c r="BJ164" s="59">
        <f t="shared" si="146"/>
        <v>193.35729443770401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0.48757647219189154</v>
      </c>
      <c r="BQ164" s="21">
        <f>EXP(-LN(2)/25)*BQ163+(1-EXP(-LN(2)/25))/(LN(2)/25)*Calculateur!BL164*Calculateur!BN164*VLOOKUP('Données projet'!$B$11,Paramètres!$A$1:$I$89,3,0)*0.475*44/12</f>
        <v>0.21201128402423181</v>
      </c>
      <c r="BR164" s="21">
        <f>EXP(-LN(2)/2)*BR163+(1-EXP(-LN(2)/2))/(LN(2)/2)*BL164*BO164*VLOOKUP('Données projet'!$B$11,Paramètres!$A$1:$I$89,3,0)*0.475*44/12</f>
        <v>1.51719017100709E-19</v>
      </c>
      <c r="BS164" s="22">
        <f t="shared" si="169"/>
        <v>0.69958775621612335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368.16165268258442</v>
      </c>
      <c r="CE164" s="59">
        <f t="shared" si="148"/>
        <v>291.32219253157041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0.55862524422053794</v>
      </c>
      <c r="CL164" s="21">
        <f>EXP(-LN(2)/25)*CL163+(1-EXP(-LN(2)/25))/(LN(2)/25)*Calculateur!CG164*Calculateur!CI164*VLOOKUP('Données projet'!$B$12,Paramètres!$A$1:$I$89,3,0)*0.475*44/12</f>
        <v>0.17578508558024225</v>
      </c>
      <c r="CM164" s="21">
        <f>EXP(-LN(2)/2)*CM163+(1-EXP(-LN(2)/2))/(LN(2)/2)*CG164*CJ164*VLOOKUP('Données projet'!$B$12,Paramètres!$A$1:$I$89,3,0)*0.475*44/12</f>
        <v>1.5185035569664377E-19</v>
      </c>
      <c r="CN164" s="22">
        <f t="shared" si="172"/>
        <v>0.73441032980078025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1.1368683772161603E-13</v>
      </c>
      <c r="CU164" s="17">
        <f>CT164*VLOOKUP('Données projet'!$B$13,Paramètres!$A$1:$I$89,3,0)*VLOOKUP('Données projet'!$B$13,Paramètres!$A$1:$I$89,5,0)</f>
        <v>6.7984728957526396E-14</v>
      </c>
      <c r="CV164" s="13">
        <f t="shared" si="173"/>
        <v>1.0682447123141398E-12</v>
      </c>
      <c r="CW164" s="20">
        <f t="shared" si="174"/>
        <v>1.978932943548152E-12</v>
      </c>
      <c r="CX164" s="59">
        <f t="shared" si="122"/>
        <v>289.99202486525002</v>
      </c>
      <c r="CY164" s="59">
        <f ca="1">AVERAGE(OFFSET($CX$3,0,0,'Données projet'!$E$13+1,1))-AVERAGE(OFFSET($H$3,0,0,'Données projet'!$E$13+1,1))</f>
        <v>317.12995176362455</v>
      </c>
      <c r="CZ164" s="59">
        <f t="shared" si="150"/>
        <v>328.11301015275262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1.3485673669957299</v>
      </c>
      <c r="DG164" s="21">
        <f>EXP(-LN(2)/25)*DG163+(1-EXP(-LN(2)/25))/(LN(2)/25)*Calculateur!DB164*Calculateur!DD164*VLOOKUP('Données projet'!$B$13,Paramètres!$A$1:$I$89,3,0)*0.475*44/12</f>
        <v>0.42670716937870429</v>
      </c>
      <c r="DH164" s="21">
        <f>EXP(-LN(2)/2)*DH163+(1-EXP(-LN(2)/2))/(LN(2)/2)*DB164*DE164*VLOOKUP('Données projet'!$B$13,Paramètres!$A$1:$I$89,3,0)*0.475*44/12</f>
        <v>1.1004032256927689E-19</v>
      </c>
      <c r="DI164" s="22">
        <f t="shared" si="175"/>
        <v>1.7752745363744342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2.8421709430404007E-14</v>
      </c>
      <c r="DP164" s="17">
        <f>DO164*VLOOKUP('Données projet'!$B$14,Paramètres!$A$1:$I$89,3,0)*VLOOKUP('Données projet'!$B$14,Paramètres!$A$1:$I$89,5,0)</f>
        <v>2.4829205358400945E-14</v>
      </c>
      <c r="DQ164" s="13">
        <f t="shared" si="176"/>
        <v>4.3867331143352915E-13</v>
      </c>
      <c r="DR164" s="20">
        <f t="shared" si="177"/>
        <v>8.0726688341261168E-13</v>
      </c>
      <c r="DS164" s="59">
        <f t="shared" si="125"/>
        <v>289.99202486524882</v>
      </c>
      <c r="DT164" s="59">
        <f ca="1">AVERAGE(OFFSET($DS$3,0,0,'Données projet'!$E$14+1,1))-AVERAGE(OFFSET($H$3,0,0,'Données projet'!$E$14+1,1))</f>
        <v>325.5873213944476</v>
      </c>
      <c r="DU164" s="59">
        <f t="shared" si="152"/>
        <v>347.9042278368363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0.2187144982739524</v>
      </c>
      <c r="EB164" s="21">
        <f>EXP(-LN(2)/25)*EB163+(1-EXP(-LN(2)/25))/(LN(2)/25)*Calculateur!DW164*Calculateur!DY164*VLOOKUP('Données projet'!$B$14,Paramètres!$A$1:$I$89,3,0)*0.475*44/12</f>
        <v>0.23347281237067938</v>
      </c>
      <c r="EC164" s="21">
        <f>EXP(-LN(2)/2)*EC163+(1-EXP(-LN(2)/2))/(LN(2)/2)*DW164*DZ164*VLOOKUP('Données projet'!$B$14,Paramètres!$A$1:$I$89,3,0)*0.475*44/12</f>
        <v>2.2903226640315698E-19</v>
      </c>
      <c r="ED164" s="22">
        <f t="shared" si="178"/>
        <v>0.4521873106446318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205.5480000480477</v>
      </c>
      <c r="EP164" s="59">
        <f t="shared" si="154"/>
        <v>229.86812144828366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0.54940167236782267</v>
      </c>
      <c r="EW164" s="21">
        <f>EXP(-LN(2)/25)*EW163+(1-EXP(-LN(2)/25))/(LN(2)/25)*Calculateur!ER164*Calculateur!ET164*VLOOKUP('Données projet'!$B$15,Paramètres!$A$1:$I$89,3,0)*0.475*44/12</f>
        <v>0.15936111225890023</v>
      </c>
      <c r="EX164" s="21">
        <f>EXP(-LN(2)/2)*EX163+(1-EXP(-LN(2)/2))/(LN(2)/2)*ER164*EU164*VLOOKUP('Données projet'!$B$15,Paramètres!$A$1:$I$89,3,0)*0.475*44/12</f>
        <v>5.6692968841661741E-20</v>
      </c>
      <c r="EY164" s="22">
        <f t="shared" si="181"/>
        <v>0.70876278462672293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3.05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28.304640000000067</v>
      </c>
      <c r="D165" s="11">
        <f t="shared" si="140"/>
        <v>8.8392104022317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99.356493625161988</v>
      </c>
      <c r="H165" s="67">
        <f t="shared" si="110"/>
        <v>276.62553945055362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-1.9065282685915009E-13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542.23071537860039</v>
      </c>
      <c r="T165" s="59">
        <f t="shared" si="142"/>
        <v>667.26143680054633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0.53760367942195797</v>
      </c>
      <c r="AA165" s="21">
        <f>EXP(-LN(2)/25)*AA164+(1-EXP(-LN(2)/25))/(LN(2)/25)*Calculateur!V165*Calculateur!X165*VLOOKUP('Données projet'!$B$9,Paramètres!$A$1:$I$89,3,0)*0.475*44/12</f>
        <v>1.0967201428136479</v>
      </c>
      <c r="AB165" s="21">
        <f>EXP(-LN(2)/2)*AB164+(1-EXP(-LN(2)/2))/(LN(2)/2)*V165*Y165*VLOOKUP('Données projet'!$B$9,Paramètres!$A$1:$I$89,3,0)*0.475*44/12</f>
        <v>1.9539976414165998E-19</v>
      </c>
      <c r="AC165" s="22">
        <f t="shared" si="163"/>
        <v>1.634323822235606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-1.2710188457276673E-13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427.83834708696861</v>
      </c>
      <c r="AO165" s="59">
        <f t="shared" si="144"/>
        <v>545.63950537101903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0.32256220765317528</v>
      </c>
      <c r="AV165" s="21">
        <f>EXP(-LN(2)/25)*AV164+(1-EXP(-LN(2)/25))/(LN(2)/25)*Calculateur!AQ165*Calculateur!AS165*VLOOKUP('Données projet'!$B$10,Paramètres!$A$1:$I$89,3,0)*0.475*44/12</f>
        <v>0.63367355182789831</v>
      </c>
      <c r="AW165" s="21">
        <f>EXP(-LN(2)/2)*AW164+(1-EXP(-LN(2)/2))/(LN(2)/2)*AQ165*AT165*VLOOKUP('Données projet'!$B$10,Paramètres!$A$1:$I$89,3,0)*0.475*44/12</f>
        <v>1.2539111951077116E-19</v>
      </c>
      <c r="AX165" s="21">
        <f t="shared" si="166"/>
        <v>0.95623575948107353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-2.6602720026858149E-14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210.62109466714364</v>
      </c>
      <c r="BJ165" s="59">
        <f t="shared" si="146"/>
        <v>193.35729443770401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0.47801539496449152</v>
      </c>
      <c r="BQ165" s="21">
        <f>EXP(-LN(2)/25)*BQ164+(1-EXP(-LN(2)/25))/(LN(2)/25)*Calculateur!BL165*Calculateur!BN165*VLOOKUP('Données projet'!$B$11,Paramètres!$A$1:$I$89,3,0)*0.475*44/12</f>
        <v>0.20621382431340032</v>
      </c>
      <c r="BR165" s="21">
        <f>EXP(-LN(2)/2)*BR164+(1-EXP(-LN(2)/2))/(LN(2)/2)*BL165*BO165*VLOOKUP('Données projet'!$B$11,Paramètres!$A$1:$I$89,3,0)*0.475*44/12</f>
        <v>1.0728154582686911E-19</v>
      </c>
      <c r="BS165" s="22">
        <f t="shared" si="169"/>
        <v>0.68422921927789182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368.16165268258442</v>
      </c>
      <c r="CE165" s="59">
        <f t="shared" si="148"/>
        <v>291.32219253157041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0.54767094390912807</v>
      </c>
      <c r="CL165" s="21">
        <f>EXP(-LN(2)/25)*CL164+(1-EXP(-LN(2)/25))/(LN(2)/25)*Calculateur!CG165*Calculateur!CI165*VLOOKUP('Données projet'!$B$12,Paramètres!$A$1:$I$89,3,0)*0.475*44/12</f>
        <v>0.17097823317091465</v>
      </c>
      <c r="CM165" s="21">
        <f>EXP(-LN(2)/2)*CM164+(1-EXP(-LN(2)/2))/(LN(2)/2)*CG165*CJ165*VLOOKUP('Données projet'!$B$12,Paramètres!$A$1:$I$89,3,0)*0.475*44/12</f>
        <v>1.0737441623868611E-19</v>
      </c>
      <c r="CN165" s="22">
        <f t="shared" si="172"/>
        <v>0.71864917708004272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1.1368683772161603E-13</v>
      </c>
      <c r="CU165" s="17">
        <f>CT165*VLOOKUP('Données projet'!$B$13,Paramètres!$A$1:$I$89,3,0)*VLOOKUP('Données projet'!$B$13,Paramètres!$A$1:$I$89,5,0)</f>
        <v>6.7984728957526396E-14</v>
      </c>
      <c r="CV165" s="13">
        <f t="shared" si="173"/>
        <v>1.0682447123141398E-12</v>
      </c>
      <c r="CW165" s="20">
        <f t="shared" si="174"/>
        <v>1.978932943548152E-12</v>
      </c>
      <c r="CX165" s="59">
        <f t="shared" si="122"/>
        <v>290.04998909712464</v>
      </c>
      <c r="CY165" s="59">
        <f ca="1">AVERAGE(OFFSET($CX$3,0,0,'Données projet'!$E$13+1,1))-AVERAGE(OFFSET($H$3,0,0,'Données projet'!$E$13+1,1))</f>
        <v>317.12995176362455</v>
      </c>
      <c r="CZ165" s="59">
        <f t="shared" si="150"/>
        <v>328.11301015275262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1.3221227834738178</v>
      </c>
      <c r="DG165" s="21">
        <f>EXP(-LN(2)/25)*DG164+(1-EXP(-LN(2)/25))/(LN(2)/25)*Calculateur!DB165*Calculateur!DD165*VLOOKUP('Données projet'!$B$13,Paramètres!$A$1:$I$89,3,0)*0.475*44/12</f>
        <v>0.41503883939248881</v>
      </c>
      <c r="DH165" s="21">
        <f>EXP(-LN(2)/2)*DH164+(1-EXP(-LN(2)/2))/(LN(2)/2)*DB165*DE165*VLOOKUP('Données projet'!$B$13,Paramètres!$A$1:$I$89,3,0)*0.475*44/12</f>
        <v>7.7810258292690783E-20</v>
      </c>
      <c r="DI165" s="22">
        <f t="shared" si="175"/>
        <v>1.7371616228663067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2.8421709430404007E-14</v>
      </c>
      <c r="DP165" s="17">
        <f>DO165*VLOOKUP('Données projet'!$B$14,Paramètres!$A$1:$I$89,3,0)*VLOOKUP('Données projet'!$B$14,Paramètres!$A$1:$I$89,5,0)</f>
        <v>2.4829205358400945E-14</v>
      </c>
      <c r="DQ165" s="13">
        <f t="shared" si="176"/>
        <v>4.3867331143352915E-13</v>
      </c>
      <c r="DR165" s="20">
        <f t="shared" si="177"/>
        <v>8.0726688341261168E-13</v>
      </c>
      <c r="DS165" s="59">
        <f t="shared" si="125"/>
        <v>290.04998909712344</v>
      </c>
      <c r="DT165" s="59">
        <f ca="1">AVERAGE(OFFSET($DS$3,0,0,'Données projet'!$E$14+1,1))-AVERAGE(OFFSET($H$3,0,0,'Données projet'!$E$14+1,1))</f>
        <v>325.5873213944476</v>
      </c>
      <c r="DU165" s="59">
        <f t="shared" si="152"/>
        <v>347.9042278368363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0.21442564036547171</v>
      </c>
      <c r="EB165" s="21">
        <f>EXP(-LN(2)/25)*EB164+(1-EXP(-LN(2)/25))/(LN(2)/25)*Calculateur!DW165*Calculateur!DY165*VLOOKUP('Données projet'!$B$14,Paramètres!$A$1:$I$89,3,0)*0.475*44/12</f>
        <v>0.22708848603860154</v>
      </c>
      <c r="EC165" s="21">
        <f>EXP(-LN(2)/2)*EC164+(1-EXP(-LN(2)/2))/(LN(2)/2)*DW165*DZ165*VLOOKUP('Données projet'!$B$14,Paramètres!$A$1:$I$89,3,0)*0.475*44/12</f>
        <v>1.6195026868419619E-19</v>
      </c>
      <c r="ED165" s="22">
        <f t="shared" si="178"/>
        <v>0.44151412640407328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205.5480000480477</v>
      </c>
      <c r="EP165" s="59">
        <f t="shared" si="154"/>
        <v>229.86812144828366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0.53862824067462123</v>
      </c>
      <c r="EW165" s="21">
        <f>EXP(-LN(2)/25)*EW164+(1-EXP(-LN(2)/25))/(LN(2)/25)*Calculateur!ER165*Calculateur!ET165*VLOOKUP('Données projet'!$B$15,Paramètres!$A$1:$I$89,3,0)*0.475*44/12</f>
        <v>0.15500337426374394</v>
      </c>
      <c r="EX165" s="21">
        <f>EXP(-LN(2)/2)*EX164+(1-EXP(-LN(2)/2))/(LN(2)/2)*ER165*EU165*VLOOKUP('Données projet'!$B$15,Paramètres!$A$1:$I$89,3,0)*0.475*44/12</f>
        <v>4.0087982713536666E-20</v>
      </c>
      <c r="EY165" s="22">
        <f t="shared" si="181"/>
        <v>0.69363161493836523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3.05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28.479360000000067</v>
      </c>
      <c r="D166" s="11">
        <f t="shared" si="140"/>
        <v>8.8874050121326693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99.907131819443691</v>
      </c>
      <c r="H166" s="67">
        <f t="shared" si="110"/>
        <v>277.01378239613115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-1.9065282685915009E-13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542.23071537860039</v>
      </c>
      <c r="T166" s="59">
        <f t="shared" si="142"/>
        <v>667.26143680054633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0.5270615991743598</v>
      </c>
      <c r="AA166" s="21">
        <f>EXP(-LN(2)/25)*AA165+(1-EXP(-LN(2)/25))/(LN(2)/25)*Calculateur!V166*Calculateur!X166*VLOOKUP('Données projet'!$B$9,Paramètres!$A$1:$I$89,3,0)*0.475*44/12</f>
        <v>1.066730272834403</v>
      </c>
      <c r="AB166" s="21">
        <f>EXP(-LN(2)/2)*AB165+(1-EXP(-LN(2)/2))/(LN(2)/2)*V166*Y166*VLOOKUP('Données projet'!$B$9,Paramètres!$A$1:$I$89,3,0)*0.475*44/12</f>
        <v>1.3816849826681976E-19</v>
      </c>
      <c r="AC166" s="22">
        <f t="shared" si="163"/>
        <v>1.5937918720087629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-1.2710188457276673E-13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427.83834708696861</v>
      </c>
      <c r="AO166" s="59">
        <f t="shared" si="144"/>
        <v>545.63950537101903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0.31623695950461639</v>
      </c>
      <c r="AV166" s="21">
        <f>EXP(-LN(2)/25)*AV165+(1-EXP(-LN(2)/25))/(LN(2)/25)*Calculateur!AQ166*Calculateur!AS166*VLOOKUP('Données projet'!$B$10,Paramètres!$A$1:$I$89,3,0)*0.475*44/12</f>
        <v>0.61634571522972059</v>
      </c>
      <c r="AW166" s="21">
        <f>EXP(-LN(2)/2)*AW165+(1-EXP(-LN(2)/2))/(LN(2)/2)*AQ166*AT166*VLOOKUP('Données projet'!$B$10,Paramètres!$A$1:$I$89,3,0)*0.475*44/12</f>
        <v>8.8664910906639098E-20</v>
      </c>
      <c r="AX166" s="21">
        <f t="shared" si="166"/>
        <v>0.93258267473433698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-2.6602720026858149E-14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210.62109466714364</v>
      </c>
      <c r="BJ166" s="59">
        <f t="shared" si="146"/>
        <v>193.35729443770401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0.46864180462983956</v>
      </c>
      <c r="BQ166" s="21">
        <f>EXP(-LN(2)/25)*BQ165+(1-EXP(-LN(2)/25))/(LN(2)/25)*Calculateur!BL166*Calculateur!BN166*VLOOKUP('Données projet'!$B$11,Paramètres!$A$1:$I$89,3,0)*0.475*44/12</f>
        <v>0.20057489644323667</v>
      </c>
      <c r="BR166" s="21">
        <f>EXP(-LN(2)/2)*BR165+(1-EXP(-LN(2)/2))/(LN(2)/2)*BL166*BO166*VLOOKUP('Données projet'!$B$11,Paramètres!$A$1:$I$89,3,0)*0.475*44/12</f>
        <v>7.5859508550354511E-20</v>
      </c>
      <c r="BS166" s="22">
        <f t="shared" si="169"/>
        <v>0.66921670107307629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368.16165268258442</v>
      </c>
      <c r="CE166" s="59">
        <f t="shared" si="148"/>
        <v>291.32219253157041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0.53693145074536153</v>
      </c>
      <c r="CL166" s="21">
        <f>EXP(-LN(2)/25)*CL165+(1-EXP(-LN(2)/25))/(LN(2)/25)*Calculateur!CG166*Calculateur!CI166*VLOOKUP('Données projet'!$B$12,Paramètres!$A$1:$I$89,3,0)*0.475*44/12</f>
        <v>0.16630282439350147</v>
      </c>
      <c r="CM166" s="21">
        <f>EXP(-LN(2)/2)*CM165+(1-EXP(-LN(2)/2))/(LN(2)/2)*CG166*CJ166*VLOOKUP('Données projet'!$B$12,Paramètres!$A$1:$I$89,3,0)*0.475*44/12</f>
        <v>7.5925177848321898E-20</v>
      </c>
      <c r="CN166" s="22">
        <f t="shared" si="172"/>
        <v>0.70323427513886294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1.1368683772161603E-13</v>
      </c>
      <c r="CU166" s="17">
        <f>CT166*VLOOKUP('Données projet'!$B$13,Paramètres!$A$1:$I$89,3,0)*VLOOKUP('Données projet'!$B$13,Paramètres!$A$1:$I$89,5,0)</f>
        <v>6.7984728957526396E-14</v>
      </c>
      <c r="CV166" s="13">
        <f t="shared" si="173"/>
        <v>1.0682447123141398E-12</v>
      </c>
      <c r="CW166" s="20">
        <f t="shared" si="174"/>
        <v>1.978932943548152E-12</v>
      </c>
      <c r="CX166" s="59">
        <f t="shared" si="122"/>
        <v>290.10694777916484</v>
      </c>
      <c r="CY166" s="59">
        <f ca="1">AVERAGE(OFFSET($CX$3,0,0,'Données projet'!$E$13+1,1))-AVERAGE(OFFSET($H$3,0,0,'Données projet'!$E$13+1,1))</f>
        <v>317.12995176362455</v>
      </c>
      <c r="CZ166" s="59">
        <f t="shared" si="150"/>
        <v>328.11301015275262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1.2961967621051673</v>
      </c>
      <c r="DG166" s="21">
        <f>EXP(-LN(2)/25)*DG165+(1-EXP(-LN(2)/25))/(LN(2)/25)*Calculateur!DB166*Calculateur!DD166*VLOOKUP('Données projet'!$B$13,Paramètres!$A$1:$I$89,3,0)*0.475*44/12</f>
        <v>0.40368958050335724</v>
      </c>
      <c r="DH166" s="21">
        <f>EXP(-LN(2)/2)*DH165+(1-EXP(-LN(2)/2))/(LN(2)/2)*DB166*DE166*VLOOKUP('Données projet'!$B$13,Paramètres!$A$1:$I$89,3,0)*0.475*44/12</f>
        <v>5.5020161284638446E-20</v>
      </c>
      <c r="DI166" s="22">
        <f t="shared" si="175"/>
        <v>1.6998863426085244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2.8421709430404007E-14</v>
      </c>
      <c r="DP166" s="17">
        <f>DO166*VLOOKUP('Données projet'!$B$14,Paramètres!$A$1:$I$89,3,0)*VLOOKUP('Données projet'!$B$14,Paramètres!$A$1:$I$89,5,0)</f>
        <v>2.4829205358400945E-14</v>
      </c>
      <c r="DQ166" s="13">
        <f t="shared" si="176"/>
        <v>4.3867331143352915E-13</v>
      </c>
      <c r="DR166" s="20">
        <f t="shared" si="177"/>
        <v>8.0726688341261168E-13</v>
      </c>
      <c r="DS166" s="59">
        <f t="shared" si="125"/>
        <v>290.10694777916365</v>
      </c>
      <c r="DT166" s="59">
        <f ca="1">AVERAGE(OFFSET($DS$3,0,0,'Données projet'!$E$14+1,1))-AVERAGE(OFFSET($H$3,0,0,'Données projet'!$E$14+1,1))</f>
        <v>325.5873213944476</v>
      </c>
      <c r="DU166" s="59">
        <f t="shared" si="152"/>
        <v>347.9042278368363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0.21022088434463132</v>
      </c>
      <c r="EB166" s="21">
        <f>EXP(-LN(2)/25)*EB165+(1-EXP(-LN(2)/25))/(LN(2)/25)*Calculateur!DW166*Calculateur!DY166*VLOOKUP('Données projet'!$B$14,Paramètres!$A$1:$I$89,3,0)*0.475*44/12</f>
        <v>0.22087873944581152</v>
      </c>
      <c r="EC166" s="21">
        <f>EXP(-LN(2)/2)*EC165+(1-EXP(-LN(2)/2))/(LN(2)/2)*DW166*DZ166*VLOOKUP('Données projet'!$B$14,Paramètres!$A$1:$I$89,3,0)*0.475*44/12</f>
        <v>1.1451613320157849E-19</v>
      </c>
      <c r="ED166" s="22">
        <f t="shared" si="178"/>
        <v>0.43109962379044287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205.5480000480477</v>
      </c>
      <c r="EP166" s="59">
        <f t="shared" si="154"/>
        <v>229.86812144828366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0.52806606940577905</v>
      </c>
      <c r="EW166" s="21">
        <f>EXP(-LN(2)/25)*EW165+(1-EXP(-LN(2)/25))/(LN(2)/25)*Calculateur!ER166*Calculateur!ET166*VLOOKUP('Données projet'!$B$15,Paramètres!$A$1:$I$89,3,0)*0.475*44/12</f>
        <v>0.15076479884322869</v>
      </c>
      <c r="EX166" s="21">
        <f>EXP(-LN(2)/2)*EX165+(1-EXP(-LN(2)/2))/(LN(2)/2)*ER166*EU166*VLOOKUP('Données projet'!$B$15,Paramètres!$A$1:$I$89,3,0)*0.475*44/12</f>
        <v>2.8346484420830871E-20</v>
      </c>
      <c r="EY166" s="22">
        <f t="shared" si="181"/>
        <v>0.67883086824900774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3.05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28.654080000000068</v>
      </c>
      <c r="D167" s="11">
        <f t="shared" si="140"/>
        <v>8.9355652178173521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100.4576850292753</v>
      </c>
      <c r="H167" s="67">
        <f t="shared" si="110"/>
        <v>277.40196542103195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-1.9065282685915009E-13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542.23071537860039</v>
      </c>
      <c r="T167" s="59">
        <f t="shared" si="142"/>
        <v>667.26143680054633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0.51672624269038303</v>
      </c>
      <c r="AA167" s="21">
        <f>EXP(-LN(2)/25)*AA166+(1-EXP(-LN(2)/25))/(LN(2)/25)*Calculateur!V167*Calculateur!X167*VLOOKUP('Données projet'!$B$9,Paramètres!$A$1:$I$89,3,0)*0.475*44/12</f>
        <v>1.0375604774268392</v>
      </c>
      <c r="AB167" s="21">
        <f>EXP(-LN(2)/2)*AB166+(1-EXP(-LN(2)/2))/(LN(2)/2)*V167*Y167*VLOOKUP('Données projet'!$B$9,Paramètres!$A$1:$I$89,3,0)*0.475*44/12</f>
        <v>9.769988207082999E-20</v>
      </c>
      <c r="AC167" s="22">
        <f t="shared" si="163"/>
        <v>1.5542867201172221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-1.2710188457276673E-13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427.83834708696861</v>
      </c>
      <c r="AO167" s="59">
        <f t="shared" si="144"/>
        <v>545.63950537101903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0.31003574561423031</v>
      </c>
      <c r="AV167" s="21">
        <f>EXP(-LN(2)/25)*AV166+(1-EXP(-LN(2)/25))/(LN(2)/25)*Calculateur!AQ167*Calculateur!AS167*VLOOKUP('Données projet'!$B$10,Paramètres!$A$1:$I$89,3,0)*0.475*44/12</f>
        <v>0.59949170923455142</v>
      </c>
      <c r="AW167" s="21">
        <f>EXP(-LN(2)/2)*AW166+(1-EXP(-LN(2)/2))/(LN(2)/2)*AQ167*AT167*VLOOKUP('Données projet'!$B$10,Paramètres!$A$1:$I$89,3,0)*0.475*44/12</f>
        <v>6.2695559755385582E-20</v>
      </c>
      <c r="AX167" s="21">
        <f t="shared" si="166"/>
        <v>0.90952745484878172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-2.6602720026858149E-14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210.62109466714364</v>
      </c>
      <c r="BJ167" s="59">
        <f t="shared" si="146"/>
        <v>193.35729443770401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0.45945202468432456</v>
      </c>
      <c r="BQ167" s="21">
        <f>EXP(-LN(2)/25)*BQ166+(1-EXP(-LN(2)/25))/(LN(2)/25)*Calculateur!BL167*Calculateur!BN167*VLOOKUP('Données projet'!$B$11,Paramètres!$A$1:$I$89,3,0)*0.475*44/12</f>
        <v>0.19509016535222098</v>
      </c>
      <c r="BR167" s="21">
        <f>EXP(-LN(2)/2)*BR166+(1-EXP(-LN(2)/2))/(LN(2)/2)*BL167*BO167*VLOOKUP('Données projet'!$B$11,Paramètres!$A$1:$I$89,3,0)*0.475*44/12</f>
        <v>5.3640772913434561E-20</v>
      </c>
      <c r="BS167" s="22">
        <f t="shared" si="169"/>
        <v>0.65454219003654557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368.16165268258442</v>
      </c>
      <c r="CE167" s="59">
        <f t="shared" si="148"/>
        <v>291.32219253157041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0.52640255249209245</v>
      </c>
      <c r="CL167" s="21">
        <f>EXP(-LN(2)/25)*CL166+(1-EXP(-LN(2)/25))/(LN(2)/25)*Calculateur!CG167*Calculateur!CI167*VLOOKUP('Données projet'!$B$12,Paramètres!$A$1:$I$89,3,0)*0.475*44/12</f>
        <v>0.16175526491497572</v>
      </c>
      <c r="CM167" s="21">
        <f>EXP(-LN(2)/2)*CM166+(1-EXP(-LN(2)/2))/(LN(2)/2)*CG167*CJ167*VLOOKUP('Données projet'!$B$12,Paramètres!$A$1:$I$89,3,0)*0.475*44/12</f>
        <v>5.3687208119343061E-20</v>
      </c>
      <c r="CN167" s="22">
        <f t="shared" si="172"/>
        <v>0.68815781740706816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1.1368683772161603E-13</v>
      </c>
      <c r="CU167" s="17">
        <f>CT167*VLOOKUP('Données projet'!$B$13,Paramètres!$A$1:$I$89,3,0)*VLOOKUP('Données projet'!$B$13,Paramètres!$A$1:$I$89,5,0)</f>
        <v>6.7984728957526396E-14</v>
      </c>
      <c r="CV167" s="13">
        <f t="shared" si="173"/>
        <v>1.0682447123141398E-12</v>
      </c>
      <c r="CW167" s="20">
        <f t="shared" si="174"/>
        <v>1.978932943548152E-12</v>
      </c>
      <c r="CX167" s="59">
        <f t="shared" si="122"/>
        <v>290.16291835541222</v>
      </c>
      <c r="CY167" s="59">
        <f ca="1">AVERAGE(OFFSET($CX$3,0,0,'Données projet'!$E$13+1,1))-AVERAGE(OFFSET($H$3,0,0,'Données projet'!$E$13+1,1))</f>
        <v>317.12995176362455</v>
      </c>
      <c r="CZ167" s="59">
        <f t="shared" si="150"/>
        <v>328.11301015275262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1.2707791342022443</v>
      </c>
      <c r="DG167" s="21">
        <f>EXP(-LN(2)/25)*DG166+(1-EXP(-LN(2)/25))/(LN(2)/25)*Calculateur!DB167*Calculateur!DD167*VLOOKUP('Données projet'!$B$13,Paramètres!$A$1:$I$89,3,0)*0.475*44/12</f>
        <v>0.39265066769538054</v>
      </c>
      <c r="DH167" s="21">
        <f>EXP(-LN(2)/2)*DH166+(1-EXP(-LN(2)/2))/(LN(2)/2)*DB167*DE167*VLOOKUP('Données projet'!$B$13,Paramètres!$A$1:$I$89,3,0)*0.475*44/12</f>
        <v>3.8905129146345392E-20</v>
      </c>
      <c r="DI167" s="22">
        <f t="shared" si="175"/>
        <v>1.6634298018976248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2.8421709430404007E-14</v>
      </c>
      <c r="DP167" s="17">
        <f>DO167*VLOOKUP('Données projet'!$B$14,Paramètres!$A$1:$I$89,3,0)*VLOOKUP('Données projet'!$B$14,Paramètres!$A$1:$I$89,5,0)</f>
        <v>2.4829205358400945E-14</v>
      </c>
      <c r="DQ167" s="13">
        <f t="shared" si="176"/>
        <v>4.3867331143352915E-13</v>
      </c>
      <c r="DR167" s="20">
        <f t="shared" si="177"/>
        <v>8.0726688341261168E-13</v>
      </c>
      <c r="DS167" s="59">
        <f t="shared" si="125"/>
        <v>290.16291835541102</v>
      </c>
      <c r="DT167" s="59">
        <f ca="1">AVERAGE(OFFSET($DS$3,0,0,'Données projet'!$E$14+1,1))-AVERAGE(OFFSET($H$3,0,0,'Données projet'!$E$14+1,1))</f>
        <v>325.5873213944476</v>
      </c>
      <c r="DU167" s="59">
        <f t="shared" si="152"/>
        <v>347.9042278368363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0.20609858102471168</v>
      </c>
      <c r="EB167" s="21">
        <f>EXP(-LN(2)/25)*EB166+(1-EXP(-LN(2)/25))/(LN(2)/25)*Calculateur!DW167*Calculateur!DY167*VLOOKUP('Données projet'!$B$14,Paramètres!$A$1:$I$89,3,0)*0.475*44/12</f>
        <v>0.21483879870015771</v>
      </c>
      <c r="EC167" s="21">
        <f>EXP(-LN(2)/2)*EC166+(1-EXP(-LN(2)/2))/(LN(2)/2)*DW167*DZ167*VLOOKUP('Données projet'!$B$14,Paramètres!$A$1:$I$89,3,0)*0.475*44/12</f>
        <v>8.0975134342098093E-20</v>
      </c>
      <c r="ED167" s="22">
        <f t="shared" si="178"/>
        <v>0.42093737972486939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205.5480000480477</v>
      </c>
      <c r="EP167" s="59">
        <f t="shared" si="154"/>
        <v>229.86812144828366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0.51771101587323043</v>
      </c>
      <c r="EW167" s="21">
        <f>EXP(-LN(2)/25)*EW166+(1-EXP(-LN(2)/25))/(LN(2)/25)*Calculateur!ER167*Calculateur!ET167*VLOOKUP('Données projet'!$B$15,Paramètres!$A$1:$I$89,3,0)*0.475*44/12</f>
        <v>0.14664212749048441</v>
      </c>
      <c r="EX167" s="21">
        <f>EXP(-LN(2)/2)*EX166+(1-EXP(-LN(2)/2))/(LN(2)/2)*ER167*EU167*VLOOKUP('Données projet'!$B$15,Paramètres!$A$1:$I$89,3,0)*0.475*44/12</f>
        <v>2.0043991356768333E-20</v>
      </c>
      <c r="EY167" s="22">
        <f t="shared" si="181"/>
        <v>0.66435314336371487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3.05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28.828800000000069</v>
      </c>
      <c r="D168" s="11">
        <f t="shared" si="140"/>
        <v>8.9836912534059703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101.00815383297493</v>
      </c>
      <c r="H168" s="67">
        <f t="shared" si="110"/>
        <v>277.79008893301545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-1.9065282685915009E-13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542.23071537860039</v>
      </c>
      <c r="T168" s="59">
        <f t="shared" si="142"/>
        <v>667.26143680054633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0.50659355624311198</v>
      </c>
      <c r="AA168" s="21">
        <f>EXP(-LN(2)/25)*AA167+(1-EXP(-LN(2)/25))/(LN(2)/25)*Calculateur!V168*Calculateur!X168*VLOOKUP('Données projet'!$B$9,Paramètres!$A$1:$I$89,3,0)*0.475*44/12</f>
        <v>1.0091883316086681</v>
      </c>
      <c r="AB168" s="21">
        <f>EXP(-LN(2)/2)*AB167+(1-EXP(-LN(2)/2))/(LN(2)/2)*V168*Y168*VLOOKUP('Données projet'!$B$9,Paramètres!$A$1:$I$89,3,0)*0.475*44/12</f>
        <v>6.9084249133409878E-20</v>
      </c>
      <c r="AC168" s="22">
        <f t="shared" si="163"/>
        <v>1.5157818878517801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-1.2710188457276673E-13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427.83834708696861</v>
      </c>
      <c r="AO168" s="59">
        <f t="shared" si="144"/>
        <v>545.63950537101903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0.30395613374586772</v>
      </c>
      <c r="AV168" s="21">
        <f>EXP(-LN(2)/25)*AV167+(1-EXP(-LN(2)/25))/(LN(2)/25)*Calculateur!AQ168*Calculateur!AS168*VLOOKUP('Données projet'!$B$10,Paramètres!$A$1:$I$89,3,0)*0.475*44/12</f>
        <v>0.58309857691963374</v>
      </c>
      <c r="AW168" s="21">
        <f>EXP(-LN(2)/2)*AW167+(1-EXP(-LN(2)/2))/(LN(2)/2)*AQ168*AT168*VLOOKUP('Données projet'!$B$10,Paramètres!$A$1:$I$89,3,0)*0.475*44/12</f>
        <v>4.4332455453319549E-20</v>
      </c>
      <c r="AX168" s="21">
        <f t="shared" si="166"/>
        <v>0.88705471066550146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-2.6602720026858149E-14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210.62109466714364</v>
      </c>
      <c r="BJ168" s="59">
        <f t="shared" si="146"/>
        <v>193.35729443770401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0.45044245071832878</v>
      </c>
      <c r="BQ168" s="21">
        <f>EXP(-LN(2)/25)*BQ167+(1-EXP(-LN(2)/25))/(LN(2)/25)*Calculateur!BL168*Calculateur!BN168*VLOOKUP('Données projet'!$B$11,Paramètres!$A$1:$I$89,3,0)*0.475*44/12</f>
        <v>0.18975541452131858</v>
      </c>
      <c r="BR168" s="21">
        <f>EXP(-LN(2)/2)*BR167+(1-EXP(-LN(2)/2))/(LN(2)/2)*BL168*BO168*VLOOKUP('Données projet'!$B$11,Paramètres!$A$1:$I$89,3,0)*0.475*44/12</f>
        <v>3.7929754275177262E-20</v>
      </c>
      <c r="BS168" s="22">
        <f t="shared" si="169"/>
        <v>0.64019786523964739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368.16165268258442</v>
      </c>
      <c r="CE168" s="59">
        <f t="shared" si="148"/>
        <v>291.32219253157041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0.51608011951157617</v>
      </c>
      <c r="CL168" s="21">
        <f>EXP(-LN(2)/25)*CL167+(1-EXP(-LN(2)/25))/(LN(2)/25)*Calculateur!CG168*Calculateur!CI168*VLOOKUP('Données projet'!$B$12,Paramètres!$A$1:$I$89,3,0)*0.475*44/12</f>
        <v>0.15733205868953601</v>
      </c>
      <c r="CM168" s="21">
        <f>EXP(-LN(2)/2)*CM167+(1-EXP(-LN(2)/2))/(LN(2)/2)*CG168*CJ168*VLOOKUP('Données projet'!$B$12,Paramètres!$A$1:$I$89,3,0)*0.475*44/12</f>
        <v>3.7962588924160955E-20</v>
      </c>
      <c r="CN168" s="22">
        <f t="shared" si="172"/>
        <v>0.67341217820111221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1.1368683772161603E-13</v>
      </c>
      <c r="CU168" s="17">
        <f>CT168*VLOOKUP('Données projet'!$B$13,Paramètres!$A$1:$I$89,3,0)*VLOOKUP('Données projet'!$B$13,Paramètres!$A$1:$I$89,5,0)</f>
        <v>6.7984728957526396E-14</v>
      </c>
      <c r="CV168" s="13">
        <f t="shared" si="173"/>
        <v>1.0682447123141398E-12</v>
      </c>
      <c r="CW168" s="20">
        <f t="shared" si="174"/>
        <v>1.978932943548152E-12</v>
      </c>
      <c r="CX168" s="59">
        <f t="shared" si="122"/>
        <v>290.21791796729315</v>
      </c>
      <c r="CY168" s="59">
        <f ca="1">AVERAGE(OFFSET($CX$3,0,0,'Données projet'!$E$13+1,1))-AVERAGE(OFFSET($H$3,0,0,'Données projet'!$E$13+1,1))</f>
        <v>317.12995176362455</v>
      </c>
      <c r="CZ168" s="59">
        <f t="shared" si="150"/>
        <v>328.11301015275262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1.2458599304792755</v>
      </c>
      <c r="DG168" s="21">
        <f>EXP(-LN(2)/25)*DG167+(1-EXP(-LN(2)/25))/(LN(2)/25)*Calculateur!DB168*Calculateur!DD168*VLOOKUP('Données projet'!$B$13,Paramètres!$A$1:$I$89,3,0)*0.475*44/12</f>
        <v>0.38191361453864914</v>
      </c>
      <c r="DH168" s="21">
        <f>EXP(-LN(2)/2)*DH167+(1-EXP(-LN(2)/2))/(LN(2)/2)*DB168*DE168*VLOOKUP('Données projet'!$B$13,Paramètres!$A$1:$I$89,3,0)*0.475*44/12</f>
        <v>2.7510080642319223E-20</v>
      </c>
      <c r="DI168" s="22">
        <f t="shared" si="175"/>
        <v>1.6277735450179245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2.8421709430404007E-14</v>
      </c>
      <c r="DP168" s="17">
        <f>DO168*VLOOKUP('Données projet'!$B$14,Paramètres!$A$1:$I$89,3,0)*VLOOKUP('Données projet'!$B$14,Paramètres!$A$1:$I$89,5,0)</f>
        <v>2.4829205358400945E-14</v>
      </c>
      <c r="DQ168" s="13">
        <f t="shared" si="176"/>
        <v>4.3867331143352915E-13</v>
      </c>
      <c r="DR168" s="20">
        <f t="shared" si="177"/>
        <v>8.0726688341261168E-13</v>
      </c>
      <c r="DS168" s="59">
        <f t="shared" si="125"/>
        <v>290.21791796729195</v>
      </c>
      <c r="DT168" s="59">
        <f ca="1">AVERAGE(OFFSET($DS$3,0,0,'Données projet'!$E$14+1,1))-AVERAGE(OFFSET($H$3,0,0,'Données projet'!$E$14+1,1))</f>
        <v>325.5873213944476</v>
      </c>
      <c r="DU168" s="59">
        <f t="shared" si="152"/>
        <v>347.9042278368363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0.20205711355853889</v>
      </c>
      <c r="EB168" s="21">
        <f>EXP(-LN(2)/25)*EB167+(1-EXP(-LN(2)/25))/(LN(2)/25)*Calculateur!DW168*Calculateur!DY168*VLOOKUP('Données projet'!$B$14,Paramètres!$A$1:$I$89,3,0)*0.475*44/12</f>
        <v>0.2089640204518205</v>
      </c>
      <c r="EC168" s="21">
        <f>EXP(-LN(2)/2)*EC167+(1-EXP(-LN(2)/2))/(LN(2)/2)*DW168*DZ168*VLOOKUP('Données projet'!$B$14,Paramètres!$A$1:$I$89,3,0)*0.475*44/12</f>
        <v>5.7258066600789246E-20</v>
      </c>
      <c r="ED168" s="22">
        <f t="shared" si="178"/>
        <v>0.41102113401035939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205.5480000480477</v>
      </c>
      <c r="EP168" s="59">
        <f t="shared" si="154"/>
        <v>229.86812144828366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0.50755901862449615</v>
      </c>
      <c r="EW168" s="21">
        <f>EXP(-LN(2)/25)*EW167+(1-EXP(-LN(2)/25))/(LN(2)/25)*Calculateur!ER168*Calculateur!ET168*VLOOKUP('Données projet'!$B$15,Paramètres!$A$1:$I$89,3,0)*0.475*44/12</f>
        <v>0.1426321908026828</v>
      </c>
      <c r="EX168" s="21">
        <f>EXP(-LN(2)/2)*EX167+(1-EXP(-LN(2)/2))/(LN(2)/2)*ER168*EU168*VLOOKUP('Données projet'!$B$15,Paramètres!$A$1:$I$89,3,0)*0.475*44/12</f>
        <v>1.4173242210415435E-20</v>
      </c>
      <c r="EY168" s="22">
        <f t="shared" si="181"/>
        <v>0.6501912094271789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3.05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29.003520000000069</v>
      </c>
      <c r="D169" s="11">
        <f t="shared" si="140"/>
        <v>9.0317833500167772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101.55853880144514</v>
      </c>
      <c r="H169" s="67">
        <f t="shared" si="110"/>
        <v>278.17815333461266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-1.9065282685915009E-13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542.23071537860039</v>
      </c>
      <c r="T169" s="59">
        <f t="shared" si="142"/>
        <v>667.26143680054633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0.49665956559674346</v>
      </c>
      <c r="AA169" s="21">
        <f>EXP(-LN(2)/25)*AA168+(1-EXP(-LN(2)/25))/(LN(2)/25)*Calculateur!V169*Calculateur!X169*VLOOKUP('Données projet'!$B$9,Paramètres!$A$1:$I$89,3,0)*0.475*44/12</f>
        <v>0.98159202360992115</v>
      </c>
      <c r="AB169" s="21">
        <f>EXP(-LN(2)/2)*AB168+(1-EXP(-LN(2)/2))/(LN(2)/2)*V169*Y169*VLOOKUP('Données projet'!$B$9,Paramètres!$A$1:$I$89,3,0)*0.475*44/12</f>
        <v>4.8849941035414995E-20</v>
      </c>
      <c r="AC169" s="22">
        <f t="shared" si="163"/>
        <v>1.4782515892066646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-1.2710188457276673E-13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427.83834708696861</v>
      </c>
      <c r="AO169" s="59">
        <f t="shared" si="144"/>
        <v>545.63950537101903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0.29799573935804663</v>
      </c>
      <c r="AV169" s="21">
        <f>EXP(-LN(2)/25)*AV168+(1-EXP(-LN(2)/25))/(LN(2)/25)*Calculateur!AQ169*Calculateur!AS169*VLOOKUP('Données projet'!$B$10,Paramètres!$A$1:$I$89,3,0)*0.475*44/12</f>
        <v>0.56715371566994488</v>
      </c>
      <c r="AW169" s="21">
        <f>EXP(-LN(2)/2)*AW168+(1-EXP(-LN(2)/2))/(LN(2)/2)*AQ169*AT169*VLOOKUP('Données projet'!$B$10,Paramètres!$A$1:$I$89,3,0)*0.475*44/12</f>
        <v>3.1347779877692791E-20</v>
      </c>
      <c r="AX169" s="21">
        <f t="shared" si="166"/>
        <v>0.86514945502799145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-2.6602720026858149E-14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210.62109466714364</v>
      </c>
      <c r="BJ169" s="59">
        <f t="shared" si="146"/>
        <v>193.35729443770401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0.44160954900250871</v>
      </c>
      <c r="BQ169" s="21">
        <f>EXP(-LN(2)/25)*BQ168+(1-EXP(-LN(2)/25))/(LN(2)/25)*Calculateur!BL169*Calculateur!BN169*VLOOKUP('Données projet'!$B$11,Paramètres!$A$1:$I$89,3,0)*0.475*44/12</f>
        <v>0.18456654273242956</v>
      </c>
      <c r="BR169" s="21">
        <f>EXP(-LN(2)/2)*BR168+(1-EXP(-LN(2)/2))/(LN(2)/2)*BL169*BO169*VLOOKUP('Données projet'!$B$11,Paramètres!$A$1:$I$89,3,0)*0.475*44/12</f>
        <v>2.6820386456717286E-20</v>
      </c>
      <c r="BS169" s="22">
        <f t="shared" si="169"/>
        <v>0.62617609173493827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368.16165268258442</v>
      </c>
      <c r="CE169" s="59">
        <f t="shared" si="148"/>
        <v>291.32219253157041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0.50596010314574535</v>
      </c>
      <c r="CL169" s="21">
        <f>EXP(-LN(2)/25)*CL168+(1-EXP(-LN(2)/25))/(LN(2)/25)*Calculateur!CG169*Calculateur!CI169*VLOOKUP('Données projet'!$B$12,Paramètres!$A$1:$I$89,3,0)*0.475*44/12</f>
        <v>0.15302980527093726</v>
      </c>
      <c r="CM169" s="21">
        <f>EXP(-LN(2)/2)*CM168+(1-EXP(-LN(2)/2))/(LN(2)/2)*CG169*CJ169*VLOOKUP('Données projet'!$B$12,Paramètres!$A$1:$I$89,3,0)*0.475*44/12</f>
        <v>2.6843604059671534E-20</v>
      </c>
      <c r="CN169" s="22">
        <f t="shared" si="172"/>
        <v>0.65898990841668259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1.1368683772161603E-13</v>
      </c>
      <c r="CU169" s="17">
        <f>CT169*VLOOKUP('Données projet'!$B$13,Paramètres!$A$1:$I$89,3,0)*VLOOKUP('Données projet'!$B$13,Paramètres!$A$1:$I$89,5,0)</f>
        <v>6.7984728957526396E-14</v>
      </c>
      <c r="CV169" s="13">
        <f t="shared" si="173"/>
        <v>1.0682447123141398E-12</v>
      </c>
      <c r="CW169" s="20">
        <f t="shared" si="174"/>
        <v>1.978932943548152E-12</v>
      </c>
      <c r="CX169" s="59">
        <f t="shared" si="122"/>
        <v>290.27196345886864</v>
      </c>
      <c r="CY169" s="59">
        <f ca="1">AVERAGE(OFFSET($CX$3,0,0,'Données projet'!$E$13+1,1))-AVERAGE(OFFSET($H$3,0,0,'Données projet'!$E$13+1,1))</f>
        <v>317.12995176362455</v>
      </c>
      <c r="CZ169" s="59">
        <f t="shared" si="150"/>
        <v>328.11301015275262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1.2214293771421005</v>
      </c>
      <c r="DG169" s="21">
        <f>EXP(-LN(2)/25)*DG168+(1-EXP(-LN(2)/25))/(LN(2)/25)*Calculateur!DB169*Calculateur!DD169*VLOOKUP('Données projet'!$B$13,Paramètres!$A$1:$I$89,3,0)*0.475*44/12</f>
        <v>0.37147016666512567</v>
      </c>
      <c r="DH169" s="21">
        <f>EXP(-LN(2)/2)*DH168+(1-EXP(-LN(2)/2))/(LN(2)/2)*DB169*DE169*VLOOKUP('Données projet'!$B$13,Paramètres!$A$1:$I$89,3,0)*0.475*44/12</f>
        <v>1.9452564573172696E-20</v>
      </c>
      <c r="DI169" s="22">
        <f t="shared" si="175"/>
        <v>1.5928995438072262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2.8421709430404007E-14</v>
      </c>
      <c r="DP169" s="17">
        <f>DO169*VLOOKUP('Données projet'!$B$14,Paramètres!$A$1:$I$89,3,0)*VLOOKUP('Données projet'!$B$14,Paramètres!$A$1:$I$89,5,0)</f>
        <v>2.4829205358400945E-14</v>
      </c>
      <c r="DQ169" s="13">
        <f t="shared" si="176"/>
        <v>4.3867331143352915E-13</v>
      </c>
      <c r="DR169" s="20">
        <f t="shared" si="177"/>
        <v>8.0726688341261168E-13</v>
      </c>
      <c r="DS169" s="59">
        <f t="shared" si="125"/>
        <v>290.27196345886745</v>
      </c>
      <c r="DT169" s="59">
        <f ca="1">AVERAGE(OFFSET($DS$3,0,0,'Données projet'!$E$14+1,1))-AVERAGE(OFFSET($H$3,0,0,'Données projet'!$E$14+1,1))</f>
        <v>325.5873213944476</v>
      </c>
      <c r="DU169" s="59">
        <f t="shared" si="152"/>
        <v>347.9042278368363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0.19809489680432601</v>
      </c>
      <c r="EB169" s="21">
        <f>EXP(-LN(2)/25)*EB168+(1-EXP(-LN(2)/25))/(LN(2)/25)*Calculateur!DW169*Calculateur!DY169*VLOOKUP('Données projet'!$B$14,Paramètres!$A$1:$I$89,3,0)*0.475*44/12</f>
        <v>0.20324988832362523</v>
      </c>
      <c r="EC169" s="21">
        <f>EXP(-LN(2)/2)*EC168+(1-EXP(-LN(2)/2))/(LN(2)/2)*DW169*DZ169*VLOOKUP('Données projet'!$B$14,Paramètres!$A$1:$I$89,3,0)*0.475*44/12</f>
        <v>4.0487567171049046E-20</v>
      </c>
      <c r="ED169" s="22">
        <f t="shared" si="178"/>
        <v>0.40134478512795124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205.5480000480477</v>
      </c>
      <c r="EP169" s="59">
        <f t="shared" si="154"/>
        <v>229.86812144828366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0.49760609584970261</v>
      </c>
      <c r="EW169" s="21">
        <f>EXP(-LN(2)/25)*EW168+(1-EXP(-LN(2)/25))/(LN(2)/25)*Calculateur!ER169*Calculateur!ET169*VLOOKUP('Données projet'!$B$15,Paramètres!$A$1:$I$89,3,0)*0.475*44/12</f>
        <v>0.13873190604448252</v>
      </c>
      <c r="EX169" s="21">
        <f>EXP(-LN(2)/2)*EX168+(1-EXP(-LN(2)/2))/(LN(2)/2)*ER169*EU169*VLOOKUP('Données projet'!$B$15,Paramètres!$A$1:$I$89,3,0)*0.475*44/12</f>
        <v>1.0021995678384167E-20</v>
      </c>
      <c r="EY169" s="22">
        <f t="shared" si="181"/>
        <v>0.6363380018941851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3.05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29.17824000000007</v>
      </c>
      <c r="D170" s="11">
        <f t="shared" si="140"/>
        <v>9.0798417358223809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102.1088404983123</v>
      </c>
      <c r="H170" s="67">
        <f t="shared" si="110"/>
        <v>278.56615902322409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-1.9065282685915009E-13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542.23071537860039</v>
      </c>
      <c r="T170" s="59">
        <f t="shared" si="142"/>
        <v>667.26143680054633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0.48692037444781422</v>
      </c>
      <c r="AA170" s="21">
        <f>EXP(-LN(2)/25)*AA169+(1-EXP(-LN(2)/25))/(LN(2)/25)*Calculateur!V170*Calculateur!X170*VLOOKUP('Données projet'!$B$9,Paramètres!$A$1:$I$89,3,0)*0.475*44/12</f>
        <v>0.95475033810462684</v>
      </c>
      <c r="AB170" s="21">
        <f>EXP(-LN(2)/2)*AB169+(1-EXP(-LN(2)/2))/(LN(2)/2)*V170*Y170*VLOOKUP('Données projet'!$B$9,Paramètres!$A$1:$I$89,3,0)*0.475*44/12</f>
        <v>3.4542124566704939E-20</v>
      </c>
      <c r="AC170" s="22">
        <f t="shared" si="163"/>
        <v>1.4416707125524411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-1.2710188457276673E-13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427.83834708696861</v>
      </c>
      <c r="AO170" s="59">
        <f t="shared" si="144"/>
        <v>545.63950537101903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0.29215222466868906</v>
      </c>
      <c r="AV170" s="21">
        <f>EXP(-LN(2)/25)*AV169+(1-EXP(-LN(2)/25))/(LN(2)/25)*Calculateur!AQ170*Calculateur!AS170*VLOOKUP('Données projet'!$B$10,Paramètres!$A$1:$I$89,3,0)*0.475*44/12</f>
        <v>0.5516448674896326</v>
      </c>
      <c r="AW170" s="21">
        <f>EXP(-LN(2)/2)*AW169+(1-EXP(-LN(2)/2))/(LN(2)/2)*AQ170*AT170*VLOOKUP('Données projet'!$B$10,Paramètres!$A$1:$I$89,3,0)*0.475*44/12</f>
        <v>2.2166227726659774E-20</v>
      </c>
      <c r="AX170" s="21">
        <f t="shared" si="166"/>
        <v>0.84379709215832166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-2.6602720026858149E-14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210.62109466714364</v>
      </c>
      <c r="BJ170" s="59">
        <f t="shared" si="146"/>
        <v>193.35729443770401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0.43294985510179779</v>
      </c>
      <c r="BQ170" s="21">
        <f>EXP(-LN(2)/25)*BQ169+(1-EXP(-LN(2)/25))/(LN(2)/25)*Calculateur!BL170*Calculateur!BN170*VLOOKUP('Données projet'!$B$11,Paramètres!$A$1:$I$89,3,0)*0.475*44/12</f>
        <v>0.17951956091547863</v>
      </c>
      <c r="BR170" s="21">
        <f>EXP(-LN(2)/2)*BR169+(1-EXP(-LN(2)/2))/(LN(2)/2)*BL170*BO170*VLOOKUP('Données projet'!$B$11,Paramètres!$A$1:$I$89,3,0)*0.475*44/12</f>
        <v>1.8964877137588634E-20</v>
      </c>
      <c r="BS170" s="22">
        <f t="shared" si="169"/>
        <v>0.61246941601727645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368.16165268258442</v>
      </c>
      <c r="CE170" s="59">
        <f t="shared" si="148"/>
        <v>291.32219253157041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0.496038534128248</v>
      </c>
      <c r="CL170" s="21">
        <f>EXP(-LN(2)/25)*CL169+(1-EXP(-LN(2)/25))/(LN(2)/25)*Calculateur!CG170*Calculateur!CI170*VLOOKUP('Données projet'!$B$12,Paramètres!$A$1:$I$89,3,0)*0.475*44/12</f>
        <v>0.14884519719831579</v>
      </c>
      <c r="CM170" s="21">
        <f>EXP(-LN(2)/2)*CM169+(1-EXP(-LN(2)/2))/(LN(2)/2)*CG170*CJ170*VLOOKUP('Données projet'!$B$12,Paramètres!$A$1:$I$89,3,0)*0.475*44/12</f>
        <v>1.8981294462080481E-20</v>
      </c>
      <c r="CN170" s="22">
        <f t="shared" si="172"/>
        <v>0.64488373132656385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1.1368683772161603E-13</v>
      </c>
      <c r="CU170" s="17">
        <f>CT170*VLOOKUP('Données projet'!$B$13,Paramètres!$A$1:$I$89,3,0)*VLOOKUP('Données projet'!$B$13,Paramètres!$A$1:$I$89,5,0)</f>
        <v>6.7984728957526396E-14</v>
      </c>
      <c r="CV170" s="13">
        <f t="shared" si="173"/>
        <v>1.0682447123141398E-12</v>
      </c>
      <c r="CW170" s="20">
        <f t="shared" si="174"/>
        <v>1.978932943548152E-12</v>
      </c>
      <c r="CX170" s="59">
        <f t="shared" si="122"/>
        <v>290.32507138199293</v>
      </c>
      <c r="CY170" s="59">
        <f ca="1">AVERAGE(OFFSET($CX$3,0,0,'Données projet'!$E$13+1,1))-AVERAGE(OFFSET($H$3,0,0,'Données projet'!$E$13+1,1))</f>
        <v>317.12995176362455</v>
      </c>
      <c r="CZ170" s="59">
        <f t="shared" si="150"/>
        <v>328.11301015275262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1.1974778920547016</v>
      </c>
      <c r="DG170" s="21">
        <f>EXP(-LN(2)/25)*DG169+(1-EXP(-LN(2)/25))/(LN(2)/25)*Calculateur!DB170*Calculateur!DD170*VLOOKUP('Données projet'!$B$13,Paramètres!$A$1:$I$89,3,0)*0.475*44/12</f>
        <v>0.36131229542290072</v>
      </c>
      <c r="DH170" s="21">
        <f>EXP(-LN(2)/2)*DH169+(1-EXP(-LN(2)/2))/(LN(2)/2)*DB170*DE170*VLOOKUP('Données projet'!$B$13,Paramètres!$A$1:$I$89,3,0)*0.475*44/12</f>
        <v>1.3755040321159612E-20</v>
      </c>
      <c r="DI170" s="22">
        <f t="shared" si="175"/>
        <v>1.5587901874776022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2.8421709430404007E-14</v>
      </c>
      <c r="DP170" s="17">
        <f>DO170*VLOOKUP('Données projet'!$B$14,Paramètres!$A$1:$I$89,3,0)*VLOOKUP('Données projet'!$B$14,Paramètres!$A$1:$I$89,5,0)</f>
        <v>2.4829205358400945E-14</v>
      </c>
      <c r="DQ170" s="13">
        <f t="shared" si="176"/>
        <v>4.3867331143352915E-13</v>
      </c>
      <c r="DR170" s="20">
        <f t="shared" si="177"/>
        <v>8.0726688341261168E-13</v>
      </c>
      <c r="DS170" s="59">
        <f t="shared" si="125"/>
        <v>290.32507138199173</v>
      </c>
      <c r="DT170" s="59">
        <f ca="1">AVERAGE(OFFSET($DS$3,0,0,'Données projet'!$E$14+1,1))-AVERAGE(OFFSET($H$3,0,0,'Données projet'!$E$14+1,1))</f>
        <v>325.5873213944476</v>
      </c>
      <c r="DU170" s="59">
        <f t="shared" si="152"/>
        <v>347.9042278368363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0.19421037670394967</v>
      </c>
      <c r="EB170" s="21">
        <f>EXP(-LN(2)/25)*EB169+(1-EXP(-LN(2)/25))/(LN(2)/25)*Calculateur!DW170*Calculateur!DY170*VLOOKUP('Données projet'!$B$14,Paramètres!$A$1:$I$89,3,0)*0.475*44/12</f>
        <v>0.19769200943896861</v>
      </c>
      <c r="EC170" s="21">
        <f>EXP(-LN(2)/2)*EC169+(1-EXP(-LN(2)/2))/(LN(2)/2)*DW170*DZ170*VLOOKUP('Données projet'!$B$14,Paramètres!$A$1:$I$89,3,0)*0.475*44/12</f>
        <v>2.8629033300394623E-20</v>
      </c>
      <c r="ED170" s="22">
        <f t="shared" si="178"/>
        <v>0.39190238614291828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205.5480000480477</v>
      </c>
      <c r="EP170" s="59">
        <f t="shared" si="154"/>
        <v>229.86812144828366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0.48784834381983933</v>
      </c>
      <c r="EW170" s="21">
        <f>EXP(-LN(2)/25)*EW169+(1-EXP(-LN(2)/25))/(LN(2)/25)*Calculateur!ER170*Calculateur!ET170*VLOOKUP('Données projet'!$B$15,Paramètres!$A$1:$I$89,3,0)*0.475*44/12</f>
        <v>0.13493827477810227</v>
      </c>
      <c r="EX170" s="21">
        <f>EXP(-LN(2)/2)*EX169+(1-EXP(-LN(2)/2))/(LN(2)/2)*ER170*EU170*VLOOKUP('Données projet'!$B$15,Paramètres!$A$1:$I$89,3,0)*0.475*44/12</f>
        <v>7.0866211052077177E-21</v>
      </c>
      <c r="EY170" s="22">
        <f t="shared" si="181"/>
        <v>0.6227866185979416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3.05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29.352960000000071</v>
      </c>
      <c r="D171" s="11">
        <f t="shared" si="140"/>
        <v>9.1278666361047041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102.65905948006233</v>
      </c>
      <c r="H171" s="67">
        <f t="shared" si="110"/>
        <v>278.95410639121576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-1.9065282685915009E-13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542.23071537860039</v>
      </c>
      <c r="T171" s="59">
        <f t="shared" si="142"/>
        <v>667.26143680054633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0.47737216289699547</v>
      </c>
      <c r="AA171" s="21">
        <f>EXP(-LN(2)/25)*AA170+(1-EXP(-LN(2)/25))/(LN(2)/25)*Calculateur!V171*Calculateur!X171*VLOOKUP('Données projet'!$B$9,Paramètres!$A$1:$I$89,3,0)*0.475*44/12</f>
        <v>0.9286426399010177</v>
      </c>
      <c r="AB171" s="21">
        <f>EXP(-LN(2)/2)*AB170+(1-EXP(-LN(2)/2))/(LN(2)/2)*V171*Y171*VLOOKUP('Données projet'!$B$9,Paramètres!$A$1:$I$89,3,0)*0.475*44/12</f>
        <v>2.4424970517707498E-20</v>
      </c>
      <c r="AC171" s="22">
        <f t="shared" si="163"/>
        <v>1.4060148027980133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-1.2710188457276673E-13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427.83834708696861</v>
      </c>
      <c r="AO171" s="59">
        <f t="shared" si="144"/>
        <v>545.63950537101903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0.2864232977381978</v>
      </c>
      <c r="AV171" s="21">
        <f>EXP(-LN(2)/25)*AV170+(1-EXP(-LN(2)/25))/(LN(2)/25)*Calculateur!AQ171*Calculateur!AS171*VLOOKUP('Données projet'!$B$10,Paramètres!$A$1:$I$89,3,0)*0.475*44/12</f>
        <v>0.53656010957838585</v>
      </c>
      <c r="AW171" s="21">
        <f>EXP(-LN(2)/2)*AW170+(1-EXP(-LN(2)/2))/(LN(2)/2)*AQ171*AT171*VLOOKUP('Données projet'!$B$10,Paramètres!$A$1:$I$89,3,0)*0.475*44/12</f>
        <v>1.5673889938846396E-20</v>
      </c>
      <c r="AX171" s="21">
        <f t="shared" si="166"/>
        <v>0.82298340731658359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-2.6602720026858149E-14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210.62109466714364</v>
      </c>
      <c r="BJ171" s="59">
        <f t="shared" si="146"/>
        <v>193.35729443770401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0.42445997251658807</v>
      </c>
      <c r="BQ171" s="21">
        <f>EXP(-LN(2)/25)*BQ170+(1-EXP(-LN(2)/25))/(LN(2)/25)*Calculateur!BL171*Calculateur!BN171*VLOOKUP('Données projet'!$B$11,Paramètres!$A$1:$I$89,3,0)*0.475*44/12</f>
        <v>0.17461058908172145</v>
      </c>
      <c r="BR171" s="21">
        <f>EXP(-LN(2)/2)*BR170+(1-EXP(-LN(2)/2))/(LN(2)/2)*BL171*BO171*VLOOKUP('Données projet'!$B$11,Paramètres!$A$1:$I$89,3,0)*0.475*44/12</f>
        <v>1.3410193228358645E-20</v>
      </c>
      <c r="BS171" s="22">
        <f t="shared" si="169"/>
        <v>0.59907056159830951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368.16165268258442</v>
      </c>
      <c r="CE171" s="59">
        <f t="shared" si="148"/>
        <v>291.32219253157041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0.48631152102762421</v>
      </c>
      <c r="CL171" s="21">
        <f>EXP(-LN(2)/25)*CL170+(1-EXP(-LN(2)/25))/(LN(2)/25)*Calculateur!CG171*Calculateur!CI171*VLOOKUP('Données projet'!$B$12,Paramètres!$A$1:$I$89,3,0)*0.475*44/12</f>
        <v>0.14477501745349911</v>
      </c>
      <c r="CM171" s="21">
        <f>EXP(-LN(2)/2)*CM170+(1-EXP(-LN(2)/2))/(LN(2)/2)*CG171*CJ171*VLOOKUP('Données projet'!$B$12,Paramètres!$A$1:$I$89,3,0)*0.475*44/12</f>
        <v>1.342180202983577E-20</v>
      </c>
      <c r="CN171" s="22">
        <f t="shared" si="172"/>
        <v>0.63108653848112328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1.1368683772161603E-13</v>
      </c>
      <c r="CU171" s="17">
        <f>CT171*VLOOKUP('Données projet'!$B$13,Paramètres!$A$1:$I$89,3,0)*VLOOKUP('Données projet'!$B$13,Paramètres!$A$1:$I$89,5,0)</f>
        <v>6.7984728957526396E-14</v>
      </c>
      <c r="CV171" s="13">
        <f t="shared" si="173"/>
        <v>1.0682447123141398E-12</v>
      </c>
      <c r="CW171" s="20">
        <f t="shared" si="174"/>
        <v>1.978932943548152E-12</v>
      </c>
      <c r="CX171" s="59">
        <f t="shared" si="122"/>
        <v>290.37725800138259</v>
      </c>
      <c r="CY171" s="59">
        <f ca="1">AVERAGE(OFFSET($CX$3,0,0,'Données projet'!$E$13+1,1))-AVERAGE(OFFSET($H$3,0,0,'Données projet'!$E$13+1,1))</f>
        <v>317.12995176362455</v>
      </c>
      <c r="CZ171" s="59">
        <f t="shared" si="150"/>
        <v>328.11301015275262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1.1739960809809031</v>
      </c>
      <c r="DG171" s="21">
        <f>EXP(-LN(2)/25)*DG170+(1-EXP(-LN(2)/25))/(LN(2)/25)*Calculateur!DB171*Calculateur!DD171*VLOOKUP('Données projet'!$B$13,Paramètres!$A$1:$I$89,3,0)*0.475*44/12</f>
        <v>0.35143219170397366</v>
      </c>
      <c r="DH171" s="21">
        <f>EXP(-LN(2)/2)*DH170+(1-EXP(-LN(2)/2))/(LN(2)/2)*DB171*DE171*VLOOKUP('Données projet'!$B$13,Paramètres!$A$1:$I$89,3,0)*0.475*44/12</f>
        <v>9.7262822865863479E-21</v>
      </c>
      <c r="DI171" s="22">
        <f t="shared" si="175"/>
        <v>1.5254282726848767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2.8421709430404007E-14</v>
      </c>
      <c r="DP171" s="17">
        <f>DO171*VLOOKUP('Données projet'!$B$14,Paramètres!$A$1:$I$89,3,0)*VLOOKUP('Données projet'!$B$14,Paramètres!$A$1:$I$89,5,0)</f>
        <v>2.4829205358400945E-14</v>
      </c>
      <c r="DQ171" s="13">
        <f t="shared" si="176"/>
        <v>4.3867331143352915E-13</v>
      </c>
      <c r="DR171" s="20">
        <f t="shared" si="177"/>
        <v>8.0726688341261168E-13</v>
      </c>
      <c r="DS171" s="59">
        <f t="shared" si="125"/>
        <v>290.37725800138139</v>
      </c>
      <c r="DT171" s="59">
        <f ca="1">AVERAGE(OFFSET($DS$3,0,0,'Données projet'!$E$14+1,1))-AVERAGE(OFFSET($H$3,0,0,'Données projet'!$E$14+1,1))</f>
        <v>325.5873213944476</v>
      </c>
      <c r="DU171" s="59">
        <f t="shared" si="152"/>
        <v>347.9042278368363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0.19040202967341838</v>
      </c>
      <c r="EB171" s="21">
        <f>EXP(-LN(2)/25)*EB170+(1-EXP(-LN(2)/25))/(LN(2)/25)*Calculateur!DW171*Calculateur!DY171*VLOOKUP('Données projet'!$B$14,Paramètres!$A$1:$I$89,3,0)*0.475*44/12</f>
        <v>0.19228611104468907</v>
      </c>
      <c r="EC171" s="21">
        <f>EXP(-LN(2)/2)*EC170+(1-EXP(-LN(2)/2))/(LN(2)/2)*DW171*DZ171*VLOOKUP('Données projet'!$B$14,Paramètres!$A$1:$I$89,3,0)*0.475*44/12</f>
        <v>2.0243783585524523E-20</v>
      </c>
      <c r="ED171" s="22">
        <f t="shared" si="178"/>
        <v>0.38268814071810742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205.5480000480477</v>
      </c>
      <c r="EP171" s="59">
        <f t="shared" si="154"/>
        <v>229.86812144828366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0.47828193535564056</v>
      </c>
      <c r="EW171" s="21">
        <f>EXP(-LN(2)/25)*EW170+(1-EXP(-LN(2)/25))/(LN(2)/25)*Calculateur!ER171*Calculateur!ET171*VLOOKUP('Données projet'!$B$15,Paramètres!$A$1:$I$89,3,0)*0.475*44/12</f>
        <v>0.1312483805581996</v>
      </c>
      <c r="EX171" s="21">
        <f>EXP(-LN(2)/2)*EX170+(1-EXP(-LN(2)/2))/(LN(2)/2)*ER171*EU171*VLOOKUP('Données projet'!$B$15,Paramètres!$A$1:$I$89,3,0)*0.475*44/12</f>
        <v>5.0109978391920833E-21</v>
      </c>
      <c r="EY171" s="22">
        <f t="shared" si="181"/>
        <v>0.6095303159138401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3.05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29.527680000000071</v>
      </c>
      <c r="D172" s="11">
        <f t="shared" si="140"/>
        <v>9.1758582733085916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103.20919629617299</v>
      </c>
      <c r="H172" s="67">
        <f t="shared" si="110"/>
        <v>279.34199582601258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-1.9065282685915009E-13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542.23071537860039</v>
      </c>
      <c r="T172" s="59">
        <f t="shared" si="142"/>
        <v>667.26143680054633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0.46801118595085428</v>
      </c>
      <c r="AA172" s="21">
        <f>EXP(-LN(2)/25)*AA171+(1-EXP(-LN(2)/25))/(LN(2)/25)*Calculateur!V172*Calculateur!X172*VLOOKUP('Données projet'!$B$9,Paramètres!$A$1:$I$89,3,0)*0.475*44/12</f>
        <v>0.90324885807773037</v>
      </c>
      <c r="AB172" s="21">
        <f>EXP(-LN(2)/2)*AB171+(1-EXP(-LN(2)/2))/(LN(2)/2)*V172*Y172*VLOOKUP('Données projet'!$B$9,Paramètres!$A$1:$I$89,3,0)*0.475*44/12</f>
        <v>1.727106228335247E-20</v>
      </c>
      <c r="AC172" s="22">
        <f t="shared" si="163"/>
        <v>1.3712600440285847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-1.2710188457276673E-13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427.83834708696861</v>
      </c>
      <c r="AO172" s="59">
        <f t="shared" si="144"/>
        <v>545.63950537101903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0.28080671157051307</v>
      </c>
      <c r="AV172" s="21">
        <f>EXP(-LN(2)/25)*AV171+(1-EXP(-LN(2)/25))/(LN(2)/25)*Calculateur!AQ172*Calculateur!AS172*VLOOKUP('Données projet'!$B$10,Paramètres!$A$1:$I$89,3,0)*0.475*44/12</f>
        <v>0.52188784516549502</v>
      </c>
      <c r="AW172" s="21">
        <f>EXP(-LN(2)/2)*AW171+(1-EXP(-LN(2)/2))/(LN(2)/2)*AQ172*AT172*VLOOKUP('Données projet'!$B$10,Paramètres!$A$1:$I$89,3,0)*0.475*44/12</f>
        <v>1.1083113863329887E-20</v>
      </c>
      <c r="AX172" s="21">
        <f t="shared" si="166"/>
        <v>0.80269455673600809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-2.6602720026858149E-14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210.62109466714364</v>
      </c>
      <c r="BJ172" s="59">
        <f t="shared" si="146"/>
        <v>193.35729443770401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0.41613657135055726</v>
      </c>
      <c r="BQ172" s="21">
        <f>EXP(-LN(2)/25)*BQ171+(1-EXP(-LN(2)/25))/(LN(2)/25)*Calculateur!BL172*Calculateur!BN172*VLOOKUP('Données projet'!$B$11,Paramètres!$A$1:$I$89,3,0)*0.475*44/12</f>
        <v>0.16983585334090998</v>
      </c>
      <c r="BR172" s="21">
        <f>EXP(-LN(2)/2)*BR171+(1-EXP(-LN(2)/2))/(LN(2)/2)*BL172*BO172*VLOOKUP('Données projet'!$B$11,Paramètres!$A$1:$I$89,3,0)*0.475*44/12</f>
        <v>9.4824385687943184E-21</v>
      </c>
      <c r="BS172" s="22">
        <f t="shared" si="169"/>
        <v>0.58597242469146726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368.16165268258442</v>
      </c>
      <c r="CE172" s="59">
        <f t="shared" si="148"/>
        <v>291.32219253157041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0.47677524872101146</v>
      </c>
      <c r="CL172" s="21">
        <f>EXP(-LN(2)/25)*CL171+(1-EXP(-LN(2)/25))/(LN(2)/25)*Calculateur!CG172*Calculateur!CI172*VLOOKUP('Données projet'!$B$12,Paramètres!$A$1:$I$89,3,0)*0.475*44/12</f>
        <v>0.1408161369878459</v>
      </c>
      <c r="CM172" s="21">
        <f>EXP(-LN(2)/2)*CM171+(1-EXP(-LN(2)/2))/(LN(2)/2)*CG172*CJ172*VLOOKUP('Données projet'!$B$12,Paramètres!$A$1:$I$89,3,0)*0.475*44/12</f>
        <v>9.4906472310402418E-21</v>
      </c>
      <c r="CN172" s="22">
        <f t="shared" si="172"/>
        <v>0.6175913857088573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1.1368683772161603E-13</v>
      </c>
      <c r="CU172" s="17">
        <f>CT172*VLOOKUP('Données projet'!$B$13,Paramètres!$A$1:$I$89,3,0)*VLOOKUP('Données projet'!$B$13,Paramètres!$A$1:$I$89,5,0)</f>
        <v>6.7984728957526396E-14</v>
      </c>
      <c r="CV172" s="13">
        <f t="shared" si="173"/>
        <v>1.0682447123141398E-12</v>
      </c>
      <c r="CW172" s="20">
        <f t="shared" si="174"/>
        <v>1.978932943548152E-12</v>
      </c>
      <c r="CX172" s="59">
        <f t="shared" si="122"/>
        <v>290.42853929959756</v>
      </c>
      <c r="CY172" s="59">
        <f ca="1">AVERAGE(OFFSET($CX$3,0,0,'Données projet'!$E$13+1,1))-AVERAGE(OFFSET($H$3,0,0,'Données projet'!$E$13+1,1))</f>
        <v>317.12995176362455</v>
      </c>
      <c r="CZ172" s="59">
        <f t="shared" si="150"/>
        <v>328.11301015275262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1.1509747338997713</v>
      </c>
      <c r="DG172" s="21">
        <f>EXP(-LN(2)/25)*DG171+(1-EXP(-LN(2)/25))/(LN(2)/25)*Calculateur!DB172*Calculateur!DD172*VLOOKUP('Données projet'!$B$13,Paramètres!$A$1:$I$89,3,0)*0.475*44/12</f>
        <v>0.34182225994081272</v>
      </c>
      <c r="DH172" s="21">
        <f>EXP(-LN(2)/2)*DH171+(1-EXP(-LN(2)/2))/(LN(2)/2)*DB172*DE172*VLOOKUP('Données projet'!$B$13,Paramètres!$A$1:$I$89,3,0)*0.475*44/12</f>
        <v>6.8775201605798058E-21</v>
      </c>
      <c r="DI172" s="22">
        <f t="shared" si="175"/>
        <v>1.4927969938405841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2.8421709430404007E-14</v>
      </c>
      <c r="DP172" s="17">
        <f>DO172*VLOOKUP('Données projet'!$B$14,Paramètres!$A$1:$I$89,3,0)*VLOOKUP('Données projet'!$B$14,Paramètres!$A$1:$I$89,5,0)</f>
        <v>2.4829205358400945E-14</v>
      </c>
      <c r="DQ172" s="13">
        <f t="shared" si="176"/>
        <v>4.3867331143352915E-13</v>
      </c>
      <c r="DR172" s="20">
        <f t="shared" si="177"/>
        <v>8.0726688341261168E-13</v>
      </c>
      <c r="DS172" s="59">
        <f t="shared" si="125"/>
        <v>290.42853929959637</v>
      </c>
      <c r="DT172" s="59">
        <f ca="1">AVERAGE(OFFSET($DS$3,0,0,'Données projet'!$E$14+1,1))-AVERAGE(OFFSET($H$3,0,0,'Données projet'!$E$14+1,1))</f>
        <v>325.5873213944476</v>
      </c>
      <c r="DU172" s="59">
        <f t="shared" si="152"/>
        <v>347.9042278368363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0.18666836200529349</v>
      </c>
      <c r="EB172" s="21">
        <f>EXP(-LN(2)/25)*EB171+(1-EXP(-LN(2)/25))/(LN(2)/25)*Calculateur!DW172*Calculateur!DY172*VLOOKUP('Données projet'!$B$14,Paramètres!$A$1:$I$89,3,0)*0.475*44/12</f>
        <v>0.18702803722628494</v>
      </c>
      <c r="EC172" s="21">
        <f>EXP(-LN(2)/2)*EC171+(1-EXP(-LN(2)/2))/(LN(2)/2)*DW172*DZ172*VLOOKUP('Données projet'!$B$14,Paramètres!$A$1:$I$89,3,0)*0.475*44/12</f>
        <v>1.4314516650197311E-20</v>
      </c>
      <c r="ED172" s="22">
        <f t="shared" si="178"/>
        <v>0.37369639923157844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205.5480000480477</v>
      </c>
      <c r="EP172" s="59">
        <f t="shared" si="154"/>
        <v>229.86812144828366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0.46890311832649173</v>
      </c>
      <c r="EW172" s="21">
        <f>EXP(-LN(2)/25)*EW171+(1-EXP(-LN(2)/25))/(LN(2)/25)*Calculateur!ER172*Calculateur!ET172*VLOOKUP('Données projet'!$B$15,Paramètres!$A$1:$I$89,3,0)*0.475*44/12</f>
        <v>0.12765938668978327</v>
      </c>
      <c r="EX172" s="21">
        <f>EXP(-LN(2)/2)*EX171+(1-EXP(-LN(2)/2))/(LN(2)/2)*ER172*EU172*VLOOKUP('Données projet'!$B$15,Paramètres!$A$1:$I$89,3,0)*0.475*44/12</f>
        <v>3.5433105526038588E-21</v>
      </c>
      <c r="EY172" s="22">
        <f t="shared" si="181"/>
        <v>0.59656250501627506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3.05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29.702400000000072</v>
      </c>
      <c r="D173" s="11">
        <f t="shared" si="140"/>
        <v>9.2238168670940865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103.7592514892431</v>
      </c>
      <c r="H173" s="67">
        <f t="shared" si="110"/>
        <v>279.72982771018894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-1.9065282685915009E-13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542.23071537860039</v>
      </c>
      <c r="T173" s="59">
        <f t="shared" si="142"/>
        <v>667.26143680054633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0.45883377205299475</v>
      </c>
      <c r="AA173" s="21">
        <f>EXP(-LN(2)/25)*AA172+(1-EXP(-LN(2)/25))/(LN(2)/25)*Calculateur!V173*Calculateur!X173*VLOOKUP('Données projet'!$B$9,Paramètres!$A$1:$I$89,3,0)*0.475*44/12</f>
        <v>0.87854947055380184</v>
      </c>
      <c r="AB173" s="21">
        <f>EXP(-LN(2)/2)*AB172+(1-EXP(-LN(2)/2))/(LN(2)/2)*V173*Y173*VLOOKUP('Données projet'!$B$9,Paramètres!$A$1:$I$89,3,0)*0.475*44/12</f>
        <v>1.2212485258853749E-20</v>
      </c>
      <c r="AC173" s="22">
        <f t="shared" si="163"/>
        <v>1.3373832426067966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-1.2710188457276673E-13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427.83834708696861</v>
      </c>
      <c r="AO173" s="59">
        <f t="shared" si="144"/>
        <v>545.63950537101903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0.27530026323179735</v>
      </c>
      <c r="AV173" s="21">
        <f>EXP(-LN(2)/25)*AV172+(1-EXP(-LN(2)/25))/(LN(2)/25)*Calculateur!AQ173*Calculateur!AS173*VLOOKUP('Données projet'!$B$10,Paramètres!$A$1:$I$89,3,0)*0.475*44/12</f>
        <v>0.50761679459455555</v>
      </c>
      <c r="AW173" s="21">
        <f>EXP(-LN(2)/2)*AW172+(1-EXP(-LN(2)/2))/(LN(2)/2)*AQ173*AT173*VLOOKUP('Données projet'!$B$10,Paramètres!$A$1:$I$89,3,0)*0.475*44/12</f>
        <v>7.8369449694231978E-21</v>
      </c>
      <c r="AX173" s="21">
        <f t="shared" si="166"/>
        <v>0.7829170578263529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-2.6602720026858149E-14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210.62109466714364</v>
      </c>
      <c r="BJ173" s="59">
        <f t="shared" si="146"/>
        <v>193.35729443770401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0.40797638700461891</v>
      </c>
      <c r="BQ173" s="21">
        <f>EXP(-LN(2)/25)*BQ172+(1-EXP(-LN(2)/25))/(LN(2)/25)*Calculateur!BL173*Calculateur!BN173*VLOOKUP('Données projet'!$B$11,Paramètres!$A$1:$I$89,3,0)*0.475*44/12</f>
        <v>0.16519168300002343</v>
      </c>
      <c r="BR173" s="21">
        <f>EXP(-LN(2)/2)*BR172+(1-EXP(-LN(2)/2))/(LN(2)/2)*BL173*BO173*VLOOKUP('Données projet'!$B$11,Paramètres!$A$1:$I$89,3,0)*0.475*44/12</f>
        <v>6.7050966141793231E-21</v>
      </c>
      <c r="BS173" s="22">
        <f t="shared" si="169"/>
        <v>0.57316807000464232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368.16165268258442</v>
      </c>
      <c r="CE173" s="59">
        <f t="shared" si="148"/>
        <v>291.32219253157041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0.46742597689777959</v>
      </c>
      <c r="CL173" s="21">
        <f>EXP(-LN(2)/25)*CL172+(1-EXP(-LN(2)/25))/(LN(2)/25)*Calculateur!CG173*Calculateur!CI173*VLOOKUP('Données projet'!$B$12,Paramètres!$A$1:$I$89,3,0)*0.475*44/12</f>
        <v>0.13696551231671444</v>
      </c>
      <c r="CM173" s="21">
        <f>EXP(-LN(2)/2)*CM172+(1-EXP(-LN(2)/2))/(LN(2)/2)*CG173*CJ173*VLOOKUP('Données projet'!$B$12,Paramètres!$A$1:$I$89,3,0)*0.475*44/12</f>
        <v>6.7109010149178857E-21</v>
      </c>
      <c r="CN173" s="22">
        <f t="shared" si="172"/>
        <v>0.60439148921449404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1.1368683772161603E-13</v>
      </c>
      <c r="CU173" s="17">
        <f>CT173*VLOOKUP('Données projet'!$B$13,Paramètres!$A$1:$I$89,3,0)*VLOOKUP('Données projet'!$B$13,Paramètres!$A$1:$I$89,5,0)</f>
        <v>6.7984728957526396E-14</v>
      </c>
      <c r="CV173" s="13">
        <f t="shared" si="173"/>
        <v>1.0682447123141398E-12</v>
      </c>
      <c r="CW173" s="20">
        <f t="shared" si="174"/>
        <v>1.978932943548152E-12</v>
      </c>
      <c r="CX173" s="59">
        <f t="shared" si="122"/>
        <v>290.47893098193634</v>
      </c>
      <c r="CY173" s="59">
        <f ca="1">AVERAGE(OFFSET($CX$3,0,0,'Données projet'!$E$13+1,1))-AVERAGE(OFFSET($H$3,0,0,'Données projet'!$E$13+1,1))</f>
        <v>317.12995176362455</v>
      </c>
      <c r="CZ173" s="59">
        <f t="shared" si="150"/>
        <v>328.11301015275262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1.1284048213932654</v>
      </c>
      <c r="DG173" s="21">
        <f>EXP(-LN(2)/25)*DG172+(1-EXP(-LN(2)/25))/(LN(2)/25)*Calculateur!DB173*Calculateur!DD173*VLOOKUP('Données projet'!$B$13,Paramètres!$A$1:$I$89,3,0)*0.475*44/12</f>
        <v>0.33247511226707982</v>
      </c>
      <c r="DH173" s="21">
        <f>EXP(-LN(2)/2)*DH172+(1-EXP(-LN(2)/2))/(LN(2)/2)*DB173*DE173*VLOOKUP('Données projet'!$B$13,Paramètres!$A$1:$I$89,3,0)*0.475*44/12</f>
        <v>4.863141143293174E-21</v>
      </c>
      <c r="DI173" s="22">
        <f t="shared" si="175"/>
        <v>1.4608799336603453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2.8421709430404007E-14</v>
      </c>
      <c r="DP173" s="17">
        <f>DO173*VLOOKUP('Données projet'!$B$14,Paramètres!$A$1:$I$89,3,0)*VLOOKUP('Données projet'!$B$14,Paramètres!$A$1:$I$89,5,0)</f>
        <v>2.4829205358400945E-14</v>
      </c>
      <c r="DQ173" s="13">
        <f t="shared" si="176"/>
        <v>4.3867331143352915E-13</v>
      </c>
      <c r="DR173" s="20">
        <f t="shared" si="177"/>
        <v>8.0726688341261168E-13</v>
      </c>
      <c r="DS173" s="59">
        <f t="shared" si="125"/>
        <v>290.47893098193515</v>
      </c>
      <c r="DT173" s="59">
        <f ca="1">AVERAGE(OFFSET($DS$3,0,0,'Données projet'!$E$14+1,1))-AVERAGE(OFFSET($H$3,0,0,'Données projet'!$E$14+1,1))</f>
        <v>325.5873213944476</v>
      </c>
      <c r="DU173" s="59">
        <f t="shared" si="152"/>
        <v>347.9042278368363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0.18300790928282812</v>
      </c>
      <c r="EB173" s="21">
        <f>EXP(-LN(2)/25)*EB172+(1-EXP(-LN(2)/25))/(LN(2)/25)*Calculateur!DW173*Calculateur!DY173*VLOOKUP('Données projet'!$B$14,Paramètres!$A$1:$I$89,3,0)*0.475*44/12</f>
        <v>0.18191374571295515</v>
      </c>
      <c r="EC173" s="21">
        <f>EXP(-LN(2)/2)*EC172+(1-EXP(-LN(2)/2))/(LN(2)/2)*DW173*DZ173*VLOOKUP('Données projet'!$B$14,Paramètres!$A$1:$I$89,3,0)*0.475*44/12</f>
        <v>1.0121891792762262E-20</v>
      </c>
      <c r="ED173" s="22">
        <f t="shared" si="178"/>
        <v>0.36492165499578327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205.5480000480477</v>
      </c>
      <c r="EP173" s="59">
        <f t="shared" si="154"/>
        <v>229.86812144828366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0.459708214178771</v>
      </c>
      <c r="EW173" s="21">
        <f>EXP(-LN(2)/25)*EW172+(1-EXP(-LN(2)/25))/(LN(2)/25)*Calculateur!ER173*Calculateur!ET173*VLOOKUP('Données projet'!$B$15,Paramètres!$A$1:$I$89,3,0)*0.475*44/12</f>
        <v>0.12416853404743577</v>
      </c>
      <c r="EX173" s="21">
        <f>EXP(-LN(2)/2)*EX172+(1-EXP(-LN(2)/2))/(LN(2)/2)*ER173*EU173*VLOOKUP('Données projet'!$B$15,Paramètres!$A$1:$I$89,3,0)*0.475*44/12</f>
        <v>2.5054989195960416E-21</v>
      </c>
      <c r="EY173" s="22">
        <f t="shared" si="181"/>
        <v>0.58387674822620683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3.05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29.877120000000073</v>
      </c>
      <c r="D174" s="11">
        <f t="shared" si="140"/>
        <v>9.2717426343875129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104.30922559511882</v>
      </c>
      <c r="H174" s="67">
        <f t="shared" si="110"/>
        <v>280.11760242155833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-1.9065282685915009E-13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542.23071537860039</v>
      </c>
      <c r="T174" s="59">
        <f t="shared" si="142"/>
        <v>667.26143680054633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0.4498363216440025</v>
      </c>
      <c r="AA174" s="21">
        <f>EXP(-LN(2)/25)*AA173+(1-EXP(-LN(2)/25))/(LN(2)/25)*Calculateur!V174*Calculateur!X174*VLOOKUP('Données projet'!$B$9,Paramètres!$A$1:$I$89,3,0)*0.475*44/12</f>
        <v>0.85452548908059944</v>
      </c>
      <c r="AB174" s="21">
        <f>EXP(-LN(2)/2)*AB173+(1-EXP(-LN(2)/2))/(LN(2)/2)*V174*Y174*VLOOKUP('Données projet'!$B$9,Paramètres!$A$1:$I$89,3,0)*0.475*44/12</f>
        <v>8.6355311416762348E-21</v>
      </c>
      <c r="AC174" s="22">
        <f t="shared" si="163"/>
        <v>1.304361810724602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-1.2710188457276673E-13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427.83834708696861</v>
      </c>
      <c r="AO174" s="59">
        <f t="shared" si="144"/>
        <v>545.63950537101903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0.26990179298640199</v>
      </c>
      <c r="AV174" s="21">
        <f>EXP(-LN(2)/25)*AV173+(1-EXP(-LN(2)/25))/(LN(2)/25)*Calculateur!AQ174*Calculateur!AS174*VLOOKUP('Données projet'!$B$10,Paramètres!$A$1:$I$89,3,0)*0.475*44/12</f>
        <v>0.49373598665196039</v>
      </c>
      <c r="AW174" s="21">
        <f>EXP(-LN(2)/2)*AW173+(1-EXP(-LN(2)/2))/(LN(2)/2)*AQ174*AT174*VLOOKUP('Données projet'!$B$10,Paramètres!$A$1:$I$89,3,0)*0.475*44/12</f>
        <v>5.5415569316649436E-21</v>
      </c>
      <c r="AX174" s="21">
        <f t="shared" si="166"/>
        <v>0.76363777963836244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-2.6602720026858149E-14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210.62109466714364</v>
      </c>
      <c r="BJ174" s="59">
        <f t="shared" si="146"/>
        <v>193.35729443770401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0.39997621889648338</v>
      </c>
      <c r="BQ174" s="21">
        <f>EXP(-LN(2)/25)*BQ173+(1-EXP(-LN(2)/25))/(LN(2)/25)*Calculateur!BL174*Calculateur!BN174*VLOOKUP('Données projet'!$B$11,Paramètres!$A$1:$I$89,3,0)*0.475*44/12</f>
        <v>0.16067450774133474</v>
      </c>
      <c r="BR174" s="21">
        <f>EXP(-LN(2)/2)*BR173+(1-EXP(-LN(2)/2))/(LN(2)/2)*BL174*BO174*VLOOKUP('Données projet'!$B$11,Paramètres!$A$1:$I$89,3,0)*0.475*44/12</f>
        <v>4.74121928439716E-21</v>
      </c>
      <c r="BS174" s="22">
        <f t="shared" si="169"/>
        <v>0.56065072663781812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368.16165268258442</v>
      </c>
      <c r="CE174" s="59">
        <f t="shared" si="148"/>
        <v>291.32219253157041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0.45826003859250858</v>
      </c>
      <c r="CL174" s="21">
        <f>EXP(-LN(2)/25)*CL173+(1-EXP(-LN(2)/25))/(LN(2)/25)*Calculateur!CG174*Calculateur!CI174*VLOOKUP('Données projet'!$B$12,Paramètres!$A$1:$I$89,3,0)*0.475*44/12</f>
        <v>0.13322018317971063</v>
      </c>
      <c r="CM174" s="21">
        <f>EXP(-LN(2)/2)*CM173+(1-EXP(-LN(2)/2))/(LN(2)/2)*CG174*CJ174*VLOOKUP('Données projet'!$B$12,Paramètres!$A$1:$I$89,3,0)*0.475*44/12</f>
        <v>4.7453236155201216E-21</v>
      </c>
      <c r="CN174" s="22">
        <f t="shared" si="172"/>
        <v>0.59148022177221926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1.1368683772161603E-13</v>
      </c>
      <c r="CU174" s="17">
        <f>CT174*VLOOKUP('Données projet'!$B$13,Paramètres!$A$1:$I$89,3,0)*VLOOKUP('Données projet'!$B$13,Paramètres!$A$1:$I$89,5,0)</f>
        <v>6.7984728957526396E-14</v>
      </c>
      <c r="CV174" s="13">
        <f t="shared" si="173"/>
        <v>1.0682447123141398E-12</v>
      </c>
      <c r="CW174" s="20">
        <f t="shared" si="174"/>
        <v>1.978932943548152E-12</v>
      </c>
      <c r="CX174" s="59">
        <f t="shared" si="122"/>
        <v>290.5284484812455</v>
      </c>
      <c r="CY174" s="59">
        <f ca="1">AVERAGE(OFFSET($CX$3,0,0,'Données projet'!$E$13+1,1))-AVERAGE(OFFSET($H$3,0,0,'Données projet'!$E$13+1,1))</f>
        <v>317.12995176362455</v>
      </c>
      <c r="CZ174" s="59">
        <f t="shared" si="150"/>
        <v>328.11301015275262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1.1062774911047246</v>
      </c>
      <c r="DG174" s="21">
        <f>EXP(-LN(2)/25)*DG173+(1-EXP(-LN(2)/25))/(LN(2)/25)*Calculateur!DB174*Calculateur!DD174*VLOOKUP('Données projet'!$B$13,Paramètres!$A$1:$I$89,3,0)*0.475*44/12</f>
        <v>0.32338356283803027</v>
      </c>
      <c r="DH174" s="21">
        <f>EXP(-LN(2)/2)*DH173+(1-EXP(-LN(2)/2))/(LN(2)/2)*DB174*DE174*VLOOKUP('Données projet'!$B$13,Paramètres!$A$1:$I$89,3,0)*0.475*44/12</f>
        <v>3.4387600802899029E-21</v>
      </c>
      <c r="DI174" s="22">
        <f t="shared" si="175"/>
        <v>1.429661053942755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2.8421709430404007E-14</v>
      </c>
      <c r="DP174" s="17">
        <f>DO174*VLOOKUP('Données projet'!$B$14,Paramètres!$A$1:$I$89,3,0)*VLOOKUP('Données projet'!$B$14,Paramètres!$A$1:$I$89,5,0)</f>
        <v>2.4829205358400945E-14</v>
      </c>
      <c r="DQ174" s="13">
        <f t="shared" si="176"/>
        <v>4.3867331143352915E-13</v>
      </c>
      <c r="DR174" s="20">
        <f t="shared" si="177"/>
        <v>8.0726688341261168E-13</v>
      </c>
      <c r="DS174" s="59">
        <f t="shared" si="125"/>
        <v>290.52844848124431</v>
      </c>
      <c r="DT174" s="59">
        <f ca="1">AVERAGE(OFFSET($DS$3,0,0,'Données projet'!$E$14+1,1))-AVERAGE(OFFSET($H$3,0,0,'Données projet'!$E$14+1,1))</f>
        <v>325.5873213944476</v>
      </c>
      <c r="DU174" s="59">
        <f t="shared" si="152"/>
        <v>347.9042278368363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0.17941923580559457</v>
      </c>
      <c r="EB174" s="21">
        <f>EXP(-LN(2)/25)*EB173+(1-EXP(-LN(2)/25))/(LN(2)/25)*Calculateur!DW174*Calculateur!DY174*VLOOKUP('Données projet'!$B$14,Paramètres!$A$1:$I$89,3,0)*0.475*44/12</f>
        <v>0.17693930477000627</v>
      </c>
      <c r="EC174" s="21">
        <f>EXP(-LN(2)/2)*EC173+(1-EXP(-LN(2)/2))/(LN(2)/2)*DW174*DZ174*VLOOKUP('Données projet'!$B$14,Paramètres!$A$1:$I$89,3,0)*0.475*44/12</f>
        <v>7.1572583250986557E-21</v>
      </c>
      <c r="ED174" s="22">
        <f t="shared" si="178"/>
        <v>0.35635854057560085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205.5480000480477</v>
      </c>
      <c r="EP174" s="59">
        <f t="shared" si="154"/>
        <v>229.86812144828366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0.45069361649304929</v>
      </c>
      <c r="EW174" s="21">
        <f>EXP(-LN(2)/25)*EW173+(1-EXP(-LN(2)/25))/(LN(2)/25)*Calculateur!ER174*Calculateur!ET174*VLOOKUP('Données projet'!$B$15,Paramètres!$A$1:$I$89,3,0)*0.475*44/12</f>
        <v>0.12077313895416923</v>
      </c>
      <c r="EX174" s="21">
        <f>EXP(-LN(2)/2)*EX173+(1-EXP(-LN(2)/2))/(LN(2)/2)*ER174*EU174*VLOOKUP('Données projet'!$B$15,Paramètres!$A$1:$I$89,3,0)*0.475*44/12</f>
        <v>1.7716552763019294E-21</v>
      </c>
      <c r="EY174" s="22">
        <f t="shared" si="181"/>
        <v>0.57146675544721848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3.05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30.051840000000073</v>
      </c>
      <c r="D175" s="11">
        <f t="shared" si="140"/>
        <v>9.3196357894312225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104.85911914301624</v>
      </c>
      <c r="H175" s="67">
        <f t="shared" si="110"/>
        <v>280.50532033325948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-1.9065282685915009E-13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542.23071537860039</v>
      </c>
      <c r="T175" s="59">
        <f t="shared" si="142"/>
        <v>667.26143680054633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0.44101530574962772</v>
      </c>
      <c r="AA175" s="21">
        <f>EXP(-LN(2)/25)*AA174+(1-EXP(-LN(2)/25))/(LN(2)/25)*Calculateur!V175*Calculateur!X175*VLOOKUP('Données projet'!$B$9,Paramètres!$A$1:$I$89,3,0)*0.475*44/12</f>
        <v>0.83115844464414801</v>
      </c>
      <c r="AB175" s="21">
        <f>EXP(-LN(2)/2)*AB174+(1-EXP(-LN(2)/2))/(LN(2)/2)*V175*Y175*VLOOKUP('Données projet'!$B$9,Paramètres!$A$1:$I$89,3,0)*0.475*44/12</f>
        <v>6.1062426294268744E-21</v>
      </c>
      <c r="AC175" s="22">
        <f t="shared" si="163"/>
        <v>1.2721737503937758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-1.2710188457276673E-13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427.83834708696861</v>
      </c>
      <c r="AO175" s="59">
        <f t="shared" si="144"/>
        <v>545.63950537101903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0.26460918344977713</v>
      </c>
      <c r="AV175" s="21">
        <f>EXP(-LN(2)/25)*AV174+(1-EXP(-LN(2)/25))/(LN(2)/25)*Calculateur!AQ175*Calculateur!AS175*VLOOKUP('Données projet'!$B$10,Paramètres!$A$1:$I$89,3,0)*0.475*44/12</f>
        <v>0.48023475013251543</v>
      </c>
      <c r="AW175" s="21">
        <f>EXP(-LN(2)/2)*AW174+(1-EXP(-LN(2)/2))/(LN(2)/2)*AQ175*AT175*VLOOKUP('Données projet'!$B$10,Paramètres!$A$1:$I$89,3,0)*0.475*44/12</f>
        <v>3.9184724847115989E-21</v>
      </c>
      <c r="AX175" s="21">
        <f t="shared" si="166"/>
        <v>0.74484393358229251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-2.6602720026858149E-14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210.62109466714364</v>
      </c>
      <c r="BJ175" s="59">
        <f t="shared" si="146"/>
        <v>193.35729443770401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0.39213292920532766</v>
      </c>
      <c r="BQ175" s="21">
        <f>EXP(-LN(2)/25)*BQ174+(1-EXP(-LN(2)/25))/(LN(2)/25)*Calculateur!BL175*Calculateur!BN175*VLOOKUP('Données projet'!$B$11,Paramètres!$A$1:$I$89,3,0)*0.475*44/12</f>
        <v>0.15628085487764282</v>
      </c>
      <c r="BR175" s="21">
        <f>EXP(-LN(2)/2)*BR174+(1-EXP(-LN(2)/2))/(LN(2)/2)*BL175*BO175*VLOOKUP('Données projet'!$B$11,Paramètres!$A$1:$I$89,3,0)*0.475*44/12</f>
        <v>3.3525483070896623E-21</v>
      </c>
      <c r="BS175" s="22">
        <f t="shared" si="169"/>
        <v>0.54841378408297048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368.16165268258442</v>
      </c>
      <c r="CE175" s="59">
        <f t="shared" si="148"/>
        <v>291.32219253157041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0.4492738387467336</v>
      </c>
      <c r="CL175" s="21">
        <f>EXP(-LN(2)/25)*CL174+(1-EXP(-LN(2)/25))/(LN(2)/25)*Calculateur!CG175*Calculateur!CI175*VLOOKUP('Données projet'!$B$12,Paramètres!$A$1:$I$89,3,0)*0.475*44/12</f>
        <v>0.12957727026491647</v>
      </c>
      <c r="CM175" s="21">
        <f>EXP(-LN(2)/2)*CM174+(1-EXP(-LN(2)/2))/(LN(2)/2)*CG175*CJ175*VLOOKUP('Données projet'!$B$12,Paramètres!$A$1:$I$89,3,0)*0.475*44/12</f>
        <v>3.3554505074589436E-21</v>
      </c>
      <c r="CN175" s="22">
        <f t="shared" si="172"/>
        <v>0.57885110901165004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1.1368683772161603E-13</v>
      </c>
      <c r="CU175" s="17">
        <f>CT175*VLOOKUP('Données projet'!$B$13,Paramètres!$A$1:$I$89,3,0)*VLOOKUP('Données projet'!$B$13,Paramètres!$A$1:$I$89,5,0)</f>
        <v>6.7984728957526396E-14</v>
      </c>
      <c r="CV175" s="13">
        <f t="shared" si="173"/>
        <v>1.0682447123141398E-12</v>
      </c>
      <c r="CW175" s="20">
        <f t="shared" si="174"/>
        <v>1.978932943548152E-12</v>
      </c>
      <c r="CX175" s="59">
        <f t="shared" si="122"/>
        <v>290.57710696264616</v>
      </c>
      <c r="CY175" s="59">
        <f ca="1">AVERAGE(OFFSET($CX$3,0,0,'Données projet'!$E$13+1,1))-AVERAGE(OFFSET($H$3,0,0,'Données projet'!$E$13+1,1))</f>
        <v>317.12995176362455</v>
      </c>
      <c r="CZ175" s="59">
        <f t="shared" si="150"/>
        <v>328.11301015275262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1.0845840642668032</v>
      </c>
      <c r="DG175" s="21">
        <f>EXP(-LN(2)/25)*DG174+(1-EXP(-LN(2)/25))/(LN(2)/25)*Calculateur!DB175*Calculateur!DD175*VLOOKUP('Données projet'!$B$13,Paramètres!$A$1:$I$89,3,0)*0.475*44/12</f>
        <v>0.31454062230622187</v>
      </c>
      <c r="DH175" s="21">
        <f>EXP(-LN(2)/2)*DH174+(1-EXP(-LN(2)/2))/(LN(2)/2)*DB175*DE175*VLOOKUP('Données projet'!$B$13,Paramètres!$A$1:$I$89,3,0)*0.475*44/12</f>
        <v>2.431570571646587E-21</v>
      </c>
      <c r="DI175" s="22">
        <f t="shared" si="175"/>
        <v>1.3991246865730251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2.8421709430404007E-14</v>
      </c>
      <c r="DP175" s="17">
        <f>DO175*VLOOKUP('Données projet'!$B$14,Paramètres!$A$1:$I$89,3,0)*VLOOKUP('Données projet'!$B$14,Paramètres!$A$1:$I$89,5,0)</f>
        <v>2.4829205358400945E-14</v>
      </c>
      <c r="DQ175" s="13">
        <f t="shared" si="176"/>
        <v>4.3867331143352915E-13</v>
      </c>
      <c r="DR175" s="20">
        <f t="shared" si="177"/>
        <v>8.0726688341261168E-13</v>
      </c>
      <c r="DS175" s="59">
        <f t="shared" si="125"/>
        <v>290.57710696264496</v>
      </c>
      <c r="DT175" s="59">
        <f ca="1">AVERAGE(OFFSET($DS$3,0,0,'Données projet'!$E$14+1,1))-AVERAGE(OFFSET($H$3,0,0,'Données projet'!$E$14+1,1))</f>
        <v>325.5873213944476</v>
      </c>
      <c r="DU175" s="59">
        <f t="shared" si="152"/>
        <v>347.9042278368363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0.17590093402637491</v>
      </c>
      <c r="EB175" s="21">
        <f>EXP(-LN(2)/25)*EB174+(1-EXP(-LN(2)/25))/(LN(2)/25)*Calculateur!DW175*Calculateur!DY175*VLOOKUP('Données projet'!$B$14,Paramètres!$A$1:$I$89,3,0)*0.475*44/12</f>
        <v>0.17210089017623681</v>
      </c>
      <c r="EC175" s="21">
        <f>EXP(-LN(2)/2)*EC174+(1-EXP(-LN(2)/2))/(LN(2)/2)*DW175*DZ175*VLOOKUP('Données projet'!$B$14,Paramètres!$A$1:$I$89,3,0)*0.475*44/12</f>
        <v>5.0609458963811308E-21</v>
      </c>
      <c r="ED175" s="22">
        <f t="shared" si="178"/>
        <v>0.34800182420261172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205.5480000480477</v>
      </c>
      <c r="EP175" s="59">
        <f t="shared" si="154"/>
        <v>229.86812144828366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0.44185578956958294</v>
      </c>
      <c r="EW175" s="21">
        <f>EXP(-LN(2)/25)*EW174+(1-EXP(-LN(2)/25))/(LN(2)/25)*Calculateur!ER175*Calculateur!ET175*VLOOKUP('Données projet'!$B$15,Paramètres!$A$1:$I$89,3,0)*0.475*44/12</f>
        <v>0.11747059111828413</v>
      </c>
      <c r="EX175" s="21">
        <f>EXP(-LN(2)/2)*EX174+(1-EXP(-LN(2)/2))/(LN(2)/2)*ER175*EU175*VLOOKUP('Données projet'!$B$15,Paramètres!$A$1:$I$89,3,0)*0.475*44/12</f>
        <v>1.2527494597980208E-21</v>
      </c>
      <c r="EY175" s="22">
        <f t="shared" si="181"/>
        <v>0.55932638068786711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3.05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30.226560000000074</v>
      </c>
      <c r="D176" s="11">
        <f t="shared" si="140"/>
        <v>9.3674965438322566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105.40893265564196</v>
      </c>
      <c r="H176" s="67">
        <f t="shared" si="110"/>
        <v>280.89298181384129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-1.9065282685915009E-13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542.23071537860039</v>
      </c>
      <c r="T176" s="59">
        <f t="shared" si="142"/>
        <v>667.26143680054633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0.4323672645966532</v>
      </c>
      <c r="AA176" s="21">
        <f>EXP(-LN(2)/25)*AA175+(1-EXP(-LN(2)/25))/(LN(2)/25)*Calculateur!V176*Calculateur!X176*VLOOKUP('Données projet'!$B$9,Paramètres!$A$1:$I$89,3,0)*0.475*44/12</f>
        <v>0.80843037326663081</v>
      </c>
      <c r="AB176" s="21">
        <f>EXP(-LN(2)/2)*AB175+(1-EXP(-LN(2)/2))/(LN(2)/2)*V176*Y176*VLOOKUP('Données projet'!$B$9,Paramètres!$A$1:$I$89,3,0)*0.475*44/12</f>
        <v>4.3177655708381174E-21</v>
      </c>
      <c r="AC176" s="22">
        <f t="shared" si="163"/>
        <v>1.2407976378632841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-1.2710188457276673E-13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427.83834708696861</v>
      </c>
      <c r="AO176" s="59">
        <f t="shared" si="144"/>
        <v>545.63950537101903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0.25942035875799241</v>
      </c>
      <c r="AV176" s="21">
        <f>EXP(-LN(2)/25)*AV175+(1-EXP(-LN(2)/25))/(LN(2)/25)*Calculateur!AQ176*Calculateur!AS176*VLOOKUP('Données projet'!$B$10,Paramètres!$A$1:$I$89,3,0)*0.475*44/12</f>
        <v>0.46710270563569389</v>
      </c>
      <c r="AW176" s="21">
        <f>EXP(-LN(2)/2)*AW175+(1-EXP(-LN(2)/2))/(LN(2)/2)*AQ176*AT176*VLOOKUP('Données projet'!$B$10,Paramètres!$A$1:$I$89,3,0)*0.475*44/12</f>
        <v>2.7707784658324718E-21</v>
      </c>
      <c r="AX176" s="21">
        <f t="shared" si="166"/>
        <v>0.7265230643936863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-2.6602720026858149E-14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210.62109466714364</v>
      </c>
      <c r="BJ176" s="59">
        <f t="shared" si="146"/>
        <v>193.35729443770401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0.38444344164108119</v>
      </c>
      <c r="BQ176" s="21">
        <f>EXP(-LN(2)/25)*BQ175+(1-EXP(-LN(2)/25))/(LN(2)/25)*Calculateur!BL176*Calculateur!BN176*VLOOKUP('Données projet'!$B$11,Paramètres!$A$1:$I$89,3,0)*0.475*44/12</f>
        <v>0.15200734668256069</v>
      </c>
      <c r="BR176" s="21">
        <f>EXP(-LN(2)/2)*BR175+(1-EXP(-LN(2)/2))/(LN(2)/2)*BL176*BO176*VLOOKUP('Données projet'!$B$11,Paramètres!$A$1:$I$89,3,0)*0.475*44/12</f>
        <v>2.3706096421985804E-21</v>
      </c>
      <c r="BS176" s="22">
        <f t="shared" si="169"/>
        <v>0.5364507883236419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368.16165268258442</v>
      </c>
      <c r="CE176" s="59">
        <f t="shared" si="148"/>
        <v>291.32219253157041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0.44046385279889355</v>
      </c>
      <c r="CL176" s="21">
        <f>EXP(-LN(2)/25)*CL175+(1-EXP(-LN(2)/25))/(LN(2)/25)*Calculateur!CG176*Calculateur!CI176*VLOOKUP('Données projet'!$B$12,Paramètres!$A$1:$I$89,3,0)*0.475*44/12</f>
        <v>0.12603397299534985</v>
      </c>
      <c r="CM176" s="21">
        <f>EXP(-LN(2)/2)*CM175+(1-EXP(-LN(2)/2))/(LN(2)/2)*CG176*CJ176*VLOOKUP('Données projet'!$B$12,Paramètres!$A$1:$I$89,3,0)*0.475*44/12</f>
        <v>2.3726618077600612E-21</v>
      </c>
      <c r="CN176" s="22">
        <f t="shared" si="172"/>
        <v>0.56649782579424346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1.1368683772161603E-13</v>
      </c>
      <c r="CU176" s="17">
        <f>CT176*VLOOKUP('Données projet'!$B$13,Paramètres!$A$1:$I$89,3,0)*VLOOKUP('Données projet'!$B$13,Paramètres!$A$1:$I$89,5,0)</f>
        <v>6.7984728957526396E-14</v>
      </c>
      <c r="CV176" s="13">
        <f t="shared" si="173"/>
        <v>1.0682447123141398E-12</v>
      </c>
      <c r="CW176" s="20">
        <f t="shared" si="174"/>
        <v>1.978932943548152E-12</v>
      </c>
      <c r="CX176" s="59">
        <f t="shared" si="122"/>
        <v>290.62492132817852</v>
      </c>
      <c r="CY176" s="59">
        <f ca="1">AVERAGE(OFFSET($CX$3,0,0,'Données projet'!$E$13+1,1))-AVERAGE(OFFSET($H$3,0,0,'Données projet'!$E$13+1,1))</f>
        <v>317.12995176362455</v>
      </c>
      <c r="CZ176" s="59">
        <f t="shared" si="150"/>
        <v>328.11301015275262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1.0633160322974897</v>
      </c>
      <c r="DG176" s="21">
        <f>EXP(-LN(2)/25)*DG175+(1-EXP(-LN(2)/25))/(LN(2)/25)*Calculateur!DB176*Calculateur!DD176*VLOOKUP('Données projet'!$B$13,Paramètres!$A$1:$I$89,3,0)*0.475*44/12</f>
        <v>0.30593949244828578</v>
      </c>
      <c r="DH176" s="21">
        <f>EXP(-LN(2)/2)*DH175+(1-EXP(-LN(2)/2))/(LN(2)/2)*DB176*DE176*VLOOKUP('Données projet'!$B$13,Paramètres!$A$1:$I$89,3,0)*0.475*44/12</f>
        <v>1.7193800401449514E-21</v>
      </c>
      <c r="DI176" s="22">
        <f t="shared" si="175"/>
        <v>1.3692555247457756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2.8421709430404007E-14</v>
      </c>
      <c r="DP176" s="17">
        <f>DO176*VLOOKUP('Données projet'!$B$14,Paramètres!$A$1:$I$89,3,0)*VLOOKUP('Données projet'!$B$14,Paramètres!$A$1:$I$89,5,0)</f>
        <v>2.4829205358400945E-14</v>
      </c>
      <c r="DQ176" s="13">
        <f t="shared" si="176"/>
        <v>4.3867331143352915E-13</v>
      </c>
      <c r="DR176" s="20">
        <f t="shared" si="177"/>
        <v>8.0726688341261168E-13</v>
      </c>
      <c r="DS176" s="59">
        <f t="shared" si="125"/>
        <v>290.62492132817732</v>
      </c>
      <c r="DT176" s="59">
        <f ca="1">AVERAGE(OFFSET($DS$3,0,0,'Données projet'!$E$14+1,1))-AVERAGE(OFFSET($H$3,0,0,'Données projet'!$E$14+1,1))</f>
        <v>325.5873213944476</v>
      </c>
      <c r="DU176" s="59">
        <f t="shared" si="152"/>
        <v>347.9042278368363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0.17245162399909356</v>
      </c>
      <c r="EB176" s="21">
        <f>EXP(-LN(2)/25)*EB175+(1-EXP(-LN(2)/25))/(LN(2)/25)*Calculateur!DW176*Calculateur!DY176*VLOOKUP('Données projet'!$B$14,Paramètres!$A$1:$I$89,3,0)*0.475*44/12</f>
        <v>0.16739478228397514</v>
      </c>
      <c r="EC176" s="21">
        <f>EXP(-LN(2)/2)*EC175+(1-EXP(-LN(2)/2))/(LN(2)/2)*DW176*DZ176*VLOOKUP('Données projet'!$B$14,Paramètres!$A$1:$I$89,3,0)*0.475*44/12</f>
        <v>3.5786291625493279E-21</v>
      </c>
      <c r="ED176" s="22">
        <f t="shared" si="178"/>
        <v>0.33984640628306872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205.5480000480477</v>
      </c>
      <c r="EP176" s="59">
        <f t="shared" si="154"/>
        <v>229.86812144828366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0.43319126704154359</v>
      </c>
      <c r="EW176" s="21">
        <f>EXP(-LN(2)/25)*EW175+(1-EXP(-LN(2)/25))/(LN(2)/25)*Calculateur!ER176*Calculateur!ET176*VLOOKUP('Données projet'!$B$15,Paramètres!$A$1:$I$89,3,0)*0.475*44/12</f>
        <v>0.11425835162664474</v>
      </c>
      <c r="EX176" s="21">
        <f>EXP(-LN(2)/2)*EX175+(1-EXP(-LN(2)/2))/(LN(2)/2)*ER176*EU176*VLOOKUP('Données projet'!$B$15,Paramètres!$A$1:$I$89,3,0)*0.475*44/12</f>
        <v>8.8582763815096471E-22</v>
      </c>
      <c r="EY176" s="22">
        <f t="shared" si="181"/>
        <v>0.54744961866818831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3.05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30.401280000000074</v>
      </c>
      <c r="D177" s="11">
        <f t="shared" si="140"/>
        <v>9.4153251066097798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105.95866664930998</v>
      </c>
      <c r="H177" s="67">
        <f t="shared" si="110"/>
        <v>281.28058722734545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-1.9065282685915009E-13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542.23071537860039</v>
      </c>
      <c r="T177" s="59">
        <f t="shared" si="142"/>
        <v>667.26143680054633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0.42388880625590425</v>
      </c>
      <c r="AA177" s="21">
        <f>EXP(-LN(2)/25)*AA176+(1-EXP(-LN(2)/25))/(LN(2)/25)*Calculateur!V177*Calculateur!X177*VLOOKUP('Données projet'!$B$9,Paramètres!$A$1:$I$89,3,0)*0.475*44/12</f>
        <v>0.78632380219614917</v>
      </c>
      <c r="AB177" s="21">
        <f>EXP(-LN(2)/2)*AB176+(1-EXP(-LN(2)/2))/(LN(2)/2)*V177*Y177*VLOOKUP('Données projet'!$B$9,Paramètres!$A$1:$I$89,3,0)*0.475*44/12</f>
        <v>3.0531213147134372E-21</v>
      </c>
      <c r="AC177" s="22">
        <f t="shared" si="163"/>
        <v>1.2102126084520535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-1.2710188457276673E-13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427.83834708696861</v>
      </c>
      <c r="AO177" s="59">
        <f t="shared" si="144"/>
        <v>545.63950537101903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0.25433328375354303</v>
      </c>
      <c r="AV177" s="21">
        <f>EXP(-LN(2)/25)*AV176+(1-EXP(-LN(2)/25))/(LN(2)/25)*Calculateur!AQ177*Calculateur!AS177*VLOOKUP('Données projet'!$B$10,Paramètres!$A$1:$I$89,3,0)*0.475*44/12</f>
        <v>0.45432975758622213</v>
      </c>
      <c r="AW177" s="21">
        <f>EXP(-LN(2)/2)*AW176+(1-EXP(-LN(2)/2))/(LN(2)/2)*AQ177*AT177*VLOOKUP('Données projet'!$B$10,Paramètres!$A$1:$I$89,3,0)*0.475*44/12</f>
        <v>1.9592362423557994E-21</v>
      </c>
      <c r="AX177" s="21">
        <f t="shared" si="166"/>
        <v>0.70866304133976521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-2.6602720026858149E-14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210.62109466714364</v>
      </c>
      <c r="BJ177" s="59">
        <f t="shared" si="146"/>
        <v>193.35729443770401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0.37690474023784526</v>
      </c>
      <c r="BQ177" s="21">
        <f>EXP(-LN(2)/25)*BQ176+(1-EXP(-LN(2)/25))/(LN(2)/25)*Calculateur!BL177*Calculateur!BN177*VLOOKUP('Données projet'!$B$11,Paramètres!$A$1:$I$89,3,0)*0.475*44/12</f>
        <v>0.14785069779380713</v>
      </c>
      <c r="BR177" s="21">
        <f>EXP(-LN(2)/2)*BR176+(1-EXP(-LN(2)/2))/(LN(2)/2)*BL177*BO177*VLOOKUP('Données projet'!$B$11,Paramètres!$A$1:$I$89,3,0)*0.475*44/12</f>
        <v>1.6762741535448313E-21</v>
      </c>
      <c r="BS177" s="22">
        <f t="shared" si="169"/>
        <v>0.52475543803165237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368.16165268258442</v>
      </c>
      <c r="CE177" s="59">
        <f t="shared" si="148"/>
        <v>291.32219253157041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0.43182662530192983</v>
      </c>
      <c r="CL177" s="21">
        <f>EXP(-LN(2)/25)*CL176+(1-EXP(-LN(2)/25))/(LN(2)/25)*Calculateur!CG177*Calculateur!CI177*VLOOKUP('Données projet'!$B$12,Paramètres!$A$1:$I$89,3,0)*0.475*44/12</f>
        <v>0.12258756737595343</v>
      </c>
      <c r="CM177" s="21">
        <f>EXP(-LN(2)/2)*CM176+(1-EXP(-LN(2)/2))/(LN(2)/2)*CG177*CJ177*VLOOKUP('Données projet'!$B$12,Paramètres!$A$1:$I$89,3,0)*0.475*44/12</f>
        <v>1.677725253729472E-21</v>
      </c>
      <c r="CN177" s="22">
        <f t="shared" si="172"/>
        <v>0.55441419267788328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1.1368683772161603E-13</v>
      </c>
      <c r="CU177" s="17">
        <f>CT177*VLOOKUP('Données projet'!$B$13,Paramètres!$A$1:$I$89,3,0)*VLOOKUP('Données projet'!$B$13,Paramètres!$A$1:$I$89,5,0)</f>
        <v>6.7984728957526396E-14</v>
      </c>
      <c r="CV177" s="13">
        <f t="shared" si="173"/>
        <v>1.0682447123141398E-12</v>
      </c>
      <c r="CW177" s="20">
        <f t="shared" si="174"/>
        <v>1.978932943548152E-12</v>
      </c>
      <c r="CX177" s="59">
        <f t="shared" si="122"/>
        <v>290.67190622136593</v>
      </c>
      <c r="CY177" s="59">
        <f ca="1">AVERAGE(OFFSET($CX$3,0,0,'Données projet'!$E$13+1,1))-AVERAGE(OFFSET($H$3,0,0,'Données projet'!$E$13+1,1))</f>
        <v>317.12995176362455</v>
      </c>
      <c r="CZ177" s="59">
        <f t="shared" si="150"/>
        <v>328.11301015275262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1.0424650534628759</v>
      </c>
      <c r="DG177" s="21">
        <f>EXP(-LN(2)/25)*DG176+(1-EXP(-LN(2)/25))/(LN(2)/25)*Calculateur!DB177*Calculateur!DD177*VLOOKUP('Données projet'!$B$13,Paramètres!$A$1:$I$89,3,0)*0.475*44/12</f>
        <v>0.29757356093862875</v>
      </c>
      <c r="DH177" s="21">
        <f>EXP(-LN(2)/2)*DH176+(1-EXP(-LN(2)/2))/(LN(2)/2)*DB177*DE177*VLOOKUP('Données projet'!$B$13,Paramètres!$A$1:$I$89,3,0)*0.475*44/12</f>
        <v>1.2157852858232935E-21</v>
      </c>
      <c r="DI177" s="22">
        <f t="shared" si="175"/>
        <v>1.3400386144015046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2.8421709430404007E-14</v>
      </c>
      <c r="DP177" s="17">
        <f>DO177*VLOOKUP('Données projet'!$B$14,Paramètres!$A$1:$I$89,3,0)*VLOOKUP('Données projet'!$B$14,Paramètres!$A$1:$I$89,5,0)</f>
        <v>2.4829205358400945E-14</v>
      </c>
      <c r="DQ177" s="13">
        <f t="shared" si="176"/>
        <v>4.3867331143352915E-13</v>
      </c>
      <c r="DR177" s="20">
        <f t="shared" si="177"/>
        <v>8.0726688341261168E-13</v>
      </c>
      <c r="DS177" s="59">
        <f t="shared" si="125"/>
        <v>290.67190622136474</v>
      </c>
      <c r="DT177" s="59">
        <f ca="1">AVERAGE(OFFSET($DS$3,0,0,'Données projet'!$E$14+1,1))-AVERAGE(OFFSET($H$3,0,0,'Données projet'!$E$14+1,1))</f>
        <v>325.5873213944476</v>
      </c>
      <c r="DU177" s="59">
        <f t="shared" si="152"/>
        <v>347.9042278368363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0.16906995283757581</v>
      </c>
      <c r="EB177" s="21">
        <f>EXP(-LN(2)/25)*EB176+(1-EXP(-LN(2)/25))/(LN(2)/25)*Calculateur!DW177*Calculateur!DY177*VLOOKUP('Données projet'!$B$14,Paramètres!$A$1:$I$89,3,0)*0.475*44/12</f>
        <v>0.16281736315951081</v>
      </c>
      <c r="EC177" s="21">
        <f>EXP(-LN(2)/2)*EC176+(1-EXP(-LN(2)/2))/(LN(2)/2)*DW177*DZ177*VLOOKUP('Données projet'!$B$14,Paramètres!$A$1:$I$89,3,0)*0.475*44/12</f>
        <v>2.5304729481905654E-21</v>
      </c>
      <c r="ED177" s="22">
        <f t="shared" si="178"/>
        <v>0.33188731599708665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205.5480000480477</v>
      </c>
      <c r="EP177" s="59">
        <f t="shared" si="154"/>
        <v>229.86812144828366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0.4246966505154422</v>
      </c>
      <c r="EW177" s="21">
        <f>EXP(-LN(2)/25)*EW176+(1-EXP(-LN(2)/25))/(LN(2)/25)*Calculateur!ER177*Calculateur!ET177*VLOOKUP('Données projet'!$B$15,Paramètres!$A$1:$I$89,3,0)*0.475*44/12</f>
        <v>0.11113395099282858</v>
      </c>
      <c r="EX177" s="21">
        <f>EXP(-LN(2)/2)*EX176+(1-EXP(-LN(2)/2))/(LN(2)/2)*ER177*EU177*VLOOKUP('Données projet'!$B$15,Paramètres!$A$1:$I$89,3,0)*0.475*44/12</f>
        <v>6.2637472989901041E-22</v>
      </c>
      <c r="EY177" s="22">
        <f t="shared" si="181"/>
        <v>0.53583060150827078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3.05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30.576000000000075</v>
      </c>
      <c r="D178" s="11">
        <f t="shared" si="140"/>
        <v>9.4631216842414076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106.50832163405613</v>
      </c>
      <c r="H178" s="67">
        <f t="shared" si="110"/>
        <v>281.66813693338725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-1.9065282685915009E-13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542.23071537860039</v>
      </c>
      <c r="T178" s="59">
        <f t="shared" si="142"/>
        <v>667.26143680054633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0.41557660531186841</v>
      </c>
      <c r="AA178" s="21">
        <f>EXP(-LN(2)/25)*AA177+(1-EXP(-LN(2)/25))/(LN(2)/25)*Calculateur!V178*Calculateur!X178*VLOOKUP('Données projet'!$B$9,Paramètres!$A$1:$I$89,3,0)*0.475*44/12</f>
        <v>0.76482173647412388</v>
      </c>
      <c r="AB178" s="21">
        <f>EXP(-LN(2)/2)*AB177+(1-EXP(-LN(2)/2))/(LN(2)/2)*V178*Y178*VLOOKUP('Données projet'!$B$9,Paramètres!$A$1:$I$89,3,0)*0.475*44/12</f>
        <v>2.1588827854190587E-21</v>
      </c>
      <c r="AC178" s="22">
        <f t="shared" si="163"/>
        <v>1.1803983417859922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-1.2710188457276673E-13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427.83834708696861</v>
      </c>
      <c r="AO178" s="59">
        <f t="shared" si="144"/>
        <v>545.63950537101903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0.24934596318712152</v>
      </c>
      <c r="AV178" s="21">
        <f>EXP(-LN(2)/25)*AV177+(1-EXP(-LN(2)/25))/(LN(2)/25)*Calculateur!AQ178*Calculateur!AS178*VLOOKUP('Données projet'!$B$10,Paramètres!$A$1:$I$89,3,0)*0.475*44/12</f>
        <v>0.44190608647286334</v>
      </c>
      <c r="AW178" s="21">
        <f>EXP(-LN(2)/2)*AW177+(1-EXP(-LN(2)/2))/(LN(2)/2)*AQ178*AT178*VLOOKUP('Données projet'!$B$10,Paramètres!$A$1:$I$89,3,0)*0.475*44/12</f>
        <v>1.3853892329162359E-21</v>
      </c>
      <c r="AX178" s="21">
        <f t="shared" si="166"/>
        <v>0.69125204965998488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-2.6602720026858149E-14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210.62109466714364</v>
      </c>
      <c r="BJ178" s="59">
        <f t="shared" si="146"/>
        <v>193.35729443770401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0.36951386817097298</v>
      </c>
      <c r="BQ178" s="21">
        <f>EXP(-LN(2)/25)*BQ177+(1-EXP(-LN(2)/25))/(LN(2)/25)*Calculateur!BL178*Calculateur!BN178*VLOOKUP('Données projet'!$B$11,Paramètres!$A$1:$I$89,3,0)*0.475*44/12</f>
        <v>0.1438077126875052</v>
      </c>
      <c r="BR178" s="21">
        <f>EXP(-LN(2)/2)*BR177+(1-EXP(-LN(2)/2))/(LN(2)/2)*BL178*BO178*VLOOKUP('Données projet'!$B$11,Paramètres!$A$1:$I$89,3,0)*0.475*44/12</f>
        <v>1.1853048210992904E-21</v>
      </c>
      <c r="BS178" s="22">
        <f t="shared" si="169"/>
        <v>0.51332158085847812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368.16165268258442</v>
      </c>
      <c r="CE178" s="59">
        <f t="shared" si="148"/>
        <v>291.32219253157041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0.42335876856799298</v>
      </c>
      <c r="CL178" s="21">
        <f>EXP(-LN(2)/25)*CL177+(1-EXP(-LN(2)/25))/(LN(2)/25)*Calculateur!CG178*Calculateur!CI178*VLOOKUP('Données projet'!$B$12,Paramètres!$A$1:$I$89,3,0)*0.475*44/12</f>
        <v>0.119235403899458</v>
      </c>
      <c r="CM178" s="21">
        <f>EXP(-LN(2)/2)*CM177+(1-EXP(-LN(2)/2))/(LN(2)/2)*CG178*CJ178*VLOOKUP('Données projet'!$B$12,Paramètres!$A$1:$I$89,3,0)*0.475*44/12</f>
        <v>1.1863309038800308E-21</v>
      </c>
      <c r="CN178" s="22">
        <f t="shared" si="172"/>
        <v>0.54259417246745101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1.1368683772161603E-13</v>
      </c>
      <c r="CU178" s="17">
        <f>CT178*VLOOKUP('Données projet'!$B$13,Paramètres!$A$1:$I$89,3,0)*VLOOKUP('Données projet'!$B$13,Paramètres!$A$1:$I$89,5,0)</f>
        <v>6.7984728957526396E-14</v>
      </c>
      <c r="CV178" s="13">
        <f t="shared" si="173"/>
        <v>1.0682447123141398E-12</v>
      </c>
      <c r="CW178" s="20">
        <f t="shared" si="174"/>
        <v>1.978932943548152E-12</v>
      </c>
      <c r="CX178" s="59">
        <f t="shared" si="122"/>
        <v>290.71807603169896</v>
      </c>
      <c r="CY178" s="59">
        <f ca="1">AVERAGE(OFFSET($CX$3,0,0,'Données projet'!$E$13+1,1))-AVERAGE(OFFSET($H$3,0,0,'Données projet'!$E$13+1,1))</f>
        <v>317.12995176362455</v>
      </c>
      <c r="CZ178" s="59">
        <f t="shared" si="150"/>
        <v>328.11301015275262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1.0220229496053674</v>
      </c>
      <c r="DG178" s="21">
        <f>EXP(-LN(2)/25)*DG177+(1-EXP(-LN(2)/25))/(LN(2)/25)*Calculateur!DB178*Calculateur!DD178*VLOOKUP('Données projet'!$B$13,Paramètres!$A$1:$I$89,3,0)*0.475*44/12</f>
        <v>0.2894363962660485</v>
      </c>
      <c r="DH178" s="21">
        <f>EXP(-LN(2)/2)*DH177+(1-EXP(-LN(2)/2))/(LN(2)/2)*DB178*DE178*VLOOKUP('Données projet'!$B$13,Paramètres!$A$1:$I$89,3,0)*0.475*44/12</f>
        <v>8.5969002007247572E-22</v>
      </c>
      <c r="DI178" s="22">
        <f t="shared" si="175"/>
        <v>1.3114593458714159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2.8421709430404007E-14</v>
      </c>
      <c r="DP178" s="17">
        <f>DO178*VLOOKUP('Données projet'!$B$14,Paramètres!$A$1:$I$89,3,0)*VLOOKUP('Données projet'!$B$14,Paramètres!$A$1:$I$89,5,0)</f>
        <v>2.4829205358400945E-14</v>
      </c>
      <c r="DQ178" s="13">
        <f t="shared" si="176"/>
        <v>4.3867331143352915E-13</v>
      </c>
      <c r="DR178" s="20">
        <f t="shared" si="177"/>
        <v>8.0726688341261168E-13</v>
      </c>
      <c r="DS178" s="59">
        <f t="shared" si="125"/>
        <v>290.71807603169776</v>
      </c>
      <c r="DT178" s="59">
        <f ca="1">AVERAGE(OFFSET($DS$3,0,0,'Données projet'!$E$14+1,1))-AVERAGE(OFFSET($H$3,0,0,'Données projet'!$E$14+1,1))</f>
        <v>325.5873213944476</v>
      </c>
      <c r="DU178" s="59">
        <f t="shared" si="152"/>
        <v>347.9042278368363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0.16575459418491967</v>
      </c>
      <c r="EB178" s="21">
        <f>EXP(-LN(2)/25)*EB177+(1-EXP(-LN(2)/25))/(LN(2)/25)*Calculateur!DW178*Calculateur!DY178*VLOOKUP('Données projet'!$B$14,Paramètres!$A$1:$I$89,3,0)*0.475*44/12</f>
        <v>0.158365113801721</v>
      </c>
      <c r="EC178" s="21">
        <f>EXP(-LN(2)/2)*EC177+(1-EXP(-LN(2)/2))/(LN(2)/2)*DW178*DZ178*VLOOKUP('Données projet'!$B$14,Paramètres!$A$1:$I$89,3,0)*0.475*44/12</f>
        <v>1.7893145812746639E-21</v>
      </c>
      <c r="ED178" s="22">
        <f t="shared" si="178"/>
        <v>0.32411970798664069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205.5480000480477</v>
      </c>
      <c r="EP178" s="59">
        <f t="shared" si="154"/>
        <v>229.86812144828366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0.4163686082382132</v>
      </c>
      <c r="EW178" s="21">
        <f>EXP(-LN(2)/25)*EW177+(1-EXP(-LN(2)/25))/(LN(2)/25)*Calculateur!ER178*Calculateur!ET178*VLOOKUP('Données projet'!$B$15,Paramètres!$A$1:$I$89,3,0)*0.475*44/12</f>
        <v>0.1080949872586492</v>
      </c>
      <c r="EX178" s="21">
        <f>EXP(-LN(2)/2)*EX177+(1-EXP(-LN(2)/2))/(LN(2)/2)*ER178*EU178*VLOOKUP('Données projet'!$B$15,Paramètres!$A$1:$I$89,3,0)*0.475*44/12</f>
        <v>4.4291381907548235E-22</v>
      </c>
      <c r="EY178" s="22">
        <f t="shared" si="181"/>
        <v>0.52446359549686239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3.05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30.750720000000076</v>
      </c>
      <c r="D179" s="11">
        <f t="shared" si="140"/>
        <v>9.5108864807084821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107.05789811375027</v>
      </c>
      <c r="H179" s="67">
        <f t="shared" si="110"/>
        <v>282.05563128723406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-1.9065282685915009E-13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542.23071537860039</v>
      </c>
      <c r="T179" s="59">
        <f t="shared" si="142"/>
        <v>667.26143680054633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0.40742740155840318</v>
      </c>
      <c r="AA179" s="21">
        <f>EXP(-LN(2)/25)*AA178+(1-EXP(-LN(2)/25))/(LN(2)/25)*Calculateur!V179*Calculateur!X179*VLOOKUP('Données projet'!$B$9,Paramètres!$A$1:$I$89,3,0)*0.475*44/12</f>
        <v>0.7439076458700119</v>
      </c>
      <c r="AB179" s="21">
        <f>EXP(-LN(2)/2)*AB178+(1-EXP(-LN(2)/2))/(LN(2)/2)*V179*Y179*VLOOKUP('Données projet'!$B$9,Paramètres!$A$1:$I$89,3,0)*0.475*44/12</f>
        <v>1.5265606573567186E-21</v>
      </c>
      <c r="AC179" s="22">
        <f t="shared" si="163"/>
        <v>1.151335047428415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-1.2710188457276673E-13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427.83834708696861</v>
      </c>
      <c r="AO179" s="59">
        <f t="shared" si="144"/>
        <v>545.63950537101903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0.24445644093504237</v>
      </c>
      <c r="AV179" s="21">
        <f>EXP(-LN(2)/25)*AV178+(1-EXP(-LN(2)/25))/(LN(2)/25)*Calculateur!AQ179*Calculateur!AS179*VLOOKUP('Données projet'!$B$10,Paramètres!$A$1:$I$89,3,0)*0.475*44/12</f>
        <v>0.4298221412994318</v>
      </c>
      <c r="AW179" s="21">
        <f>EXP(-LN(2)/2)*AW178+(1-EXP(-LN(2)/2))/(LN(2)/2)*AQ179*AT179*VLOOKUP('Données projet'!$B$10,Paramètres!$A$1:$I$89,3,0)*0.475*44/12</f>
        <v>9.7961812117789972E-22</v>
      </c>
      <c r="AX179" s="21">
        <f t="shared" si="166"/>
        <v>0.67427858223447412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-2.6602720026858149E-14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210.62109466714364</v>
      </c>
      <c r="BJ179" s="59">
        <f t="shared" si="146"/>
        <v>193.35729443770401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0.36226792659734525</v>
      </c>
      <c r="BQ179" s="21">
        <f>EXP(-LN(2)/25)*BQ178+(1-EXP(-LN(2)/25))/(LN(2)/25)*Calculateur!BL179*Calculateur!BN179*VLOOKUP('Données projet'!$B$11,Paramètres!$A$1:$I$89,3,0)*0.475*44/12</f>
        <v>0.13987528322154644</v>
      </c>
      <c r="BR179" s="21">
        <f>EXP(-LN(2)/2)*BR178+(1-EXP(-LN(2)/2))/(LN(2)/2)*BL179*BO179*VLOOKUP('Données projet'!$B$11,Paramètres!$A$1:$I$89,3,0)*0.475*44/12</f>
        <v>8.3813707677241586E-22</v>
      </c>
      <c r="BS179" s="22">
        <f t="shared" si="169"/>
        <v>0.50214320981889171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368.16165268258442</v>
      </c>
      <c r="CE179" s="59">
        <f t="shared" si="148"/>
        <v>291.32219253157041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0.41505696133972603</v>
      </c>
      <c r="CL179" s="21">
        <f>EXP(-LN(2)/25)*CL178+(1-EXP(-LN(2)/25))/(LN(2)/25)*Calculateur!CG179*Calculateur!CI179*VLOOKUP('Données projet'!$B$12,Paramètres!$A$1:$I$89,3,0)*0.475*44/12</f>
        <v>0.11597490550950994</v>
      </c>
      <c r="CM179" s="21">
        <f>EXP(-LN(2)/2)*CM178+(1-EXP(-LN(2)/2))/(LN(2)/2)*CG179*CJ179*VLOOKUP('Données projet'!$B$12,Paramètres!$A$1:$I$89,3,0)*0.475*44/12</f>
        <v>8.3886262686473609E-22</v>
      </c>
      <c r="CN179" s="22">
        <f t="shared" si="172"/>
        <v>0.53103186684923598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1.1368683772161603E-13</v>
      </c>
      <c r="CU179" s="17">
        <f>CT179*VLOOKUP('Données projet'!$B$13,Paramètres!$A$1:$I$89,3,0)*VLOOKUP('Données projet'!$B$13,Paramètres!$A$1:$I$89,5,0)</f>
        <v>6.7984728957526396E-14</v>
      </c>
      <c r="CV179" s="13">
        <f t="shared" si="173"/>
        <v>1.0682447123141398E-12</v>
      </c>
      <c r="CW179" s="20">
        <f t="shared" si="174"/>
        <v>1.978932943548152E-12</v>
      </c>
      <c r="CX179" s="59">
        <f t="shared" si="122"/>
        <v>290.76344489904295</v>
      </c>
      <c r="CY179" s="59">
        <f ca="1">AVERAGE(OFFSET($CX$3,0,0,'Données projet'!$E$13+1,1))-AVERAGE(OFFSET($H$3,0,0,'Données projet'!$E$13+1,1))</f>
        <v>317.12995176362455</v>
      </c>
      <c r="CZ179" s="59">
        <f t="shared" si="150"/>
        <v>328.11301015275262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1.0019817029360525</v>
      </c>
      <c r="DG179" s="21">
        <f>EXP(-LN(2)/25)*DG178+(1-EXP(-LN(2)/25))/(LN(2)/25)*Calculateur!DB179*Calculateur!DD179*VLOOKUP('Données projet'!$B$13,Paramètres!$A$1:$I$89,3,0)*0.475*44/12</f>
        <v>0.28152174278935482</v>
      </c>
      <c r="DH179" s="21">
        <f>EXP(-LN(2)/2)*DH178+(1-EXP(-LN(2)/2))/(LN(2)/2)*DB179*DE179*VLOOKUP('Données projet'!$B$13,Paramètres!$A$1:$I$89,3,0)*0.475*44/12</f>
        <v>6.0789264291164675E-22</v>
      </c>
      <c r="DI179" s="22">
        <f t="shared" si="175"/>
        <v>1.2835034457254073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2.8421709430404007E-14</v>
      </c>
      <c r="DP179" s="17">
        <f>DO179*VLOOKUP('Données projet'!$B$14,Paramètres!$A$1:$I$89,3,0)*VLOOKUP('Données projet'!$B$14,Paramètres!$A$1:$I$89,5,0)</f>
        <v>2.4829205358400945E-14</v>
      </c>
      <c r="DQ179" s="13">
        <f t="shared" si="176"/>
        <v>4.3867331143352915E-13</v>
      </c>
      <c r="DR179" s="20">
        <f t="shared" si="177"/>
        <v>8.0726688341261168E-13</v>
      </c>
      <c r="DS179" s="59">
        <f t="shared" si="125"/>
        <v>290.76344489904176</v>
      </c>
      <c r="DT179" s="59">
        <f ca="1">AVERAGE(OFFSET($DS$3,0,0,'Données projet'!$E$14+1,1))-AVERAGE(OFFSET($H$3,0,0,'Données projet'!$E$14+1,1))</f>
        <v>325.5873213944476</v>
      </c>
      <c r="DU179" s="59">
        <f t="shared" si="152"/>
        <v>347.9042278368363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0.16250424769327301</v>
      </c>
      <c r="EB179" s="21">
        <f>EXP(-LN(2)/25)*EB178+(1-EXP(-LN(2)/25))/(LN(2)/25)*Calculateur!DW179*Calculateur!DY179*VLOOKUP('Données projet'!$B$14,Paramètres!$A$1:$I$89,3,0)*0.475*44/12</f>
        <v>0.15403461143675354</v>
      </c>
      <c r="EC179" s="21">
        <f>EXP(-LN(2)/2)*EC178+(1-EXP(-LN(2)/2))/(LN(2)/2)*DW179*DZ179*VLOOKUP('Données projet'!$B$14,Paramètres!$A$1:$I$89,3,0)*0.475*44/12</f>
        <v>1.2652364740952827E-21</v>
      </c>
      <c r="ED179" s="22">
        <f t="shared" si="178"/>
        <v>0.31653885913002655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205.5480000480477</v>
      </c>
      <c r="EP179" s="59">
        <f t="shared" si="154"/>
        <v>229.86812144828366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0.40820387379043643</v>
      </c>
      <c r="EW179" s="21">
        <f>EXP(-LN(2)/25)*EW178+(1-EXP(-LN(2)/25))/(LN(2)/25)*Calculateur!ER179*Calculateur!ET179*VLOOKUP('Données projet'!$B$15,Paramètres!$A$1:$I$89,3,0)*0.475*44/12</f>
        <v>0.10513912414759312</v>
      </c>
      <c r="EX179" s="21">
        <f>EXP(-LN(2)/2)*EX178+(1-EXP(-LN(2)/2))/(LN(2)/2)*ER179*EU179*VLOOKUP('Données projet'!$B$15,Paramètres!$A$1:$I$89,3,0)*0.475*44/12</f>
        <v>3.131873649495052E-22</v>
      </c>
      <c r="EY179" s="22">
        <f t="shared" si="181"/>
        <v>0.51334299793802951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3.05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30.925440000000076</v>
      </c>
      <c r="D180" s="11">
        <f t="shared" si="140"/>
        <v>9.5586196975402302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107.60739658620483</v>
      </c>
      <c r="H180" s="67">
        <f t="shared" si="110"/>
        <v>282.44307063988265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-1.9065282685915009E-13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542.23071537860039</v>
      </c>
      <c r="T180" s="59">
        <f t="shared" si="142"/>
        <v>667.26143680054633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0.39943799872001989</v>
      </c>
      <c r="AA180" s="21">
        <f>EXP(-LN(2)/25)*AA179+(1-EXP(-LN(2)/25))/(LN(2)/25)*Calculateur!V180*Calculateur!X180*VLOOKUP('Données projet'!$B$9,Paramètres!$A$1:$I$89,3,0)*0.475*44/12</f>
        <v>0.7235654521732936</v>
      </c>
      <c r="AB180" s="21">
        <f>EXP(-LN(2)/2)*AB179+(1-EXP(-LN(2)/2))/(LN(2)/2)*V180*Y180*VLOOKUP('Données projet'!$B$9,Paramètres!$A$1:$I$89,3,0)*0.475*44/12</f>
        <v>1.0794413927095294E-21</v>
      </c>
      <c r="AC180" s="22">
        <f t="shared" si="163"/>
        <v>1.1230034508933135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-1.2710188457276673E-13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427.83834708696861</v>
      </c>
      <c r="AO180" s="59">
        <f t="shared" si="144"/>
        <v>545.63950537101903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0.23966279923201239</v>
      </c>
      <c r="AV180" s="21">
        <f>EXP(-LN(2)/25)*AV179+(1-EXP(-LN(2)/25))/(LN(2)/25)*Calculateur!AQ180*Calculateur!AS180*VLOOKUP('Données projet'!$B$10,Paramètres!$A$1:$I$89,3,0)*0.475*44/12</f>
        <v>0.41806863224223478</v>
      </c>
      <c r="AW180" s="21">
        <f>EXP(-LN(2)/2)*AW179+(1-EXP(-LN(2)/2))/(LN(2)/2)*AQ180*AT180*VLOOKUP('Données projet'!$B$10,Paramètres!$A$1:$I$89,3,0)*0.475*44/12</f>
        <v>6.9269461645811795E-22</v>
      </c>
      <c r="AX180" s="21">
        <f t="shared" si="166"/>
        <v>0.65773143147424717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-2.6602720026858149E-14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210.62109466714364</v>
      </c>
      <c r="BJ180" s="59">
        <f t="shared" si="146"/>
        <v>193.35729443770401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0.35516407351838836</v>
      </c>
      <c r="BQ180" s="21">
        <f>EXP(-LN(2)/25)*BQ179+(1-EXP(-LN(2)/25))/(LN(2)/25)*Calculateur!BL180*Calculateur!BN180*VLOOKUP('Données projet'!$B$11,Paramètres!$A$1:$I$89,3,0)*0.475*44/12</f>
        <v>0.1360503862461318</v>
      </c>
      <c r="BR180" s="21">
        <f>EXP(-LN(2)/2)*BR179+(1-EXP(-LN(2)/2))/(LN(2)/2)*BL180*BO180*VLOOKUP('Données projet'!$B$11,Paramètres!$A$1:$I$89,3,0)*0.475*44/12</f>
        <v>5.9265241054964528E-22</v>
      </c>
      <c r="BS180" s="22">
        <f t="shared" si="169"/>
        <v>0.49121445976452016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368.16165268258442</v>
      </c>
      <c r="CE180" s="59">
        <f t="shared" si="148"/>
        <v>291.32219253157041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0.40691794748760296</v>
      </c>
      <c r="CL180" s="21">
        <f>EXP(-LN(2)/25)*CL179+(1-EXP(-LN(2)/25))/(LN(2)/25)*Calculateur!CG180*Calculateur!CI180*VLOOKUP('Données projet'!$B$12,Paramètres!$A$1:$I$89,3,0)*0.475*44/12</f>
        <v>0.11280356561949717</v>
      </c>
      <c r="CM180" s="21">
        <f>EXP(-LN(2)/2)*CM179+(1-EXP(-LN(2)/2))/(LN(2)/2)*CG180*CJ180*VLOOKUP('Données projet'!$B$12,Paramètres!$A$1:$I$89,3,0)*0.475*44/12</f>
        <v>5.9316545194001549E-22</v>
      </c>
      <c r="CN180" s="22">
        <f t="shared" si="172"/>
        <v>0.51972151310710013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1.1368683772161603E-13</v>
      </c>
      <c r="CU180" s="17">
        <f>CT180*VLOOKUP('Données projet'!$B$13,Paramètres!$A$1:$I$89,3,0)*VLOOKUP('Données projet'!$B$13,Paramètres!$A$1:$I$89,5,0)</f>
        <v>6.7984728957526396E-14</v>
      </c>
      <c r="CV180" s="13">
        <f t="shared" si="173"/>
        <v>1.0682447123141398E-12</v>
      </c>
      <c r="CW180" s="20">
        <f t="shared" si="174"/>
        <v>1.978932943548152E-12</v>
      </c>
      <c r="CX180" s="59">
        <f t="shared" si="122"/>
        <v>290.80802671796812</v>
      </c>
      <c r="CY180" s="59">
        <f ca="1">AVERAGE(OFFSET($CX$3,0,0,'Données projet'!$E$13+1,1))-AVERAGE(OFFSET($H$3,0,0,'Données projet'!$E$13+1,1))</f>
        <v>317.12995176362455</v>
      </c>
      <c r="CZ180" s="59">
        <f t="shared" si="150"/>
        <v>328.11301015275262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0.98233345288996943</v>
      </c>
      <c r="DG180" s="21">
        <f>EXP(-LN(2)/25)*DG179+(1-EXP(-LN(2)/25))/(LN(2)/25)*Calculateur!DB180*Calculateur!DD180*VLOOKUP('Données projet'!$B$13,Paramètres!$A$1:$I$89,3,0)*0.475*44/12</f>
        <v>0.27382351592819487</v>
      </c>
      <c r="DH180" s="21">
        <f>EXP(-LN(2)/2)*DH179+(1-EXP(-LN(2)/2))/(LN(2)/2)*DB180*DE180*VLOOKUP('Données projet'!$B$13,Paramètres!$A$1:$I$89,3,0)*0.475*44/12</f>
        <v>4.2984501003623786E-22</v>
      </c>
      <c r="DI180" s="22">
        <f t="shared" si="175"/>
        <v>1.2561569688181642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2.8421709430404007E-14</v>
      </c>
      <c r="DP180" s="17">
        <f>DO180*VLOOKUP('Données projet'!$B$14,Paramètres!$A$1:$I$89,3,0)*VLOOKUP('Données projet'!$B$14,Paramètres!$A$1:$I$89,5,0)</f>
        <v>2.4829205358400945E-14</v>
      </c>
      <c r="DQ180" s="13">
        <f t="shared" si="176"/>
        <v>4.3867331143352915E-13</v>
      </c>
      <c r="DR180" s="20">
        <f t="shared" si="177"/>
        <v>8.0726688341261168E-13</v>
      </c>
      <c r="DS180" s="59">
        <f t="shared" si="125"/>
        <v>290.80802671796692</v>
      </c>
      <c r="DT180" s="59">
        <f ca="1">AVERAGE(OFFSET($DS$3,0,0,'Données projet'!$E$14+1,1))-AVERAGE(OFFSET($H$3,0,0,'Données projet'!$E$14+1,1))</f>
        <v>325.5873213944476</v>
      </c>
      <c r="DU180" s="59">
        <f t="shared" si="152"/>
        <v>347.9042278368363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0.15931763851381195</v>
      </c>
      <c r="EB180" s="21">
        <f>EXP(-LN(2)/25)*EB179+(1-EXP(-LN(2)/25))/(LN(2)/25)*Calculateur!DW180*Calculateur!DY180*VLOOKUP('Données projet'!$B$14,Paramètres!$A$1:$I$89,3,0)*0.475*44/12</f>
        <v>0.14982252688668735</v>
      </c>
      <c r="EC180" s="21">
        <f>EXP(-LN(2)/2)*EC179+(1-EXP(-LN(2)/2))/(LN(2)/2)*DW180*DZ180*VLOOKUP('Données projet'!$B$14,Paramètres!$A$1:$I$89,3,0)*0.475*44/12</f>
        <v>8.9465729063733197E-22</v>
      </c>
      <c r="ED180" s="22">
        <f t="shared" si="178"/>
        <v>0.30914016540049927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205.5480000480477</v>
      </c>
      <c r="EP180" s="59">
        <f t="shared" si="154"/>
        <v>229.86812144828366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0.40019924480518426</v>
      </c>
      <c r="EW180" s="21">
        <f>EXP(-LN(2)/25)*EW179+(1-EXP(-LN(2)/25))/(LN(2)/25)*Calculateur!ER180*Calculateur!ET180*VLOOKUP('Données projet'!$B$15,Paramètres!$A$1:$I$89,3,0)*0.475*44/12</f>
        <v>0.10226408926875094</v>
      </c>
      <c r="EX180" s="21">
        <f>EXP(-LN(2)/2)*EX179+(1-EXP(-LN(2)/2))/(LN(2)/2)*ER180*EU180*VLOOKUP('Données projet'!$B$15,Paramètres!$A$1:$I$89,3,0)*0.475*44/12</f>
        <v>2.2145690953774118E-22</v>
      </c>
      <c r="EY180" s="22">
        <f t="shared" si="181"/>
        <v>0.50246333407393518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3.05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31.100160000000077</v>
      </c>
      <c r="D181" s="11">
        <f t="shared" si="140"/>
        <v>9.6063215338569456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108.15681754328193</v>
      </c>
      <c r="H181" s="67">
        <f t="shared" si="110"/>
        <v>282.8304553381343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-1.9065282685915009E-13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542.23071537860039</v>
      </c>
      <c r="T181" s="59">
        <f t="shared" si="142"/>
        <v>667.26143680054633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0.39160526319824274</v>
      </c>
      <c r="AA181" s="21">
        <f>EXP(-LN(2)/25)*AA180+(1-EXP(-LN(2)/25))/(LN(2)/25)*Calculateur!V181*Calculateur!X181*VLOOKUP('Données projet'!$B$9,Paramètres!$A$1:$I$89,3,0)*0.475*44/12</f>
        <v>0.70377951683296147</v>
      </c>
      <c r="AB181" s="21">
        <f>EXP(-LN(2)/2)*AB180+(1-EXP(-LN(2)/2))/(LN(2)/2)*V181*Y181*VLOOKUP('Données projet'!$B$9,Paramètres!$A$1:$I$89,3,0)*0.475*44/12</f>
        <v>7.632803286783593E-22</v>
      </c>
      <c r="AC181" s="22">
        <f t="shared" si="163"/>
        <v>1.0953847800312042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-1.2710188457276673E-13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427.83834708696861</v>
      </c>
      <c r="AO181" s="59">
        <f t="shared" si="144"/>
        <v>545.63950537101903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0.23496315791894609</v>
      </c>
      <c r="AV181" s="21">
        <f>EXP(-LN(2)/25)*AV180+(1-EXP(-LN(2)/25))/(LN(2)/25)*Calculateur!AQ181*Calculateur!AS181*VLOOKUP('Données projet'!$B$10,Paramètres!$A$1:$I$89,3,0)*0.475*44/12</f>
        <v>0.40663652350829699</v>
      </c>
      <c r="AW181" s="21">
        <f>EXP(-LN(2)/2)*AW180+(1-EXP(-LN(2)/2))/(LN(2)/2)*AQ181*AT181*VLOOKUP('Données projet'!$B$10,Paramètres!$A$1:$I$89,3,0)*0.475*44/12</f>
        <v>4.8980906058894986E-22</v>
      </c>
      <c r="AX181" s="21">
        <f t="shared" si="166"/>
        <v>0.64159968142724311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-2.6602720026858149E-14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210.62109466714364</v>
      </c>
      <c r="BJ181" s="59">
        <f t="shared" si="146"/>
        <v>193.35729443770401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0.34819952266538728</v>
      </c>
      <c r="BQ181" s="21">
        <f>EXP(-LN(2)/25)*BQ180+(1-EXP(-LN(2)/25))/(LN(2)/25)*Calculateur!BL181*Calculateur!BN181*VLOOKUP('Données projet'!$B$11,Paramètres!$A$1:$I$89,3,0)*0.475*44/12</f>
        <v>0.13233008127965246</v>
      </c>
      <c r="BR181" s="21">
        <f>EXP(-LN(2)/2)*BR180+(1-EXP(-LN(2)/2))/(LN(2)/2)*BL181*BO181*VLOOKUP('Données projet'!$B$11,Paramètres!$A$1:$I$89,3,0)*0.475*44/12</f>
        <v>4.1906853838620798E-22</v>
      </c>
      <c r="BS181" s="22">
        <f t="shared" si="169"/>
        <v>0.48052960394503974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368.16165268258442</v>
      </c>
      <c r="CE181" s="59">
        <f t="shared" si="148"/>
        <v>291.32219253157041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0.39893853473281177</v>
      </c>
      <c r="CL181" s="21">
        <f>EXP(-LN(2)/25)*CL180+(1-EXP(-LN(2)/25))/(LN(2)/25)*Calculateur!CG181*Calculateur!CI181*VLOOKUP('Données projet'!$B$12,Paramètres!$A$1:$I$89,3,0)*0.475*44/12</f>
        <v>0.10971894618555032</v>
      </c>
      <c r="CM181" s="21">
        <f>EXP(-LN(2)/2)*CM180+(1-EXP(-LN(2)/2))/(LN(2)/2)*CG181*CJ181*VLOOKUP('Données projet'!$B$12,Paramètres!$A$1:$I$89,3,0)*0.475*44/12</f>
        <v>4.1943131343236814E-22</v>
      </c>
      <c r="CN181" s="22">
        <f t="shared" si="172"/>
        <v>0.50865748091836205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1.1368683772161603E-13</v>
      </c>
      <c r="CU181" s="17">
        <f>CT181*VLOOKUP('Données projet'!$B$13,Paramètres!$A$1:$I$89,3,0)*VLOOKUP('Données projet'!$B$13,Paramètres!$A$1:$I$89,5,0)</f>
        <v>6.7984728957526396E-14</v>
      </c>
      <c r="CV181" s="13">
        <f t="shared" si="173"/>
        <v>1.0682447123141398E-12</v>
      </c>
      <c r="CW181" s="20">
        <f t="shared" si="174"/>
        <v>1.978932943548152E-12</v>
      </c>
      <c r="CX181" s="59">
        <f t="shared" si="122"/>
        <v>290.85183514200492</v>
      </c>
      <c r="CY181" s="59">
        <f ca="1">AVERAGE(OFFSET($CX$3,0,0,'Données projet'!$E$13+1,1))-AVERAGE(OFFSET($H$3,0,0,'Données projet'!$E$13+1,1))</f>
        <v>317.12995176362455</v>
      </c>
      <c r="CZ181" s="59">
        <f t="shared" si="150"/>
        <v>328.11301015275262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0.96307049304304082</v>
      </c>
      <c r="DG181" s="21">
        <f>EXP(-LN(2)/25)*DG180+(1-EXP(-LN(2)/25))/(LN(2)/25)*Calculateur!DB181*Calculateur!DD181*VLOOKUP('Données projet'!$B$13,Paramètres!$A$1:$I$89,3,0)*0.475*44/12</f>
        <v>0.26633579748538549</v>
      </c>
      <c r="DH181" s="21">
        <f>EXP(-LN(2)/2)*DH180+(1-EXP(-LN(2)/2))/(LN(2)/2)*DB181*DE181*VLOOKUP('Données projet'!$B$13,Paramètres!$A$1:$I$89,3,0)*0.475*44/12</f>
        <v>3.0394632145582337E-22</v>
      </c>
      <c r="DI181" s="22">
        <f t="shared" si="175"/>
        <v>1.2294062905284262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2.8421709430404007E-14</v>
      </c>
      <c r="DP181" s="17">
        <f>DO181*VLOOKUP('Données projet'!$B$14,Paramètres!$A$1:$I$89,3,0)*VLOOKUP('Données projet'!$B$14,Paramètres!$A$1:$I$89,5,0)</f>
        <v>2.4829205358400945E-14</v>
      </c>
      <c r="DQ181" s="13">
        <f t="shared" si="176"/>
        <v>4.3867331143352915E-13</v>
      </c>
      <c r="DR181" s="20">
        <f t="shared" si="177"/>
        <v>8.0726688341261168E-13</v>
      </c>
      <c r="DS181" s="59">
        <f t="shared" si="125"/>
        <v>290.85183514200372</v>
      </c>
      <c r="DT181" s="59">
        <f ca="1">AVERAGE(OFFSET($DS$3,0,0,'Données projet'!$E$14+1,1))-AVERAGE(OFFSET($H$3,0,0,'Données projet'!$E$14+1,1))</f>
        <v>325.5873213944476</v>
      </c>
      <c r="DU181" s="59">
        <f t="shared" si="152"/>
        <v>347.9042278368363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0.15619351679672044</v>
      </c>
      <c r="EB181" s="21">
        <f>EXP(-LN(2)/25)*EB180+(1-EXP(-LN(2)/25))/(LN(2)/25)*Calculateur!DW181*Calculateur!DY181*VLOOKUP('Données projet'!$B$14,Paramètres!$A$1:$I$89,3,0)*0.475*44/12</f>
        <v>0.1457256220101466</v>
      </c>
      <c r="EC181" s="21">
        <f>EXP(-LN(2)/2)*EC180+(1-EXP(-LN(2)/2))/(LN(2)/2)*DW181*DZ181*VLOOKUP('Données projet'!$B$14,Paramètres!$A$1:$I$89,3,0)*0.475*44/12</f>
        <v>6.3261823704764135E-22</v>
      </c>
      <c r="ED181" s="22">
        <f t="shared" si="178"/>
        <v>0.30191913880686705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205.5480000480477</v>
      </c>
      <c r="EP181" s="59">
        <f t="shared" si="154"/>
        <v>229.86812144828366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0.3923515817119913</v>
      </c>
      <c r="EW181" s="21">
        <f>EXP(-LN(2)/25)*EW180+(1-EXP(-LN(2)/25))/(LN(2)/25)*Calculateur!ER181*Calculateur!ET181*VLOOKUP('Données projet'!$B$15,Paramètres!$A$1:$I$89,3,0)*0.475*44/12</f>
        <v>9.9467672369862217E-2</v>
      </c>
      <c r="EX181" s="21">
        <f>EXP(-LN(2)/2)*EX180+(1-EXP(-LN(2)/2))/(LN(2)/2)*ER181*EU181*VLOOKUP('Données projet'!$B$15,Paramètres!$A$1:$I$89,3,0)*0.475*44/12</f>
        <v>1.565936824747526E-22</v>
      </c>
      <c r="EY181" s="22">
        <f t="shared" si="181"/>
        <v>0.49181925408185351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3.05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31.274880000000078</v>
      </c>
      <c r="D182" s="11">
        <f t="shared" si="140"/>
        <v>9.653992186412129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108.70616147099719</v>
      </c>
      <c r="H182" s="67">
        <f t="shared" si="110"/>
        <v>283.21778572466792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-1.9065282685915009E-13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542.23071537860039</v>
      </c>
      <c r="T182" s="59">
        <f t="shared" si="142"/>
        <v>667.26143680054633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0.38392612284255073</v>
      </c>
      <c r="AA182" s="21">
        <f>EXP(-LN(2)/25)*AA181+(1-EXP(-LN(2)/25))/(LN(2)/25)*Calculateur!V182*Calculateur!X182*VLOOKUP('Données projet'!$B$9,Paramètres!$A$1:$I$89,3,0)*0.475*44/12</f>
        <v>0.68453462893500783</v>
      </c>
      <c r="AB182" s="21">
        <f>EXP(-LN(2)/2)*AB181+(1-EXP(-LN(2)/2))/(LN(2)/2)*V182*Y182*VLOOKUP('Données projet'!$B$9,Paramètres!$A$1:$I$89,3,0)*0.475*44/12</f>
        <v>5.3972069635476468E-22</v>
      </c>
      <c r="AC182" s="22">
        <f t="shared" si="163"/>
        <v>1.0684607517775586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-1.2710188457276673E-13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427.83834708696861</v>
      </c>
      <c r="AO182" s="59">
        <f t="shared" si="144"/>
        <v>545.63950537101903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0.23035567370553087</v>
      </c>
      <c r="AV182" s="21">
        <f>EXP(-LN(2)/25)*AV181+(1-EXP(-LN(2)/25))/(LN(2)/25)*Calculateur!AQ182*Calculateur!AS182*VLOOKUP('Données projet'!$B$10,Paramètres!$A$1:$I$89,3,0)*0.475*44/12</f>
        <v>0.3955170263888772</v>
      </c>
      <c r="AW182" s="21">
        <f>EXP(-LN(2)/2)*AW181+(1-EXP(-LN(2)/2))/(LN(2)/2)*AQ182*AT182*VLOOKUP('Données projet'!$B$10,Paramètres!$A$1:$I$89,3,0)*0.475*44/12</f>
        <v>3.4634730822905898E-22</v>
      </c>
      <c r="AX182" s="21">
        <f t="shared" si="166"/>
        <v>0.6258727000944081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-2.6602720026858149E-14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210.62109466714364</v>
      </c>
      <c r="BJ182" s="59">
        <f t="shared" si="146"/>
        <v>193.35729443770401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0.34137154240665701</v>
      </c>
      <c r="BQ182" s="21">
        <f>EXP(-LN(2)/25)*BQ181+(1-EXP(-LN(2)/25))/(LN(2)/25)*Calculateur!BL182*Calculateur!BN182*VLOOKUP('Données projet'!$B$11,Paramètres!$A$1:$I$89,3,0)*0.475*44/12</f>
        <v>0.12871150824812383</v>
      </c>
      <c r="BR182" s="21">
        <f>EXP(-LN(2)/2)*BR181+(1-EXP(-LN(2)/2))/(LN(2)/2)*BL182*BO182*VLOOKUP('Données projet'!$B$11,Paramètres!$A$1:$I$89,3,0)*0.475*44/12</f>
        <v>2.9632620527482269E-22</v>
      </c>
      <c r="BS182" s="22">
        <f t="shared" si="169"/>
        <v>0.47008305065478084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368.16165268258442</v>
      </c>
      <c r="CE182" s="59">
        <f t="shared" si="148"/>
        <v>291.32219253157041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0.39111559339518082</v>
      </c>
      <c r="CL182" s="21">
        <f>EXP(-LN(2)/25)*CL181+(1-EXP(-LN(2)/25))/(LN(2)/25)*Calculateur!CG182*Calculateur!CI182*VLOOKUP('Données projet'!$B$12,Paramètres!$A$1:$I$89,3,0)*0.475*44/12</f>
        <v>0.10671867583223783</v>
      </c>
      <c r="CM182" s="21">
        <f>EXP(-LN(2)/2)*CM181+(1-EXP(-LN(2)/2))/(LN(2)/2)*CG182*CJ182*VLOOKUP('Données projet'!$B$12,Paramètres!$A$1:$I$89,3,0)*0.475*44/12</f>
        <v>2.9658272597000779E-22</v>
      </c>
      <c r="CN182" s="22">
        <f t="shared" si="172"/>
        <v>0.49783426922741864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1.1368683772161603E-13</v>
      </c>
      <c r="CU182" s="17">
        <f>CT182*VLOOKUP('Données projet'!$B$13,Paramètres!$A$1:$I$89,3,0)*VLOOKUP('Données projet'!$B$13,Paramètres!$A$1:$I$89,5,0)</f>
        <v>6.7984728957526396E-14</v>
      </c>
      <c r="CV182" s="13">
        <f t="shared" si="173"/>
        <v>1.0682447123141398E-12</v>
      </c>
      <c r="CW182" s="20">
        <f t="shared" si="174"/>
        <v>1.978932943548152E-12</v>
      </c>
      <c r="CX182" s="59">
        <f t="shared" si="122"/>
        <v>290.89488358782569</v>
      </c>
      <c r="CY182" s="59">
        <f ca="1">AVERAGE(OFFSET($CX$3,0,0,'Données projet'!$E$13+1,1))-AVERAGE(OFFSET($H$3,0,0,'Données projet'!$E$13+1,1))</f>
        <v>317.12995176362455</v>
      </c>
      <c r="CZ182" s="59">
        <f t="shared" si="150"/>
        <v>328.11301015275262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0.94418526808946512</v>
      </c>
      <c r="DG182" s="21">
        <f>EXP(-LN(2)/25)*DG181+(1-EXP(-LN(2)/25))/(LN(2)/25)*Calculateur!DB182*Calculateur!DD182*VLOOKUP('Données projet'!$B$13,Paramètres!$A$1:$I$89,3,0)*0.475*44/12</f>
        <v>0.25905283109715677</v>
      </c>
      <c r="DH182" s="21">
        <f>EXP(-LN(2)/2)*DH181+(1-EXP(-LN(2)/2))/(LN(2)/2)*DB182*DE182*VLOOKUP('Données projet'!$B$13,Paramètres!$A$1:$I$89,3,0)*0.475*44/12</f>
        <v>2.1492250501811893E-22</v>
      </c>
      <c r="DI182" s="22">
        <f t="shared" si="175"/>
        <v>1.2032380991866218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2.8421709430404007E-14</v>
      </c>
      <c r="DP182" s="17">
        <f>DO182*VLOOKUP('Données projet'!$B$14,Paramètres!$A$1:$I$89,3,0)*VLOOKUP('Données projet'!$B$14,Paramètres!$A$1:$I$89,5,0)</f>
        <v>2.4829205358400945E-14</v>
      </c>
      <c r="DQ182" s="13">
        <f t="shared" si="176"/>
        <v>4.3867331143352915E-13</v>
      </c>
      <c r="DR182" s="20">
        <f t="shared" si="177"/>
        <v>8.0726688341261168E-13</v>
      </c>
      <c r="DS182" s="59">
        <f t="shared" si="125"/>
        <v>290.89488358782449</v>
      </c>
      <c r="DT182" s="59">
        <f ca="1">AVERAGE(OFFSET($DS$3,0,0,'Données projet'!$E$14+1,1))-AVERAGE(OFFSET($H$3,0,0,'Données projet'!$E$14+1,1))</f>
        <v>325.5873213944476</v>
      </c>
      <c r="DU182" s="59">
        <f t="shared" si="152"/>
        <v>347.9042278368363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0.15313065720097502</v>
      </c>
      <c r="EB182" s="21">
        <f>EXP(-LN(2)/25)*EB181+(1-EXP(-LN(2)/25))/(LN(2)/25)*Calculateur!DW182*Calculateur!DY182*VLOOKUP('Données projet'!$B$14,Paramètres!$A$1:$I$89,3,0)*0.475*44/12</f>
        <v>0.14174074721290175</v>
      </c>
      <c r="EC182" s="21">
        <f>EXP(-LN(2)/2)*EC181+(1-EXP(-LN(2)/2))/(LN(2)/2)*DW182*DZ182*VLOOKUP('Données projet'!$B$14,Paramètres!$A$1:$I$89,3,0)*0.475*44/12</f>
        <v>4.4732864531866598E-22</v>
      </c>
      <c r="ED182" s="22">
        <f t="shared" si="178"/>
        <v>0.29487140441387677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205.5480000480477</v>
      </c>
      <c r="EP182" s="59">
        <f t="shared" si="154"/>
        <v>229.86812144828366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0.384657806505454</v>
      </c>
      <c r="EW182" s="21">
        <f>EXP(-LN(2)/25)*EW181+(1-EXP(-LN(2)/25))/(LN(2)/25)*Calculateur!ER182*Calculateur!ET182*VLOOKUP('Données projet'!$B$15,Paramètres!$A$1:$I$89,3,0)*0.475*44/12</f>
        <v>9.6747723638130778E-2</v>
      </c>
      <c r="EX182" s="21">
        <f>EXP(-LN(2)/2)*EX181+(1-EXP(-LN(2)/2))/(LN(2)/2)*ER182*EU182*VLOOKUP('Données projet'!$B$15,Paramètres!$A$1:$I$89,3,0)*0.475*44/12</f>
        <v>1.1072845476887059E-22</v>
      </c>
      <c r="EY182" s="22">
        <f t="shared" si="181"/>
        <v>0.48140553014358478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3.05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31.449600000000078</v>
      </c>
      <c r="D183" s="11">
        <f t="shared" si="140"/>
        <v>9.7016318496337046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109.25542884962169</v>
      </c>
      <c r="H183" s="67">
        <f t="shared" si="110"/>
        <v>283.60506213811215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-1.9065282685915009E-13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542.23071537860039</v>
      </c>
      <c r="T183" s="59">
        <f t="shared" si="142"/>
        <v>667.26143680054633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0.37639756574542071</v>
      </c>
      <c r="AA183" s="21">
        <f>EXP(-LN(2)/25)*AA182+(1-EXP(-LN(2)/25))/(LN(2)/25)*Calculateur!V183*Calculateur!X183*VLOOKUP('Données projet'!$B$9,Paramètres!$A$1:$I$89,3,0)*0.475*44/12</f>
        <v>0.66581599350866838</v>
      </c>
      <c r="AB183" s="21">
        <f>EXP(-LN(2)/2)*AB182+(1-EXP(-LN(2)/2))/(LN(2)/2)*V183*Y183*VLOOKUP('Données projet'!$B$9,Paramètres!$A$1:$I$89,3,0)*0.475*44/12</f>
        <v>3.8164016433917965E-22</v>
      </c>
      <c r="AC183" s="22">
        <f t="shared" si="163"/>
        <v>1.0422135592540891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-1.2710188457276673E-13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427.83834708696861</v>
      </c>
      <c r="AO183" s="59">
        <f t="shared" si="144"/>
        <v>545.63950537101903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0.22583853944725285</v>
      </c>
      <c r="AV183" s="21">
        <f>EXP(-LN(2)/25)*AV182+(1-EXP(-LN(2)/25))/(LN(2)/25)*Calculateur!AQ183*Calculateur!AS183*VLOOKUP('Données projet'!$B$10,Paramètres!$A$1:$I$89,3,0)*0.475*44/12</f>
        <v>0.3847015925029369</v>
      </c>
      <c r="AW183" s="21">
        <f>EXP(-LN(2)/2)*AW182+(1-EXP(-LN(2)/2))/(LN(2)/2)*AQ183*AT183*VLOOKUP('Données projet'!$B$10,Paramètres!$A$1:$I$89,3,0)*0.475*44/12</f>
        <v>2.4490453029447493E-22</v>
      </c>
      <c r="AX183" s="21">
        <f t="shared" si="166"/>
        <v>0.61054013195018975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-2.6602720026858149E-14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210.62109466714364</v>
      </c>
      <c r="BJ183" s="59">
        <f t="shared" si="146"/>
        <v>193.35729443770401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0.33467745467614368</v>
      </c>
      <c r="BQ183" s="21">
        <f>EXP(-LN(2)/25)*BQ182+(1-EXP(-LN(2)/25))/(LN(2)/25)*Calculateur!BL183*Calculateur!BN183*VLOOKUP('Données projet'!$B$11,Paramètres!$A$1:$I$89,3,0)*0.475*44/12</f>
        <v>0.12519188528643485</v>
      </c>
      <c r="BR183" s="21">
        <f>EXP(-LN(2)/2)*BR182+(1-EXP(-LN(2)/2))/(LN(2)/2)*BL183*BO183*VLOOKUP('Données projet'!$B$11,Paramètres!$A$1:$I$89,3,0)*0.475*44/12</f>
        <v>2.0953426919310404E-22</v>
      </c>
      <c r="BS183" s="22">
        <f t="shared" si="169"/>
        <v>0.4598693399625785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368.16165268258442</v>
      </c>
      <c r="CE183" s="59">
        <f t="shared" si="148"/>
        <v>291.32219253157041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0.38344605516565777</v>
      </c>
      <c r="CL183" s="21">
        <f>EXP(-LN(2)/25)*CL182+(1-EXP(-LN(2)/25))/(LN(2)/25)*Calculateur!CG183*Calculateur!CI183*VLOOKUP('Données projet'!$B$12,Paramètres!$A$1:$I$89,3,0)*0.475*44/12</f>
        <v>0.10380044802951403</v>
      </c>
      <c r="CM183" s="21">
        <f>EXP(-LN(2)/2)*CM182+(1-EXP(-LN(2)/2))/(LN(2)/2)*CG183*CJ183*VLOOKUP('Données projet'!$B$12,Paramètres!$A$1:$I$89,3,0)*0.475*44/12</f>
        <v>2.0971565671618409E-22</v>
      </c>
      <c r="CN183" s="22">
        <f t="shared" si="172"/>
        <v>0.48724650319517182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1.1368683772161603E-13</v>
      </c>
      <c r="CU183" s="17">
        <f>CT183*VLOOKUP('Données projet'!$B$13,Paramètres!$A$1:$I$89,3,0)*VLOOKUP('Données projet'!$B$13,Paramètres!$A$1:$I$89,5,0)</f>
        <v>6.7984728957526396E-14</v>
      </c>
      <c r="CV183" s="13">
        <f t="shared" si="173"/>
        <v>1.0682447123141398E-12</v>
      </c>
      <c r="CW183" s="20">
        <f t="shared" si="174"/>
        <v>1.978932943548152E-12</v>
      </c>
      <c r="CX183" s="59">
        <f t="shared" si="122"/>
        <v>290.93718523935331</v>
      </c>
      <c r="CY183" s="59">
        <f ca="1">AVERAGE(OFFSET($CX$3,0,0,'Données projet'!$E$13+1,1))-AVERAGE(OFFSET($H$3,0,0,'Données projet'!$E$13+1,1))</f>
        <v>317.12995176362455</v>
      </c>
      <c r="CZ183" s="59">
        <f t="shared" si="150"/>
        <v>328.11301015275262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0.92567037087837922</v>
      </c>
      <c r="DG183" s="21">
        <f>EXP(-LN(2)/25)*DG182+(1-EXP(-LN(2)/25))/(LN(2)/25)*Calculateur!DB183*Calculateur!DD183*VLOOKUP('Données projet'!$B$13,Paramètres!$A$1:$I$89,3,0)*0.475*44/12</f>
        <v>0.25196901780780873</v>
      </c>
      <c r="DH183" s="21">
        <f>EXP(-LN(2)/2)*DH182+(1-EXP(-LN(2)/2))/(LN(2)/2)*DB183*DE183*VLOOKUP('Données projet'!$B$13,Paramètres!$A$1:$I$89,3,0)*0.475*44/12</f>
        <v>1.5197316072791169E-22</v>
      </c>
      <c r="DI183" s="22">
        <f t="shared" si="175"/>
        <v>1.177639388686188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2.8421709430404007E-14</v>
      </c>
      <c r="DP183" s="17">
        <f>DO183*VLOOKUP('Données projet'!$B$14,Paramètres!$A$1:$I$89,3,0)*VLOOKUP('Données projet'!$B$14,Paramètres!$A$1:$I$89,5,0)</f>
        <v>2.4829205358400945E-14</v>
      </c>
      <c r="DQ183" s="13">
        <f t="shared" si="176"/>
        <v>4.3867331143352915E-13</v>
      </c>
      <c r="DR183" s="20">
        <f t="shared" si="177"/>
        <v>8.0726688341261168E-13</v>
      </c>
      <c r="DS183" s="59">
        <f t="shared" si="125"/>
        <v>290.93718523935212</v>
      </c>
      <c r="DT183" s="59">
        <f ca="1">AVERAGE(OFFSET($DS$3,0,0,'Données projet'!$E$14+1,1))-AVERAGE(OFFSET($H$3,0,0,'Données projet'!$E$14+1,1))</f>
        <v>325.5873213944476</v>
      </c>
      <c r="DU183" s="59">
        <f t="shared" si="152"/>
        <v>347.9042278368363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0.15012785841374227</v>
      </c>
      <c r="EB183" s="21">
        <f>EXP(-LN(2)/25)*EB182+(1-EXP(-LN(2)/25))/(LN(2)/25)*Calculateur!DW183*Calculateur!DY183*VLOOKUP('Données projet'!$B$14,Paramètres!$A$1:$I$89,3,0)*0.475*44/12</f>
        <v>0.13786483902654301</v>
      </c>
      <c r="EC183" s="21">
        <f>EXP(-LN(2)/2)*EC182+(1-EXP(-LN(2)/2))/(LN(2)/2)*DW183*DZ183*VLOOKUP('Données projet'!$B$14,Paramètres!$A$1:$I$89,3,0)*0.475*44/12</f>
        <v>3.1630911852382067E-22</v>
      </c>
      <c r="ED183" s="22">
        <f t="shared" si="178"/>
        <v>0.28799269744028527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205.5480000480477</v>
      </c>
      <c r="EP183" s="59">
        <f t="shared" si="154"/>
        <v>229.86812144828366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0.37711490153797739</v>
      </c>
      <c r="EW183" s="21">
        <f>EXP(-LN(2)/25)*EW182+(1-EXP(-LN(2)/25))/(LN(2)/25)*Calculateur!ER183*Calculateur!ET183*VLOOKUP('Données projet'!$B$15,Paramètres!$A$1:$I$89,3,0)*0.475*44/12</f>
        <v>9.4102152047504425E-2</v>
      </c>
      <c r="EX183" s="21">
        <f>EXP(-LN(2)/2)*EX182+(1-EXP(-LN(2)/2))/(LN(2)/2)*ER183*EU183*VLOOKUP('Données projet'!$B$15,Paramètres!$A$1:$I$89,3,0)*0.475*44/12</f>
        <v>7.8296841237376301E-23</v>
      </c>
      <c r="EY183" s="22">
        <f t="shared" si="181"/>
        <v>0.47121705358548183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3.05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31.624320000000079</v>
      </c>
      <c r="D184" s="11">
        <f t="shared" si="140"/>
        <v>9.7492407156642482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109.80462015378134</v>
      </c>
      <c r="H184" s="67">
        <f t="shared" si="110"/>
        <v>283.99228491311533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-1.9065282685915009E-13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542.23071537860039</v>
      </c>
      <c r="T184" s="59">
        <f t="shared" si="142"/>
        <v>667.26143680054633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0.36901663906099902</v>
      </c>
      <c r="AA184" s="21">
        <f>EXP(-LN(2)/25)*AA183+(1-EXP(-LN(2)/25))/(LN(2)/25)*Calculateur!V184*Calculateur!X184*VLOOKUP('Données projet'!$B$9,Paramètres!$A$1:$I$89,3,0)*0.475*44/12</f>
        <v>0.6476092201524325</v>
      </c>
      <c r="AB184" s="21">
        <f>EXP(-LN(2)/2)*AB183+(1-EXP(-LN(2)/2))/(LN(2)/2)*V184*Y184*VLOOKUP('Données projet'!$B$9,Paramètres!$A$1:$I$89,3,0)*0.475*44/12</f>
        <v>2.6986034817738234E-22</v>
      </c>
      <c r="AC184" s="22">
        <f t="shared" si="163"/>
        <v>1.0166258592134314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-1.2710188457276673E-13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427.83834708696861</v>
      </c>
      <c r="AO184" s="59">
        <f t="shared" si="144"/>
        <v>545.63950537101903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0.22140998343659982</v>
      </c>
      <c r="AV184" s="21">
        <f>EXP(-LN(2)/25)*AV183+(1-EXP(-LN(2)/25))/(LN(2)/25)*Calculateur!AQ184*Calculateur!AS184*VLOOKUP('Données projet'!$B$10,Paramètres!$A$1:$I$89,3,0)*0.475*44/12</f>
        <v>0.37418190722536659</v>
      </c>
      <c r="AW184" s="21">
        <f>EXP(-LN(2)/2)*AW183+(1-EXP(-LN(2)/2))/(LN(2)/2)*AQ184*AT184*VLOOKUP('Données projet'!$B$10,Paramètres!$A$1:$I$89,3,0)*0.475*44/12</f>
        <v>1.7317365411452949E-22</v>
      </c>
      <c r="AX184" s="21">
        <f t="shared" si="166"/>
        <v>0.59559189066196638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-2.6602720026858149E-14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210.62109466714364</v>
      </c>
      <c r="BJ184" s="59">
        <f t="shared" si="146"/>
        <v>193.35729443770401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0.32811463392303541</v>
      </c>
      <c r="BQ184" s="21">
        <f>EXP(-LN(2)/25)*BQ183+(1-EXP(-LN(2)/25))/(LN(2)/25)*Calculateur!BL184*Calculateur!BN184*VLOOKUP('Données projet'!$B$11,Paramètres!$A$1:$I$89,3,0)*0.475*44/12</f>
        <v>0.12176850659972217</v>
      </c>
      <c r="BR184" s="21">
        <f>EXP(-LN(2)/2)*BR183+(1-EXP(-LN(2)/2))/(LN(2)/2)*BL184*BO184*VLOOKUP('Données projet'!$B$11,Paramètres!$A$1:$I$89,3,0)*0.475*44/12</f>
        <v>1.4816310263741137E-22</v>
      </c>
      <c r="BS184" s="22">
        <f t="shared" si="169"/>
        <v>0.44988314052275757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368.16165268258442</v>
      </c>
      <c r="CE184" s="59">
        <f t="shared" si="148"/>
        <v>291.32219253157041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0.37592691190285926</v>
      </c>
      <c r="CL184" s="21">
        <f>EXP(-LN(2)/25)*CL183+(1-EXP(-LN(2)/25))/(LN(2)/25)*Calculateur!CG184*Calculateur!CI184*VLOOKUP('Données projet'!$B$12,Paramètres!$A$1:$I$89,3,0)*0.475*44/12</f>
        <v>0.10096201931951865</v>
      </c>
      <c r="CM184" s="21">
        <f>EXP(-LN(2)/2)*CM183+(1-EXP(-LN(2)/2))/(LN(2)/2)*CG184*CJ184*VLOOKUP('Données projet'!$B$12,Paramètres!$A$1:$I$89,3,0)*0.475*44/12</f>
        <v>1.4829136298500392E-22</v>
      </c>
      <c r="CN184" s="22">
        <f t="shared" si="172"/>
        <v>0.47688893122237791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1.1368683772161603E-13</v>
      </c>
      <c r="CU184" s="17">
        <f>CT184*VLOOKUP('Données projet'!$B$13,Paramètres!$A$1:$I$89,3,0)*VLOOKUP('Données projet'!$B$13,Paramètres!$A$1:$I$89,5,0)</f>
        <v>6.7984728957526396E-14</v>
      </c>
      <c r="CV184" s="13">
        <f t="shared" si="173"/>
        <v>1.0682447123141398E-12</v>
      </c>
      <c r="CW184" s="20">
        <f t="shared" si="174"/>
        <v>1.978932943548152E-12</v>
      </c>
      <c r="CX184" s="59">
        <f t="shared" si="122"/>
        <v>290.97875305179934</v>
      </c>
      <c r="CY184" s="59">
        <f ca="1">AVERAGE(OFFSET($CX$3,0,0,'Données projet'!$E$13+1,1))-AVERAGE(OFFSET($H$3,0,0,'Données projet'!$E$13+1,1))</f>
        <v>317.12995176362455</v>
      </c>
      <c r="CZ184" s="59">
        <f t="shared" si="150"/>
        <v>328.11301015275262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0.90751853950863048</v>
      </c>
      <c r="DG184" s="21">
        <f>EXP(-LN(2)/25)*DG183+(1-EXP(-LN(2)/25))/(LN(2)/25)*Calculateur!DB184*Calculateur!DD184*VLOOKUP('Données projet'!$B$13,Paramètres!$A$1:$I$89,3,0)*0.475*44/12</f>
        <v>0.24507891176537944</v>
      </c>
      <c r="DH184" s="21">
        <f>EXP(-LN(2)/2)*DH183+(1-EXP(-LN(2)/2))/(LN(2)/2)*DB184*DE184*VLOOKUP('Données projet'!$B$13,Paramètres!$A$1:$I$89,3,0)*0.475*44/12</f>
        <v>1.0746125250905947E-22</v>
      </c>
      <c r="DI184" s="22">
        <f t="shared" si="175"/>
        <v>1.1525974512740098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2.8421709430404007E-14</v>
      </c>
      <c r="DP184" s="17">
        <f>DO184*VLOOKUP('Données projet'!$B$14,Paramètres!$A$1:$I$89,3,0)*VLOOKUP('Données projet'!$B$14,Paramètres!$A$1:$I$89,5,0)</f>
        <v>2.4829205358400945E-14</v>
      </c>
      <c r="DQ184" s="13">
        <f t="shared" si="176"/>
        <v>4.3867331143352915E-13</v>
      </c>
      <c r="DR184" s="20">
        <f t="shared" si="177"/>
        <v>8.0726688341261168E-13</v>
      </c>
      <c r="DS184" s="59">
        <f t="shared" si="125"/>
        <v>290.97875305179815</v>
      </c>
      <c r="DT184" s="59">
        <f ca="1">AVERAGE(OFFSET($DS$3,0,0,'Données projet'!$E$14+1,1))-AVERAGE(OFFSET($H$3,0,0,'Données projet'!$E$14+1,1))</f>
        <v>325.5873213944476</v>
      </c>
      <c r="DU184" s="59">
        <f t="shared" si="152"/>
        <v>347.9042278368363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0.14718394267920074</v>
      </c>
      <c r="EB184" s="21">
        <f>EXP(-LN(2)/25)*EB183+(1-EXP(-LN(2)/25))/(LN(2)/25)*Calculateur!DW184*Calculateur!DY184*VLOOKUP('Données projet'!$B$14,Paramètres!$A$1:$I$89,3,0)*0.475*44/12</f>
        <v>0.13409491775336541</v>
      </c>
      <c r="EC184" s="21">
        <f>EXP(-LN(2)/2)*EC183+(1-EXP(-LN(2)/2))/(LN(2)/2)*DW184*DZ184*VLOOKUP('Données projet'!$B$14,Paramètres!$A$1:$I$89,3,0)*0.475*44/12</f>
        <v>2.2366432265933299E-22</v>
      </c>
      <c r="ED184" s="22">
        <f t="shared" si="178"/>
        <v>0.28127886043256611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205.5480000480477</v>
      </c>
      <c r="EP184" s="59">
        <f t="shared" si="154"/>
        <v>229.86812144828366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0.36971990833619528</v>
      </c>
      <c r="EW184" s="21">
        <f>EXP(-LN(2)/25)*EW183+(1-EXP(-LN(2)/25))/(LN(2)/25)*Calculateur!ER184*Calculateur!ET184*VLOOKUP('Données projet'!$B$15,Paramètres!$A$1:$I$89,3,0)*0.475*44/12</f>
        <v>9.1528923751148308E-2</v>
      </c>
      <c r="EX184" s="21">
        <f>EXP(-LN(2)/2)*EX183+(1-EXP(-LN(2)/2))/(LN(2)/2)*ER184*EU184*VLOOKUP('Données projet'!$B$15,Paramètres!$A$1:$I$89,3,0)*0.475*44/12</f>
        <v>5.5364227384435294E-23</v>
      </c>
      <c r="EY184" s="22">
        <f t="shared" si="181"/>
        <v>0.46124883208734357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3.05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31.79904000000008</v>
      </c>
      <c r="D185" s="11">
        <f t="shared" si="140"/>
        <v>9.7968189744003471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110.35373585255405</v>
      </c>
      <c r="H185" s="67">
        <f t="shared" si="110"/>
        <v>284.37945438041402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-1.9065282685915009E-13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542.23071537860039</v>
      </c>
      <c r="T185" s="59">
        <f t="shared" si="142"/>
        <v>667.26143680054633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0.36178044784693808</v>
      </c>
      <c r="AA185" s="21">
        <f>EXP(-LN(2)/25)*AA184+(1-EXP(-LN(2)/25))/(LN(2)/25)*Calculateur!V185*Calculateur!X185*VLOOKUP('Données projet'!$B$9,Paramètres!$A$1:$I$89,3,0)*0.475*44/12</f>
        <v>0.62990031197107543</v>
      </c>
      <c r="AB185" s="21">
        <f>EXP(-LN(2)/2)*AB184+(1-EXP(-LN(2)/2))/(LN(2)/2)*V185*Y185*VLOOKUP('Données projet'!$B$9,Paramètres!$A$1:$I$89,3,0)*0.475*44/12</f>
        <v>1.9082008216958982E-22</v>
      </c>
      <c r="AC185" s="22">
        <f t="shared" si="163"/>
        <v>0.99168075981801351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-1.2710188457276673E-13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427.83834708696861</v>
      </c>
      <c r="AO185" s="59">
        <f t="shared" si="144"/>
        <v>545.63950537101903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0.21706826870816323</v>
      </c>
      <c r="AV185" s="21">
        <f>EXP(-LN(2)/25)*AV184+(1-EXP(-LN(2)/25))/(LN(2)/25)*Calculateur!AQ185*Calculateur!AS185*VLOOKUP('Données projet'!$B$10,Paramètres!$A$1:$I$89,3,0)*0.475*44/12</f>
        <v>0.36394988329491768</v>
      </c>
      <c r="AW185" s="21">
        <f>EXP(-LN(2)/2)*AW184+(1-EXP(-LN(2)/2))/(LN(2)/2)*AQ185*AT185*VLOOKUP('Données projet'!$B$10,Paramètres!$A$1:$I$89,3,0)*0.475*44/12</f>
        <v>1.2245226514723747E-22</v>
      </c>
      <c r="AX185" s="21">
        <f t="shared" si="166"/>
        <v>0.58101815200308093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-2.6602720026858149E-14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210.62109466714364</v>
      </c>
      <c r="BJ185" s="59">
        <f t="shared" si="146"/>
        <v>193.35729443770401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0.32168050608197019</v>
      </c>
      <c r="BQ185" s="21">
        <f>EXP(-LN(2)/25)*BQ184+(1-EXP(-LN(2)/25))/(LN(2)/25)*Calculateur!BL185*Calculateur!BN185*VLOOKUP('Données projet'!$B$11,Paramètres!$A$1:$I$89,3,0)*0.475*44/12</f>
        <v>0.11843874038322531</v>
      </c>
      <c r="BR185" s="21">
        <f>EXP(-LN(2)/2)*BR184+(1-EXP(-LN(2)/2))/(LN(2)/2)*BL185*BO185*VLOOKUP('Données projet'!$B$11,Paramètres!$A$1:$I$89,3,0)*0.475*44/12</f>
        <v>1.0476713459655203E-22</v>
      </c>
      <c r="BS185" s="22">
        <f t="shared" si="169"/>
        <v>0.44011924646519551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368.16165268258442</v>
      </c>
      <c r="CE185" s="59">
        <f t="shared" si="148"/>
        <v>291.32219253157041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0.36855521445321965</v>
      </c>
      <c r="CL185" s="21">
        <f>EXP(-LN(2)/25)*CL184+(1-EXP(-LN(2)/25))/(LN(2)/25)*Calculateur!CG185*Calculateur!CI185*VLOOKUP('Données projet'!$B$12,Paramètres!$A$1:$I$89,3,0)*0.475*44/12</f>
        <v>9.820120759186457E-2</v>
      </c>
      <c r="CM185" s="21">
        <f>EXP(-LN(2)/2)*CM184+(1-EXP(-LN(2)/2))/(LN(2)/2)*CG185*CJ185*VLOOKUP('Données projet'!$B$12,Paramètres!$A$1:$I$89,3,0)*0.475*44/12</f>
        <v>1.0485782835809207E-22</v>
      </c>
      <c r="CN185" s="22">
        <f t="shared" si="172"/>
        <v>0.46675642204508422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1.1368683772161603E-13</v>
      </c>
      <c r="CU185" s="17">
        <f>CT185*VLOOKUP('Données projet'!$B$13,Paramètres!$A$1:$I$89,3,0)*VLOOKUP('Données projet'!$B$13,Paramètres!$A$1:$I$89,5,0)</f>
        <v>6.7984728957526396E-14</v>
      </c>
      <c r="CV185" s="13">
        <f t="shared" si="173"/>
        <v>1.0682447123141398E-12</v>
      </c>
      <c r="CW185" s="20">
        <f t="shared" si="174"/>
        <v>1.978932943548152E-12</v>
      </c>
      <c r="CX185" s="59">
        <f t="shared" si="122"/>
        <v>291.01959975563108</v>
      </c>
      <c r="CY185" s="59">
        <f ca="1">AVERAGE(OFFSET($CX$3,0,0,'Données projet'!$E$13+1,1))-AVERAGE(OFFSET($H$3,0,0,'Données projet'!$E$13+1,1))</f>
        <v>317.12995176362455</v>
      </c>
      <c r="CZ185" s="59">
        <f t="shared" si="150"/>
        <v>328.11301015275262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0.88972265448051868</v>
      </c>
      <c r="DG185" s="21">
        <f>EXP(-LN(2)/25)*DG184+(1-EXP(-LN(2)/25))/(LN(2)/25)*Calculateur!DB185*Calculateur!DD185*VLOOKUP('Données projet'!$B$13,Paramètres!$A$1:$I$89,3,0)*0.475*44/12</f>
        <v>0.2383772160350153</v>
      </c>
      <c r="DH185" s="21">
        <f>EXP(-LN(2)/2)*DH184+(1-EXP(-LN(2)/2))/(LN(2)/2)*DB185*DE185*VLOOKUP('Données projet'!$B$13,Paramètres!$A$1:$I$89,3,0)*0.475*44/12</f>
        <v>7.5986580363955843E-23</v>
      </c>
      <c r="DI185" s="22">
        <f t="shared" si="175"/>
        <v>1.1280998705155341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2.8421709430404007E-14</v>
      </c>
      <c r="DP185" s="17">
        <f>DO185*VLOOKUP('Données projet'!$B$14,Paramètres!$A$1:$I$89,3,0)*VLOOKUP('Données projet'!$B$14,Paramètres!$A$1:$I$89,5,0)</f>
        <v>2.4829205358400945E-14</v>
      </c>
      <c r="DQ185" s="13">
        <f t="shared" si="176"/>
        <v>4.3867331143352915E-13</v>
      </c>
      <c r="DR185" s="20">
        <f t="shared" si="177"/>
        <v>8.0726688341261168E-13</v>
      </c>
      <c r="DS185" s="59">
        <f t="shared" si="125"/>
        <v>291.01959975562988</v>
      </c>
      <c r="DT185" s="59">
        <f ca="1">AVERAGE(OFFSET($DS$3,0,0,'Données projet'!$E$14+1,1))-AVERAGE(OFFSET($H$3,0,0,'Données projet'!$E$14+1,1))</f>
        <v>325.5873213944476</v>
      </c>
      <c r="DU185" s="59">
        <f t="shared" si="152"/>
        <v>347.9042278368363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0.14429775533660227</v>
      </c>
      <c r="EB185" s="21">
        <f>EXP(-LN(2)/25)*EB184+(1-EXP(-LN(2)/25))/(LN(2)/25)*Calculateur!DW185*Calculateur!DY185*VLOOKUP('Données projet'!$B$14,Paramètres!$A$1:$I$89,3,0)*0.475*44/12</f>
        <v>0.13042808517565438</v>
      </c>
      <c r="EC185" s="21">
        <f>EXP(-LN(2)/2)*EC184+(1-EXP(-LN(2)/2))/(LN(2)/2)*DW185*DZ185*VLOOKUP('Données projet'!$B$14,Paramètres!$A$1:$I$89,3,0)*0.475*44/12</f>
        <v>1.5815455926191034E-22</v>
      </c>
      <c r="ED185" s="22">
        <f t="shared" si="178"/>
        <v>0.27472584051225668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205.5480000480477</v>
      </c>
      <c r="EP185" s="59">
        <f t="shared" si="154"/>
        <v>229.86812144828366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0.36246992644059961</v>
      </c>
      <c r="EW185" s="21">
        <f>EXP(-LN(2)/25)*EW184+(1-EXP(-LN(2)/25))/(LN(2)/25)*Calculateur!ER185*Calculateur!ET185*VLOOKUP('Données projet'!$B$15,Paramètres!$A$1:$I$89,3,0)*0.475*44/12</f>
        <v>8.9026060517876246E-2</v>
      </c>
      <c r="EX185" s="21">
        <f>EXP(-LN(2)/2)*EX184+(1-EXP(-LN(2)/2))/(LN(2)/2)*ER185*EU185*VLOOKUP('Données projet'!$B$15,Paramètres!$A$1:$I$89,3,0)*0.475*44/12</f>
        <v>3.9148420618688151E-23</v>
      </c>
      <c r="EY185" s="22">
        <f t="shared" si="181"/>
        <v>0.45149598695847587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3.05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31.97376000000008</v>
      </c>
      <c r="D186" s="11">
        <f t="shared" si="140"/>
        <v>9.8443668135310354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110.90277640956458</v>
      </c>
      <c r="H186" s="67">
        <f t="shared" si="110"/>
        <v>284.7665708669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-1.9065282685915009E-13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542.23071537860039</v>
      </c>
      <c r="T186" s="59">
        <f t="shared" si="142"/>
        <v>667.26143680054633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0.35468615392894404</v>
      </c>
      <c r="AA186" s="21">
        <f>EXP(-LN(2)/25)*AA185+(1-EXP(-LN(2)/25))/(LN(2)/25)*Calculateur!V186*Calculateur!X186*VLOOKUP('Données projet'!$B$9,Paramètres!$A$1:$I$89,3,0)*0.475*44/12</f>
        <v>0.61267565481520858</v>
      </c>
      <c r="AB186" s="21">
        <f>EXP(-LN(2)/2)*AB185+(1-EXP(-LN(2)/2))/(LN(2)/2)*V186*Y186*VLOOKUP('Données projet'!$B$9,Paramètres!$A$1:$I$89,3,0)*0.475*44/12</f>
        <v>1.3493017408869117E-22</v>
      </c>
      <c r="AC186" s="22">
        <f t="shared" si="163"/>
        <v>0.96736180874415267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-1.2710188457276673E-13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427.83834708696861</v>
      </c>
      <c r="AO186" s="59">
        <f t="shared" si="144"/>
        <v>545.63950537101903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0.2128116923573668</v>
      </c>
      <c r="AV186" s="21">
        <f>EXP(-LN(2)/25)*AV185+(1-EXP(-LN(2)/25))/(LN(2)/25)*Calculateur!AQ186*Calculateur!AS186*VLOOKUP('Données projet'!$B$10,Paramètres!$A$1:$I$89,3,0)*0.475*44/12</f>
        <v>0.35399765459692561</v>
      </c>
      <c r="AW186" s="21">
        <f>EXP(-LN(2)/2)*AW185+(1-EXP(-LN(2)/2))/(LN(2)/2)*AQ186*AT186*VLOOKUP('Données projet'!$B$10,Paramètres!$A$1:$I$89,3,0)*0.475*44/12</f>
        <v>8.6586827057264744E-23</v>
      </c>
      <c r="AX186" s="21">
        <f t="shared" si="166"/>
        <v>0.56680934695429241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-2.6602720026858149E-14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210.62109466714364</v>
      </c>
      <c r="BJ186" s="59">
        <f t="shared" si="146"/>
        <v>193.35729443770401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0.31537254756343774</v>
      </c>
      <c r="BQ186" s="21">
        <f>EXP(-LN(2)/25)*BQ185+(1-EXP(-LN(2)/25))/(LN(2)/25)*Calculateur!BL186*Calculateur!BN186*VLOOKUP('Données projet'!$B$11,Paramètres!$A$1:$I$89,3,0)*0.475*44/12</f>
        <v>0.11520002679902336</v>
      </c>
      <c r="BR186" s="21">
        <f>EXP(-LN(2)/2)*BR185+(1-EXP(-LN(2)/2))/(LN(2)/2)*BL186*BO186*VLOOKUP('Données projet'!$B$11,Paramètres!$A$1:$I$89,3,0)*0.475*44/12</f>
        <v>7.4081551318705695E-23</v>
      </c>
      <c r="BS186" s="22">
        <f t="shared" si="169"/>
        <v>0.4305725743624611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368.16165268258442</v>
      </c>
      <c r="CE186" s="59">
        <f t="shared" si="148"/>
        <v>291.32219253157041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0.36132807149427604</v>
      </c>
      <c r="CL186" s="21">
        <f>EXP(-LN(2)/25)*CL185+(1-EXP(-LN(2)/25))/(LN(2)/25)*Calculateur!CG186*Calculateur!CI186*VLOOKUP('Données projet'!$B$12,Paramètres!$A$1:$I$89,3,0)*0.475*44/12</f>
        <v>9.5515890406087961E-2</v>
      </c>
      <c r="CM186" s="21">
        <f>EXP(-LN(2)/2)*CM185+(1-EXP(-LN(2)/2))/(LN(2)/2)*CG186*CJ186*VLOOKUP('Données projet'!$B$12,Paramètres!$A$1:$I$89,3,0)*0.475*44/12</f>
        <v>7.4145681492501971E-23</v>
      </c>
      <c r="CN186" s="22">
        <f t="shared" si="172"/>
        <v>0.45684396190036403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1.1368683772161603E-13</v>
      </c>
      <c r="CU186" s="17">
        <f>CT186*VLOOKUP('Données projet'!$B$13,Paramètres!$A$1:$I$89,3,0)*VLOOKUP('Données projet'!$B$13,Paramètres!$A$1:$I$89,5,0)</f>
        <v>6.7984728957526396E-14</v>
      </c>
      <c r="CV186" s="13">
        <f t="shared" si="173"/>
        <v>1.0682447123141398E-12</v>
      </c>
      <c r="CW186" s="20">
        <f t="shared" si="174"/>
        <v>1.978932943548152E-12</v>
      </c>
      <c r="CX186" s="59">
        <f t="shared" si="122"/>
        <v>291.05973786047088</v>
      </c>
      <c r="CY186" s="59">
        <f ca="1">AVERAGE(OFFSET($CX$3,0,0,'Données projet'!$E$13+1,1))-AVERAGE(OFFSET($H$3,0,0,'Données projet'!$E$13+1,1))</f>
        <v>317.12995176362455</v>
      </c>
      <c r="CZ186" s="59">
        <f t="shared" si="150"/>
        <v>328.11301015275262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0.87227573590339003</v>
      </c>
      <c r="DG186" s="21">
        <f>EXP(-LN(2)/25)*DG185+(1-EXP(-LN(2)/25))/(LN(2)/25)*Calculateur!DB186*Calculateur!DD186*VLOOKUP('Données projet'!$B$13,Paramètres!$A$1:$I$89,3,0)*0.475*44/12</f>
        <v>0.23185877852682482</v>
      </c>
      <c r="DH186" s="21">
        <f>EXP(-LN(2)/2)*DH185+(1-EXP(-LN(2)/2))/(LN(2)/2)*DB186*DE186*VLOOKUP('Données projet'!$B$13,Paramètres!$A$1:$I$89,3,0)*0.475*44/12</f>
        <v>5.3730626254529733E-23</v>
      </c>
      <c r="DI186" s="22">
        <f t="shared" si="175"/>
        <v>1.1041345144302148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2.8421709430404007E-14</v>
      </c>
      <c r="DP186" s="17">
        <f>DO186*VLOOKUP('Données projet'!$B$14,Paramètres!$A$1:$I$89,3,0)*VLOOKUP('Données projet'!$B$14,Paramètres!$A$1:$I$89,5,0)</f>
        <v>2.4829205358400945E-14</v>
      </c>
      <c r="DQ186" s="13">
        <f t="shared" si="176"/>
        <v>4.3867331143352915E-13</v>
      </c>
      <c r="DR186" s="20">
        <f t="shared" si="177"/>
        <v>8.0726688341261168E-13</v>
      </c>
      <c r="DS186" s="59">
        <f t="shared" si="125"/>
        <v>291.05973786046968</v>
      </c>
      <c r="DT186" s="59">
        <f ca="1">AVERAGE(OFFSET($DS$3,0,0,'Données projet'!$E$14+1,1))-AVERAGE(OFFSET($H$3,0,0,'Données projet'!$E$14+1,1))</f>
        <v>325.5873213944476</v>
      </c>
      <c r="DU186" s="59">
        <f t="shared" si="152"/>
        <v>347.9042278368363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0.14146816436739171</v>
      </c>
      <c r="EB186" s="21">
        <f>EXP(-LN(2)/25)*EB185+(1-EXP(-LN(2)/25))/(LN(2)/25)*Calculateur!DW186*Calculateur!DY186*VLOOKUP('Données projet'!$B$14,Paramètres!$A$1:$I$89,3,0)*0.475*44/12</f>
        <v>0.12686152232761122</v>
      </c>
      <c r="EC186" s="21">
        <f>EXP(-LN(2)/2)*EC185+(1-EXP(-LN(2)/2))/(LN(2)/2)*DW186*DZ186*VLOOKUP('Données projet'!$B$14,Paramètres!$A$1:$I$89,3,0)*0.475*44/12</f>
        <v>1.118321613296665E-22</v>
      </c>
      <c r="ED186" s="22">
        <f t="shared" si="178"/>
        <v>0.2683296866950029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205.5480000480477</v>
      </c>
      <c r="EP186" s="59">
        <f t="shared" si="154"/>
        <v>229.86812144828366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0.35536211226792425</v>
      </c>
      <c r="EW186" s="21">
        <f>EXP(-LN(2)/25)*EW185+(1-EXP(-LN(2)/25))/(LN(2)/25)*Calculateur!ER186*Calculateur!ET186*VLOOKUP('Données projet'!$B$15,Paramètres!$A$1:$I$89,3,0)*0.475*44/12</f>
        <v>8.6591638211337862E-2</v>
      </c>
      <c r="EX186" s="21">
        <f>EXP(-LN(2)/2)*EX185+(1-EXP(-LN(2)/2))/(LN(2)/2)*ER186*EU186*VLOOKUP('Données projet'!$B$15,Paramètres!$A$1:$I$89,3,0)*0.475*44/12</f>
        <v>2.7682113692217647E-23</v>
      </c>
      <c r="EY186" s="22">
        <f t="shared" si="181"/>
        <v>0.44195375047926211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3.05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32.148480000000077</v>
      </c>
      <c r="D187" s="11">
        <f t="shared" si="140"/>
        <v>9.891884418575362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111.45174228307758</v>
      </c>
      <c r="H187" s="67">
        <f t="shared" si="110"/>
        <v>285.15363469568553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-1.9065282685915009E-13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542.23071537860039</v>
      </c>
      <c r="T187" s="59">
        <f t="shared" si="142"/>
        <v>667.26143680054633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0.3477309747875898</v>
      </c>
      <c r="AA187" s="21">
        <f>EXP(-LN(2)/25)*AA186+(1-EXP(-LN(2)/25))/(LN(2)/25)*Calculateur!V187*Calculateur!X187*VLOOKUP('Données projet'!$B$9,Paramètres!$A$1:$I$89,3,0)*0.475*44/12</f>
        <v>0.59592200681507435</v>
      </c>
      <c r="AB187" s="21">
        <f>EXP(-LN(2)/2)*AB186+(1-EXP(-LN(2)/2))/(LN(2)/2)*V187*Y187*VLOOKUP('Données projet'!$B$9,Paramètres!$A$1:$I$89,3,0)*0.475*44/12</f>
        <v>9.5410041084794912E-23</v>
      </c>
      <c r="AC187" s="22">
        <f t="shared" si="163"/>
        <v>0.9436529816026642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-1.2710188457276673E-13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427.83834708696861</v>
      </c>
      <c r="AO187" s="59">
        <f t="shared" si="144"/>
        <v>545.63950537101903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0.20863858487255427</v>
      </c>
      <c r="AV187" s="21">
        <f>EXP(-LN(2)/25)*AV186+(1-EXP(-LN(2)/25))/(LN(2)/25)*Calculateur!AQ187*Calculateur!AS187*VLOOKUP('Données projet'!$B$10,Paramètres!$A$1:$I$89,3,0)*0.475*44/12</f>
        <v>0.34431757011604508</v>
      </c>
      <c r="AW187" s="21">
        <f>EXP(-LN(2)/2)*AW186+(1-EXP(-LN(2)/2))/(LN(2)/2)*AQ187*AT187*VLOOKUP('Données projet'!$B$10,Paramètres!$A$1:$I$89,3,0)*0.475*44/12</f>
        <v>6.1226132573618733E-23</v>
      </c>
      <c r="AX187" s="21">
        <f t="shared" si="166"/>
        <v>0.55295615498859929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-2.6602720026858149E-14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210.62109466714364</v>
      </c>
      <c r="BJ187" s="59">
        <f t="shared" si="146"/>
        <v>193.35729443770401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0.30918828426397893</v>
      </c>
      <c r="BQ187" s="21">
        <f>EXP(-LN(2)/25)*BQ186+(1-EXP(-LN(2)/25))/(LN(2)/25)*Calculateur!BL187*Calculateur!BN187*VLOOKUP('Données projet'!$B$11,Paramètres!$A$1:$I$89,3,0)*0.475*44/12</f>
        <v>0.11204987600809795</v>
      </c>
      <c r="BR187" s="21">
        <f>EXP(-LN(2)/2)*BR186+(1-EXP(-LN(2)/2))/(LN(2)/2)*BL187*BO187*VLOOKUP('Données projet'!$B$11,Paramètres!$A$1:$I$89,3,0)*0.475*44/12</f>
        <v>5.2383567298276021E-23</v>
      </c>
      <c r="BS187" s="22">
        <f t="shared" si="169"/>
        <v>0.42123816027207689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368.16165268258442</v>
      </c>
      <c r="CE187" s="59">
        <f t="shared" si="148"/>
        <v>291.32219253157041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0.35424264840063535</v>
      </c>
      <c r="CL187" s="21">
        <f>EXP(-LN(2)/25)*CL186+(1-EXP(-LN(2)/25))/(LN(2)/25)*Calculateur!CG187*Calculateur!CI187*VLOOKUP('Données projet'!$B$12,Paramètres!$A$1:$I$89,3,0)*0.475*44/12</f>
        <v>9.2904003359971107E-2</v>
      </c>
      <c r="CM187" s="21">
        <f>EXP(-LN(2)/2)*CM186+(1-EXP(-LN(2)/2))/(LN(2)/2)*CG187*CJ187*VLOOKUP('Données projet'!$B$12,Paramètres!$A$1:$I$89,3,0)*0.475*44/12</f>
        <v>5.2428914179046041E-23</v>
      </c>
      <c r="CN187" s="22">
        <f t="shared" si="172"/>
        <v>0.44714665176060647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1.1368683772161603E-13</v>
      </c>
      <c r="CU187" s="17">
        <f>CT187*VLOOKUP('Données projet'!$B$13,Paramètres!$A$1:$I$89,3,0)*VLOOKUP('Données projet'!$B$13,Paramètres!$A$1:$I$89,5,0)</f>
        <v>6.7984728957526396E-14</v>
      </c>
      <c r="CV187" s="13">
        <f t="shared" si="173"/>
        <v>1.0682447123141398E-12</v>
      </c>
      <c r="CW187" s="20">
        <f t="shared" si="174"/>
        <v>1.978932943548152E-12</v>
      </c>
      <c r="CX187" s="59">
        <f t="shared" si="122"/>
        <v>291.09917965892708</v>
      </c>
      <c r="CY187" s="59">
        <f ca="1">AVERAGE(OFFSET($CX$3,0,0,'Données projet'!$E$13+1,1))-AVERAGE(OFFSET($H$3,0,0,'Données projet'!$E$13+1,1))</f>
        <v>317.12995176362455</v>
      </c>
      <c r="CZ187" s="59">
        <f t="shared" si="150"/>
        <v>328.11301015275262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0.85517094075798927</v>
      </c>
      <c r="DG187" s="21">
        <f>EXP(-LN(2)/25)*DG186+(1-EXP(-LN(2)/25))/(LN(2)/25)*Calculateur!DB187*Calculateur!DD187*VLOOKUP('Données projet'!$B$13,Paramètres!$A$1:$I$89,3,0)*0.475*44/12</f>
        <v>0.22551858803508557</v>
      </c>
      <c r="DH187" s="21">
        <f>EXP(-LN(2)/2)*DH186+(1-EXP(-LN(2)/2))/(LN(2)/2)*DB187*DE187*VLOOKUP('Données projet'!$B$13,Paramètres!$A$1:$I$89,3,0)*0.475*44/12</f>
        <v>3.7993290181977922E-23</v>
      </c>
      <c r="DI187" s="22">
        <f t="shared" si="175"/>
        <v>1.0806895287930749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2.8421709430404007E-14</v>
      </c>
      <c r="DP187" s="17">
        <f>DO187*VLOOKUP('Données projet'!$B$14,Paramètres!$A$1:$I$89,3,0)*VLOOKUP('Données projet'!$B$14,Paramètres!$A$1:$I$89,5,0)</f>
        <v>2.4829205358400945E-14</v>
      </c>
      <c r="DQ187" s="13">
        <f t="shared" si="176"/>
        <v>4.3867331143352915E-13</v>
      </c>
      <c r="DR187" s="20">
        <f t="shared" si="177"/>
        <v>8.0726688341261168E-13</v>
      </c>
      <c r="DS187" s="59">
        <f t="shared" si="125"/>
        <v>291.09917965892589</v>
      </c>
      <c r="DT187" s="59">
        <f ca="1">AVERAGE(OFFSET($DS$3,0,0,'Données projet'!$E$14+1,1))-AVERAGE(OFFSET($H$3,0,0,'Données projet'!$E$14+1,1))</f>
        <v>325.5873213944476</v>
      </c>
      <c r="DU187" s="59">
        <f t="shared" si="152"/>
        <v>347.9042278368363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0.13869405995120729</v>
      </c>
      <c r="EB187" s="21">
        <f>EXP(-LN(2)/25)*EB186+(1-EXP(-LN(2)/25))/(LN(2)/25)*Calculateur!DW187*Calculateur!DY187*VLOOKUP('Données projet'!$B$14,Paramètres!$A$1:$I$89,3,0)*0.475*44/12</f>
        <v>0.12339248732820518</v>
      </c>
      <c r="EC187" s="21">
        <f>EXP(-LN(2)/2)*EC186+(1-EXP(-LN(2)/2))/(LN(2)/2)*DW187*DZ187*VLOOKUP('Données projet'!$B$14,Paramètres!$A$1:$I$89,3,0)*0.475*44/12</f>
        <v>7.9077279630955169E-23</v>
      </c>
      <c r="ED187" s="22">
        <f t="shared" si="178"/>
        <v>0.2620865472794125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205.5480000480477</v>
      </c>
      <c r="EP187" s="59">
        <f t="shared" si="154"/>
        <v>229.86812144828366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0.34839367799583648</v>
      </c>
      <c r="EW187" s="21">
        <f>EXP(-LN(2)/25)*EW186+(1-EXP(-LN(2)/25))/(LN(2)/25)*Calculateur!ER187*Calculateur!ET187*VLOOKUP('Données projet'!$B$15,Paramètres!$A$1:$I$89,3,0)*0.475*44/12</f>
        <v>8.4223785310792484E-2</v>
      </c>
      <c r="EX187" s="21">
        <f>EXP(-LN(2)/2)*EX186+(1-EXP(-LN(2)/2))/(LN(2)/2)*ER187*EU187*VLOOKUP('Données projet'!$B$15,Paramètres!$A$1:$I$89,3,0)*0.475*44/12</f>
        <v>1.9574210309344075E-23</v>
      </c>
      <c r="EY187" s="22">
        <f t="shared" si="181"/>
        <v>0.43261746330662898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3.05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32.323200000000078</v>
      </c>
      <c r="D188" s="11">
        <f t="shared" si="140"/>
        <v>9.9393719729191723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112.00063392608826</v>
      </c>
      <c r="H188" s="67">
        <f t="shared" si="110"/>
        <v>285.54064618616769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-1.9065282685915009E-13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542.23071537860039</v>
      </c>
      <c r="T188" s="59">
        <f t="shared" si="142"/>
        <v>667.26143680054633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0.34091218246695715</v>
      </c>
      <c r="AA188" s="21">
        <f>EXP(-LN(2)/25)*AA187+(1-EXP(-LN(2)/25))/(LN(2)/25)*Calculateur!V188*Calculateur!X188*VLOOKUP('Données projet'!$B$9,Paramètres!$A$1:$I$89,3,0)*0.475*44/12</f>
        <v>0.57962648820053975</v>
      </c>
      <c r="AB188" s="21">
        <f>EXP(-LN(2)/2)*AB187+(1-EXP(-LN(2)/2))/(LN(2)/2)*V188*Y188*VLOOKUP('Données projet'!$B$9,Paramètres!$A$1:$I$89,3,0)*0.475*44/12</f>
        <v>6.7465087044345584E-23</v>
      </c>
      <c r="AC188" s="22">
        <f t="shared" si="163"/>
        <v>0.92053867066749695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-1.2710188457276673E-13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427.83834708696861</v>
      </c>
      <c r="AO188" s="59">
        <f t="shared" si="144"/>
        <v>545.63950537101903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0.20454730948017466</v>
      </c>
      <c r="AV188" s="21">
        <f>EXP(-LN(2)/25)*AV187+(1-EXP(-LN(2)/25))/(LN(2)/25)*Calculateur!AQ188*Calculateur!AS188*VLOOKUP('Données projet'!$B$10,Paramètres!$A$1:$I$89,3,0)*0.475*44/12</f>
        <v>0.33490218805434774</v>
      </c>
      <c r="AW188" s="21">
        <f>EXP(-LN(2)/2)*AW187+(1-EXP(-LN(2)/2))/(LN(2)/2)*AQ188*AT188*VLOOKUP('Données projet'!$B$10,Paramètres!$A$1:$I$89,3,0)*0.475*44/12</f>
        <v>4.3293413528632372E-23</v>
      </c>
      <c r="AX188" s="21">
        <f t="shared" si="166"/>
        <v>0.53944949753452243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-2.6602720026858149E-14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210.62109466714364</v>
      </c>
      <c r="BJ188" s="59">
        <f t="shared" si="146"/>
        <v>193.35729443770401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0.30312529059579435</v>
      </c>
      <c r="BQ188" s="21">
        <f>EXP(-LN(2)/25)*BQ187+(1-EXP(-LN(2)/25))/(LN(2)/25)*Calculateur!BL188*Calculateur!BN188*VLOOKUP('Données projet'!$B$11,Paramètres!$A$1:$I$89,3,0)*0.475*44/12</f>
        <v>0.10898586625620962</v>
      </c>
      <c r="BR188" s="21">
        <f>EXP(-LN(2)/2)*BR187+(1-EXP(-LN(2)/2))/(LN(2)/2)*BL188*BO188*VLOOKUP('Données projet'!$B$11,Paramètres!$A$1:$I$89,3,0)*0.475*44/12</f>
        <v>3.7040775659352853E-23</v>
      </c>
      <c r="BS188" s="22">
        <f t="shared" si="169"/>
        <v>0.41211115685200395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368.16165268258442</v>
      </c>
      <c r="CE188" s="59">
        <f t="shared" si="148"/>
        <v>291.32219253157041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0.34729616613217962</v>
      </c>
      <c r="CL188" s="21">
        <f>EXP(-LN(2)/25)*CL187+(1-EXP(-LN(2)/25))/(LN(2)/25)*Calculateur!CG188*Calculateur!CI188*VLOOKUP('Données projet'!$B$12,Paramètres!$A$1:$I$89,3,0)*0.475*44/12</f>
        <v>9.0363538502483493E-2</v>
      </c>
      <c r="CM188" s="21">
        <f>EXP(-LN(2)/2)*CM187+(1-EXP(-LN(2)/2))/(LN(2)/2)*CG188*CJ188*VLOOKUP('Données projet'!$B$12,Paramètres!$A$1:$I$89,3,0)*0.475*44/12</f>
        <v>3.7072840746250991E-23</v>
      </c>
      <c r="CN188" s="22">
        <f t="shared" si="172"/>
        <v>0.43765970463466308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1.1368683772161603E-13</v>
      </c>
      <c r="CU188" s="17">
        <f>CT188*VLOOKUP('Données projet'!$B$13,Paramètres!$A$1:$I$89,3,0)*VLOOKUP('Données projet'!$B$13,Paramètres!$A$1:$I$89,5,0)</f>
        <v>6.7984728957526396E-14</v>
      </c>
      <c r="CV188" s="13">
        <f t="shared" si="173"/>
        <v>1.0682447123141398E-12</v>
      </c>
      <c r="CW188" s="20">
        <f t="shared" si="174"/>
        <v>1.978932943548152E-12</v>
      </c>
      <c r="CX188" s="59">
        <f t="shared" si="122"/>
        <v>291.13793723035872</v>
      </c>
      <c r="CY188" s="59">
        <f ca="1">AVERAGE(OFFSET($CX$3,0,0,'Données projet'!$E$13+1,1))-AVERAGE(OFFSET($H$3,0,0,'Données projet'!$E$13+1,1))</f>
        <v>317.12995176362455</v>
      </c>
      <c r="CZ188" s="59">
        <f t="shared" si="150"/>
        <v>328.11301015275262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0.83840156021249501</v>
      </c>
      <c r="DG188" s="21">
        <f>EXP(-LN(2)/25)*DG187+(1-EXP(-LN(2)/25))/(LN(2)/25)*Calculateur!DB188*Calculateur!DD188*VLOOKUP('Données projet'!$B$13,Paramètres!$A$1:$I$89,3,0)*0.475*44/12</f>
        <v>0.21935177038575904</v>
      </c>
      <c r="DH188" s="21">
        <f>EXP(-LN(2)/2)*DH187+(1-EXP(-LN(2)/2))/(LN(2)/2)*DB188*DE188*VLOOKUP('Données projet'!$B$13,Paramètres!$A$1:$I$89,3,0)*0.475*44/12</f>
        <v>2.6865313127264866E-23</v>
      </c>
      <c r="DI188" s="22">
        <f t="shared" si="175"/>
        <v>1.057753330598254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2.8421709430404007E-14</v>
      </c>
      <c r="DP188" s="17">
        <f>DO188*VLOOKUP('Données projet'!$B$14,Paramètres!$A$1:$I$89,3,0)*VLOOKUP('Données projet'!$B$14,Paramètres!$A$1:$I$89,5,0)</f>
        <v>2.4829205358400945E-14</v>
      </c>
      <c r="DQ188" s="13">
        <f t="shared" si="176"/>
        <v>4.3867331143352915E-13</v>
      </c>
      <c r="DR188" s="20">
        <f t="shared" si="177"/>
        <v>8.0726688341261168E-13</v>
      </c>
      <c r="DS188" s="59">
        <f t="shared" si="125"/>
        <v>291.13793723035752</v>
      </c>
      <c r="DT188" s="59">
        <f ca="1">AVERAGE(OFFSET($DS$3,0,0,'Données projet'!$E$14+1,1))-AVERAGE(OFFSET($H$3,0,0,'Données projet'!$E$14+1,1))</f>
        <v>325.5873213944476</v>
      </c>
      <c r="DU188" s="59">
        <f t="shared" si="152"/>
        <v>347.9042278368363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0.13597435403058761</v>
      </c>
      <c r="EB188" s="21">
        <f>EXP(-LN(2)/25)*EB187+(1-EXP(-LN(2)/25))/(LN(2)/25)*Calculateur!DW188*Calculateur!DY188*VLOOKUP('Données projet'!$B$14,Paramètres!$A$1:$I$89,3,0)*0.475*44/12</f>
        <v>0.12001831327328652</v>
      </c>
      <c r="EC188" s="21">
        <f>EXP(-LN(2)/2)*EC187+(1-EXP(-LN(2)/2))/(LN(2)/2)*DW188*DZ188*VLOOKUP('Données projet'!$B$14,Paramètres!$A$1:$I$89,3,0)*0.475*44/12</f>
        <v>5.5916080664833248E-23</v>
      </c>
      <c r="ED188" s="22">
        <f t="shared" si="178"/>
        <v>0.25599266730387416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205.5480000480477</v>
      </c>
      <c r="EP188" s="59">
        <f t="shared" si="154"/>
        <v>229.86812144828366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0.34156189046949914</v>
      </c>
      <c r="EW188" s="21">
        <f>EXP(-LN(2)/25)*EW187+(1-EXP(-LN(2)/25))/(LN(2)/25)*Calculateur!ER188*Calculateur!ET188*VLOOKUP('Données projet'!$B$15,Paramètres!$A$1:$I$89,3,0)*0.475*44/12</f>
        <v>8.1920681472332488E-2</v>
      </c>
      <c r="EX188" s="21">
        <f>EXP(-LN(2)/2)*EX187+(1-EXP(-LN(2)/2))/(LN(2)/2)*ER188*EU188*VLOOKUP('Données projet'!$B$15,Paramètres!$A$1:$I$89,3,0)*0.475*44/12</f>
        <v>1.3841056846108824E-23</v>
      </c>
      <c r="EY188" s="22">
        <f t="shared" si="181"/>
        <v>0.42348257194183164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3.05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32.497920000000079</v>
      </c>
      <c r="D189" s="11">
        <f t="shared" si="140"/>
        <v>9.9868296578509863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112.54945178641105</v>
      </c>
      <c r="H189" s="67">
        <f t="shared" si="110"/>
        <v>285.9276056540906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-1.9065282685915009E-13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542.23071537860039</v>
      </c>
      <c r="T189" s="59">
        <f t="shared" si="142"/>
        <v>667.26143680054633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0.33422710250467946</v>
      </c>
      <c r="AA189" s="21">
        <f>EXP(-LN(2)/25)*AA188+(1-EXP(-LN(2)/25))/(LN(2)/25)*Calculateur!V189*Calculateur!X189*VLOOKUP('Données projet'!$B$9,Paramètres!$A$1:$I$89,3,0)*0.475*44/12</f>
        <v>0.56377657139946369</v>
      </c>
      <c r="AB189" s="21">
        <f>EXP(-LN(2)/2)*AB188+(1-EXP(-LN(2)/2))/(LN(2)/2)*V189*Y189*VLOOKUP('Données projet'!$B$9,Paramètres!$A$1:$I$89,3,0)*0.475*44/12</f>
        <v>4.7705020542397456E-23</v>
      </c>
      <c r="AC189" s="22">
        <f t="shared" si="163"/>
        <v>0.89800367390414315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-1.2710188457276673E-13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427.83834708696861</v>
      </c>
      <c r="AO189" s="59">
        <f t="shared" si="144"/>
        <v>545.63950537101903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0.20053626150280804</v>
      </c>
      <c r="AV189" s="21">
        <f>EXP(-LN(2)/25)*AV188+(1-EXP(-LN(2)/25))/(LN(2)/25)*Calculateur!AQ189*Calculateur!AS189*VLOOKUP('Données projet'!$B$10,Paramètres!$A$1:$I$89,3,0)*0.475*44/12</f>
        <v>0.32574427011026097</v>
      </c>
      <c r="AW189" s="21">
        <f>EXP(-LN(2)/2)*AW188+(1-EXP(-LN(2)/2))/(LN(2)/2)*AQ189*AT189*VLOOKUP('Données projet'!$B$10,Paramètres!$A$1:$I$89,3,0)*0.475*44/12</f>
        <v>3.0613066286809366E-23</v>
      </c>
      <c r="AX189" s="21">
        <f t="shared" si="166"/>
        <v>0.52628053161306898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-2.6602720026858149E-14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210.62109466714364</v>
      </c>
      <c r="BJ189" s="59">
        <f t="shared" si="146"/>
        <v>193.35729443770401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0.29718118853538189</v>
      </c>
      <c r="BQ189" s="21">
        <f>EXP(-LN(2)/25)*BQ188+(1-EXP(-LN(2)/25))/(LN(2)/25)*Calculateur!BL189*Calculateur!BN189*VLOOKUP('Données projet'!$B$11,Paramètres!$A$1:$I$89,3,0)*0.475*44/12</f>
        <v>0.10600564201211596</v>
      </c>
      <c r="BR189" s="21">
        <f>EXP(-LN(2)/2)*BR188+(1-EXP(-LN(2)/2))/(LN(2)/2)*BL189*BO189*VLOOKUP('Données projet'!$B$11,Paramètres!$A$1:$I$89,3,0)*0.475*44/12</f>
        <v>2.6191783649138016E-23</v>
      </c>
      <c r="BS189" s="22">
        <f t="shared" si="169"/>
        <v>0.40318683054749782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368.16165268258442</v>
      </c>
      <c r="CE189" s="59">
        <f t="shared" si="148"/>
        <v>291.32219253157041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0.34048590014407248</v>
      </c>
      <c r="CL189" s="21">
        <f>EXP(-LN(2)/25)*CL188+(1-EXP(-LN(2)/25))/(LN(2)/25)*Calculateur!CG189*Calculateur!CI189*VLOOKUP('Données projet'!$B$12,Paramètres!$A$1:$I$89,3,0)*0.475*44/12</f>
        <v>8.7892542790121125E-2</v>
      </c>
      <c r="CM189" s="21">
        <f>EXP(-LN(2)/2)*CM188+(1-EXP(-LN(2)/2))/(LN(2)/2)*CG189*CJ189*VLOOKUP('Données projet'!$B$12,Paramètres!$A$1:$I$89,3,0)*0.475*44/12</f>
        <v>2.6214457089523026E-23</v>
      </c>
      <c r="CN189" s="22">
        <f t="shared" si="172"/>
        <v>0.42837844293419358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1.1368683772161603E-13</v>
      </c>
      <c r="CU189" s="17">
        <f>CT189*VLOOKUP('Données projet'!$B$13,Paramètres!$A$1:$I$89,3,0)*VLOOKUP('Données projet'!$B$13,Paramètres!$A$1:$I$89,5,0)</f>
        <v>6.7984728957526396E-14</v>
      </c>
      <c r="CV189" s="13">
        <f t="shared" si="173"/>
        <v>1.0682447123141398E-12</v>
      </c>
      <c r="CW189" s="20">
        <f t="shared" si="174"/>
        <v>1.978932943548152E-12</v>
      </c>
      <c r="CX189" s="59">
        <f t="shared" si="122"/>
        <v>291.17602244457498</v>
      </c>
      <c r="CY189" s="59">
        <f ca="1">AVERAGE(OFFSET($CX$3,0,0,'Données projet'!$E$13+1,1))-AVERAGE(OFFSET($H$3,0,0,'Données projet'!$E$13+1,1))</f>
        <v>317.12995176362455</v>
      </c>
      <c r="CZ189" s="59">
        <f t="shared" si="150"/>
        <v>328.11301015275262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0.82196101699118573</v>
      </c>
      <c r="DG189" s="21">
        <f>EXP(-LN(2)/25)*DG188+(1-EXP(-LN(2)/25))/(LN(2)/25)*Calculateur!DB189*Calculateur!DD189*VLOOKUP('Données projet'!$B$13,Paramètres!$A$1:$I$89,3,0)*0.475*44/12</f>
        <v>0.2133535846893522</v>
      </c>
      <c r="DH189" s="21">
        <f>EXP(-LN(2)/2)*DH188+(1-EXP(-LN(2)/2))/(LN(2)/2)*DB189*DE189*VLOOKUP('Données projet'!$B$13,Paramètres!$A$1:$I$89,3,0)*0.475*44/12</f>
        <v>1.8996645090988961E-23</v>
      </c>
      <c r="DI189" s="22">
        <f t="shared" si="175"/>
        <v>1.0353146016805379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2.8421709430404007E-14</v>
      </c>
      <c r="DP189" s="17">
        <f>DO189*VLOOKUP('Données projet'!$B$14,Paramètres!$A$1:$I$89,3,0)*VLOOKUP('Données projet'!$B$14,Paramètres!$A$1:$I$89,5,0)</f>
        <v>2.4829205358400945E-14</v>
      </c>
      <c r="DQ189" s="13">
        <f t="shared" si="176"/>
        <v>4.3867331143352915E-13</v>
      </c>
      <c r="DR189" s="20">
        <f t="shared" si="177"/>
        <v>8.0726688341261168E-13</v>
      </c>
      <c r="DS189" s="59">
        <f t="shared" si="125"/>
        <v>291.17602244457379</v>
      </c>
      <c r="DT189" s="59">
        <f ca="1">AVERAGE(OFFSET($DS$3,0,0,'Données projet'!$E$14+1,1))-AVERAGE(OFFSET($H$3,0,0,'Données projet'!$E$14+1,1))</f>
        <v>325.5873213944476</v>
      </c>
      <c r="DU189" s="59">
        <f t="shared" si="152"/>
        <v>347.9042278368363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0.13330797988421447</v>
      </c>
      <c r="EB189" s="21">
        <f>EXP(-LN(2)/25)*EB188+(1-EXP(-LN(2)/25))/(LN(2)/25)*Calculateur!DW189*Calculateur!DY189*VLOOKUP('Données projet'!$B$14,Paramètres!$A$1:$I$89,3,0)*0.475*44/12</f>
        <v>0.11673640618533972</v>
      </c>
      <c r="EC189" s="21">
        <f>EXP(-LN(2)/2)*EC188+(1-EXP(-LN(2)/2))/(LN(2)/2)*DW189*DZ189*VLOOKUP('Données projet'!$B$14,Paramètres!$A$1:$I$89,3,0)*0.475*44/12</f>
        <v>3.9538639815477584E-23</v>
      </c>
      <c r="ED189" s="22">
        <f t="shared" si="178"/>
        <v>0.2500443860695542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205.5480000480477</v>
      </c>
      <c r="EP189" s="59">
        <f t="shared" si="154"/>
        <v>229.86812144828366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0.33486407012957436</v>
      </c>
      <c r="EW189" s="21">
        <f>EXP(-LN(2)/25)*EW188+(1-EXP(-LN(2)/25))/(LN(2)/25)*Calculateur!ER189*Calculateur!ET189*VLOOKUP('Données projet'!$B$15,Paramètres!$A$1:$I$89,3,0)*0.475*44/12</f>
        <v>7.9680556129450145E-2</v>
      </c>
      <c r="EX189" s="21">
        <f>EXP(-LN(2)/2)*EX188+(1-EXP(-LN(2)/2))/(LN(2)/2)*ER189*EU189*VLOOKUP('Données projet'!$B$15,Paramètres!$A$1:$I$89,3,0)*0.475*44/12</f>
        <v>9.7871051546720376E-24</v>
      </c>
      <c r="EY189" s="22">
        <f t="shared" si="181"/>
        <v>0.4145446262590245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3.05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32.672640000000079</v>
      </c>
      <c r="D190" s="11">
        <f t="shared" si="140"/>
        <v>10.034257652597153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113.09819630676651</v>
      </c>
      <c r="H190" s="67">
        <f t="shared" si="110"/>
        <v>286.31451341160681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-1.9065282685915009E-13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542.23071537860039</v>
      </c>
      <c r="T190" s="59">
        <f t="shared" si="142"/>
        <v>667.26143680054633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0.32767311288296586</v>
      </c>
      <c r="AA190" s="21">
        <f>EXP(-LN(2)/25)*AA189+(1-EXP(-LN(2)/25))/(LN(2)/25)*Calculateur!V190*Calculateur!X190*VLOOKUP('Données projet'!$B$9,Paramètres!$A$1:$I$89,3,0)*0.475*44/12</f>
        <v>0.54836007140682397</v>
      </c>
      <c r="AB190" s="21">
        <f>EXP(-LN(2)/2)*AB189+(1-EXP(-LN(2)/2))/(LN(2)/2)*V190*Y190*VLOOKUP('Données projet'!$B$9,Paramètres!$A$1:$I$89,3,0)*0.475*44/12</f>
        <v>3.3732543522172792E-23</v>
      </c>
      <c r="AC190" s="22">
        <f t="shared" si="163"/>
        <v>0.87603318428978982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-1.2710188457276673E-13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427.83834708696861</v>
      </c>
      <c r="AO190" s="59">
        <f t="shared" si="144"/>
        <v>545.63950537101903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0.19660386772977989</v>
      </c>
      <c r="AV190" s="21">
        <f>EXP(-LN(2)/25)*AV189+(1-EXP(-LN(2)/25))/(LN(2)/25)*Calculateur!AQ190*Calculateur!AS190*VLOOKUP('Données projet'!$B$10,Paramètres!$A$1:$I$89,3,0)*0.475*44/12</f>
        <v>0.31683677591394921</v>
      </c>
      <c r="AW190" s="21">
        <f>EXP(-LN(2)/2)*AW189+(1-EXP(-LN(2)/2))/(LN(2)/2)*AQ190*AT190*VLOOKUP('Données projet'!$B$10,Paramètres!$A$1:$I$89,3,0)*0.475*44/12</f>
        <v>2.1646706764316186E-23</v>
      </c>
      <c r="AX190" s="21">
        <f t="shared" si="166"/>
        <v>0.5134406436437291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-2.6602720026858149E-14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210.62109466714364</v>
      </c>
      <c r="BJ190" s="59">
        <f t="shared" si="146"/>
        <v>193.35729443770401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0.29135364669082986</v>
      </c>
      <c r="BQ190" s="21">
        <f>EXP(-LN(2)/25)*BQ189+(1-EXP(-LN(2)/25))/(LN(2)/25)*Calculateur!BL190*Calculateur!BN190*VLOOKUP('Données projet'!$B$11,Paramètres!$A$1:$I$89,3,0)*0.475*44/12</f>
        <v>0.10310691215670022</v>
      </c>
      <c r="BR190" s="21">
        <f>EXP(-LN(2)/2)*BR189+(1-EXP(-LN(2)/2))/(LN(2)/2)*BL190*BO190*VLOOKUP('Données projet'!$B$11,Paramètres!$A$1:$I$89,3,0)*0.475*44/12</f>
        <v>1.852038782967643E-23</v>
      </c>
      <c r="BS190" s="22">
        <f t="shared" si="169"/>
        <v>0.39446055884753006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368.16165268258442</v>
      </c>
      <c r="CE190" s="59">
        <f t="shared" si="148"/>
        <v>291.32219253157041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0.33380917931814003</v>
      </c>
      <c r="CL190" s="21">
        <f>EXP(-LN(2)/25)*CL189+(1-EXP(-LN(2)/25))/(LN(2)/25)*Calculateur!CG190*Calculateur!CI190*VLOOKUP('Données projet'!$B$12,Paramètres!$A$1:$I$89,3,0)*0.475*44/12</f>
        <v>8.5489116585457325E-2</v>
      </c>
      <c r="CM190" s="21">
        <f>EXP(-LN(2)/2)*CM189+(1-EXP(-LN(2)/2))/(LN(2)/2)*CG190*CJ190*VLOOKUP('Données projet'!$B$12,Paramètres!$A$1:$I$89,3,0)*0.475*44/12</f>
        <v>1.8536420373125499E-23</v>
      </c>
      <c r="CN190" s="22">
        <f t="shared" si="172"/>
        <v>0.41929829590359735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1.1368683772161603E-13</v>
      </c>
      <c r="CU190" s="17">
        <f>CT190*VLOOKUP('Données projet'!$B$13,Paramètres!$A$1:$I$89,3,0)*VLOOKUP('Données projet'!$B$13,Paramètres!$A$1:$I$89,5,0)</f>
        <v>6.7984728957526396E-14</v>
      </c>
      <c r="CV190" s="13">
        <f t="shared" si="173"/>
        <v>1.0682447123141398E-12</v>
      </c>
      <c r="CW190" s="20">
        <f t="shared" si="174"/>
        <v>1.978932943548152E-12</v>
      </c>
      <c r="CX190" s="59">
        <f t="shared" si="122"/>
        <v>291.21344696547038</v>
      </c>
      <c r="CY190" s="59">
        <f ca="1">AVERAGE(OFFSET($CX$3,0,0,'Données projet'!$E$13+1,1))-AVERAGE(OFFSET($H$3,0,0,'Données projet'!$E$13+1,1))</f>
        <v>317.12995176362455</v>
      </c>
      <c r="CZ190" s="59">
        <f t="shared" si="150"/>
        <v>328.11301015275262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0.80584286279470507</v>
      </c>
      <c r="DG190" s="21">
        <f>EXP(-LN(2)/25)*DG189+(1-EXP(-LN(2)/25))/(LN(2)/25)*Calculateur!DB190*Calculateur!DD190*VLOOKUP('Données projet'!$B$13,Paramètres!$A$1:$I$89,3,0)*0.475*44/12</f>
        <v>0.20751941969624446</v>
      </c>
      <c r="DH190" s="21">
        <f>EXP(-LN(2)/2)*DH189+(1-EXP(-LN(2)/2))/(LN(2)/2)*DB190*DE190*VLOOKUP('Données projet'!$B$13,Paramètres!$A$1:$I$89,3,0)*0.475*44/12</f>
        <v>1.3432656563632433E-23</v>
      </c>
      <c r="DI190" s="22">
        <f t="shared" si="175"/>
        <v>1.0133622824909496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2.8421709430404007E-14</v>
      </c>
      <c r="DP190" s="17">
        <f>DO190*VLOOKUP('Données projet'!$B$14,Paramètres!$A$1:$I$89,3,0)*VLOOKUP('Données projet'!$B$14,Paramètres!$A$1:$I$89,5,0)</f>
        <v>2.4829205358400945E-14</v>
      </c>
      <c r="DQ190" s="13">
        <f t="shared" si="176"/>
        <v>4.3867331143352915E-13</v>
      </c>
      <c r="DR190" s="20">
        <f t="shared" si="177"/>
        <v>8.0726688341261168E-13</v>
      </c>
      <c r="DS190" s="59">
        <f t="shared" si="125"/>
        <v>291.21344696546919</v>
      </c>
      <c r="DT190" s="59">
        <f ca="1">AVERAGE(OFFSET($DS$3,0,0,'Données projet'!$E$14+1,1))-AVERAGE(OFFSET($H$3,0,0,'Données projet'!$E$14+1,1))</f>
        <v>325.5873213944476</v>
      </c>
      <c r="DU190" s="59">
        <f t="shared" si="152"/>
        <v>347.9042278368363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0.13069389170852408</v>
      </c>
      <c r="EB190" s="21">
        <f>EXP(-LN(2)/25)*EB189+(1-EXP(-LN(2)/25))/(LN(2)/25)*Calculateur!DW190*Calculateur!DY190*VLOOKUP('Données projet'!$B$14,Paramètres!$A$1:$I$89,3,0)*0.475*44/12</f>
        <v>0.1135442430193008</v>
      </c>
      <c r="EC190" s="21">
        <f>EXP(-LN(2)/2)*EC189+(1-EXP(-LN(2)/2))/(LN(2)/2)*DW190*DZ190*VLOOKUP('Données projet'!$B$14,Paramètres!$A$1:$I$89,3,0)*0.475*44/12</f>
        <v>2.7958040332416624E-23</v>
      </c>
      <c r="ED190" s="22">
        <f t="shared" si="178"/>
        <v>0.24423813472782488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205.5480000480477</v>
      </c>
      <c r="EP190" s="59">
        <f t="shared" si="154"/>
        <v>229.86812144828366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0.32829758996124847</v>
      </c>
      <c r="EW190" s="21">
        <f>EXP(-LN(2)/25)*EW189+(1-EXP(-LN(2)/25))/(LN(2)/25)*Calculateur!ER190*Calculateur!ET190*VLOOKUP('Données projet'!$B$15,Paramètres!$A$1:$I$89,3,0)*0.475*44/12</f>
        <v>7.7501687131871999E-2</v>
      </c>
      <c r="EX190" s="21">
        <f>EXP(-LN(2)/2)*EX189+(1-EXP(-LN(2)/2))/(LN(2)/2)*ER190*EU190*VLOOKUP('Données projet'!$B$15,Paramètres!$A$1:$I$89,3,0)*0.475*44/12</f>
        <v>6.9205284230544118E-24</v>
      </c>
      <c r="EY190" s="22">
        <f t="shared" si="181"/>
        <v>0.40579927709312047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3.05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32.84736000000008</v>
      </c>
      <c r="D191" s="11">
        <f t="shared" si="140"/>
        <v>10.081656134356214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113.64686792486609</v>
      </c>
      <c r="H191" s="67">
        <f t="shared" si="110"/>
        <v>286.70136976733716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-1.9065282685915009E-13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542.23071537860039</v>
      </c>
      <c r="T191" s="59">
        <f t="shared" si="142"/>
        <v>667.26143680054633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0.32124764300019515</v>
      </c>
      <c r="AA191" s="21">
        <f>EXP(-LN(2)/25)*AA190+(1-EXP(-LN(2)/25))/(LN(2)/25)*Calculateur!V191*Calculateur!X191*VLOOKUP('Données projet'!$B$9,Paramètres!$A$1:$I$89,3,0)*0.475*44/12</f>
        <v>0.53336513641720151</v>
      </c>
      <c r="AB191" s="21">
        <f>EXP(-LN(2)/2)*AB190+(1-EXP(-LN(2)/2))/(LN(2)/2)*V191*Y191*VLOOKUP('Données projet'!$B$9,Paramètres!$A$1:$I$89,3,0)*0.475*44/12</f>
        <v>2.3852510271198728E-23</v>
      </c>
      <c r="AC191" s="22">
        <f t="shared" si="163"/>
        <v>0.85461277941739666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-1.2710188457276673E-13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427.83834708696861</v>
      </c>
      <c r="AO191" s="59">
        <f t="shared" si="144"/>
        <v>545.63950537101903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0.19274858580011744</v>
      </c>
      <c r="AV191" s="21">
        <f>EXP(-LN(2)/25)*AV190+(1-EXP(-LN(2)/25))/(LN(2)/25)*Calculateur!AQ191*Calculateur!AS191*VLOOKUP('Données projet'!$B$10,Paramètres!$A$1:$I$89,3,0)*0.475*44/12</f>
        <v>0.30817285761486035</v>
      </c>
      <c r="AW191" s="21">
        <f>EXP(-LN(2)/2)*AW190+(1-EXP(-LN(2)/2))/(LN(2)/2)*AQ191*AT191*VLOOKUP('Données projet'!$B$10,Paramètres!$A$1:$I$89,3,0)*0.475*44/12</f>
        <v>1.5306533143404683E-23</v>
      </c>
      <c r="AX191" s="21">
        <f t="shared" si="166"/>
        <v>0.5009214434149778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-2.6602720026858149E-14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210.62109466714364</v>
      </c>
      <c r="BJ191" s="59">
        <f t="shared" si="146"/>
        <v>193.35729443770401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0.28564037938739995</v>
      </c>
      <c r="BQ191" s="21">
        <f>EXP(-LN(2)/25)*BQ190+(1-EXP(-LN(2)/25))/(LN(2)/25)*Calculateur!BL191*Calculateur!BN191*VLOOKUP('Données projet'!$B$11,Paramètres!$A$1:$I$89,3,0)*0.475*44/12</f>
        <v>0.10028744822161839</v>
      </c>
      <c r="BR191" s="21">
        <f>EXP(-LN(2)/2)*BR190+(1-EXP(-LN(2)/2))/(LN(2)/2)*BL191*BO191*VLOOKUP('Données projet'!$B$11,Paramètres!$A$1:$I$89,3,0)*0.475*44/12</f>
        <v>1.309589182456901E-23</v>
      </c>
      <c r="BS191" s="22">
        <f t="shared" si="169"/>
        <v>0.38592782760901834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368.16165268258442</v>
      </c>
      <c r="CE191" s="59">
        <f t="shared" si="148"/>
        <v>291.32219253157041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0.32726338491520651</v>
      </c>
      <c r="CL191" s="21">
        <f>EXP(-LN(2)/25)*CL190+(1-EXP(-LN(2)/25))/(LN(2)/25)*Calculateur!CG191*Calculateur!CI191*VLOOKUP('Données projet'!$B$12,Paramètres!$A$1:$I$89,3,0)*0.475*44/12</f>
        <v>8.3151412196750735E-2</v>
      </c>
      <c r="CM191" s="21">
        <f>EXP(-LN(2)/2)*CM190+(1-EXP(-LN(2)/2))/(LN(2)/2)*CG191*CJ191*VLOOKUP('Données projet'!$B$12,Paramètres!$A$1:$I$89,3,0)*0.475*44/12</f>
        <v>1.3107228544761515E-23</v>
      </c>
      <c r="CN191" s="22">
        <f t="shared" si="172"/>
        <v>0.41041479711195727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1.1368683772161603E-13</v>
      </c>
      <c r="CU191" s="17">
        <f>CT191*VLOOKUP('Données projet'!$B$13,Paramètres!$A$1:$I$89,3,0)*VLOOKUP('Données projet'!$B$13,Paramètres!$A$1:$I$89,5,0)</f>
        <v>6.7984728957526396E-14</v>
      </c>
      <c r="CV191" s="13">
        <f t="shared" si="173"/>
        <v>1.0682447123141398E-12</v>
      </c>
      <c r="CW191" s="20">
        <f t="shared" si="174"/>
        <v>1.978932943548152E-12</v>
      </c>
      <c r="CX191" s="59">
        <f t="shared" si="122"/>
        <v>291.25022225459691</v>
      </c>
      <c r="CY191" s="59">
        <f ca="1">AVERAGE(OFFSET($CX$3,0,0,'Données projet'!$E$13+1,1))-AVERAGE(OFFSET($H$3,0,0,'Données projet'!$E$13+1,1))</f>
        <v>317.12995176362455</v>
      </c>
      <c r="CZ191" s="59">
        <f t="shared" si="150"/>
        <v>328.11301015275262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0.79004077577091403</v>
      </c>
      <c r="DG191" s="21">
        <f>EXP(-LN(2)/25)*DG190+(1-EXP(-LN(2)/25))/(LN(2)/25)*Calculateur!DB191*Calculateur!DD191*VLOOKUP('Données projet'!$B$13,Paramètres!$A$1:$I$89,3,0)*0.475*44/12</f>
        <v>0.20184479025167867</v>
      </c>
      <c r="DH191" s="21">
        <f>EXP(-LN(2)/2)*DH190+(1-EXP(-LN(2)/2))/(LN(2)/2)*DB191*DE191*VLOOKUP('Données projet'!$B$13,Paramètres!$A$1:$I$89,3,0)*0.475*44/12</f>
        <v>9.4983225454944804E-24</v>
      </c>
      <c r="DI191" s="22">
        <f t="shared" si="175"/>
        <v>0.9918855660225927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2.8421709430404007E-14</v>
      </c>
      <c r="DP191" s="17">
        <f>DO191*VLOOKUP('Données projet'!$B$14,Paramètres!$A$1:$I$89,3,0)*VLOOKUP('Données projet'!$B$14,Paramètres!$A$1:$I$89,5,0)</f>
        <v>2.4829205358400945E-14</v>
      </c>
      <c r="DQ191" s="13">
        <f t="shared" si="176"/>
        <v>4.3867331143352915E-13</v>
      </c>
      <c r="DR191" s="20">
        <f t="shared" si="177"/>
        <v>8.0726688341261168E-13</v>
      </c>
      <c r="DS191" s="59">
        <f t="shared" si="125"/>
        <v>291.25022225459571</v>
      </c>
      <c r="DT191" s="59">
        <f ca="1">AVERAGE(OFFSET($DS$3,0,0,'Données projet'!$E$14+1,1))-AVERAGE(OFFSET($H$3,0,0,'Données projet'!$E$14+1,1))</f>
        <v>325.5873213944476</v>
      </c>
      <c r="DU191" s="59">
        <f t="shared" si="152"/>
        <v>347.9042278368363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0.12813106420752263</v>
      </c>
      <c r="EB191" s="21">
        <f>EXP(-LN(2)/25)*EB190+(1-EXP(-LN(2)/25))/(LN(2)/25)*Calculateur!DW191*Calculateur!DY191*VLOOKUP('Données projet'!$B$14,Paramètres!$A$1:$I$89,3,0)*0.475*44/12</f>
        <v>0.11043936972290579</v>
      </c>
      <c r="EC191" s="21">
        <f>EXP(-LN(2)/2)*EC190+(1-EXP(-LN(2)/2))/(LN(2)/2)*DW191*DZ191*VLOOKUP('Données projet'!$B$14,Paramètres!$A$1:$I$89,3,0)*0.475*44/12</f>
        <v>1.9769319907738792E-23</v>
      </c>
      <c r="ED191" s="22">
        <f t="shared" si="178"/>
        <v>0.23857043393042843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205.5480000480477</v>
      </c>
      <c r="EP191" s="59">
        <f t="shared" si="154"/>
        <v>229.86812144828366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0.32185987446386605</v>
      </c>
      <c r="EW191" s="21">
        <f>EXP(-LN(2)/25)*EW190+(1-EXP(-LN(2)/25))/(LN(2)/25)*Calculateur!ER191*Calculateur!ET191*VLOOKUP('Données projet'!$B$15,Paramètres!$A$1:$I$89,3,0)*0.475*44/12</f>
        <v>7.5382399421614371E-2</v>
      </c>
      <c r="EX191" s="21">
        <f>EXP(-LN(2)/2)*EX190+(1-EXP(-LN(2)/2))/(LN(2)/2)*ER191*EU191*VLOOKUP('Données projet'!$B$15,Paramètres!$A$1:$I$89,3,0)*0.475*44/12</f>
        <v>4.8935525773360188E-24</v>
      </c>
      <c r="EY191" s="22">
        <f t="shared" si="181"/>
        <v>0.39724227388548039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3.05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33.022080000000081</v>
      </c>
      <c r="D192" s="11">
        <f t="shared" si="140"/>
        <v>10.129025278332483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114.19546707349519</v>
      </c>
      <c r="H192" s="67">
        <f t="shared" si="110"/>
        <v>287.08817502642921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-1.9065282685915009E-13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542.23071537860039</v>
      </c>
      <c r="T192" s="59">
        <f t="shared" si="142"/>
        <v>667.26143680054633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0.31494817266267594</v>
      </c>
      <c r="AA192" s="21">
        <f>EXP(-LN(2)/25)*AA191+(1-EXP(-LN(2)/25))/(LN(2)/25)*Calculateur!V192*Calculateur!X192*VLOOKUP('Données projet'!$B$9,Paramètres!$A$1:$I$89,3,0)*0.475*44/12</f>
        <v>0.51878023871341961</v>
      </c>
      <c r="AB192" s="21">
        <f>EXP(-LN(2)/2)*AB191+(1-EXP(-LN(2)/2))/(LN(2)/2)*V192*Y192*VLOOKUP('Données projet'!$B$9,Paramètres!$A$1:$I$89,3,0)*0.475*44/12</f>
        <v>1.6866271761086396E-23</v>
      </c>
      <c r="AC192" s="22">
        <f t="shared" si="163"/>
        <v>0.83372841137609555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-1.2710188457276673E-13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427.83834708696861</v>
      </c>
      <c r="AO192" s="59">
        <f t="shared" si="144"/>
        <v>545.63950537101903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0.1889689035976059</v>
      </c>
      <c r="AV192" s="21">
        <f>EXP(-LN(2)/25)*AV191+(1-EXP(-LN(2)/25))/(LN(2)/25)*Calculateur!AQ192*Calculateur!AS192*VLOOKUP('Données projet'!$B$10,Paramètres!$A$1:$I$89,3,0)*0.475*44/12</f>
        <v>0.29974585461727576</v>
      </c>
      <c r="AW192" s="21">
        <f>EXP(-LN(2)/2)*AW191+(1-EXP(-LN(2)/2))/(LN(2)/2)*AQ192*AT192*VLOOKUP('Données projet'!$B$10,Paramètres!$A$1:$I$89,3,0)*0.475*44/12</f>
        <v>1.0823353382158093E-23</v>
      </c>
      <c r="AX192" s="21">
        <f t="shared" si="166"/>
        <v>0.48871475821488164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-2.6602720026858149E-14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210.62109466714364</v>
      </c>
      <c r="BJ192" s="59">
        <f t="shared" si="146"/>
        <v>193.35729443770401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0.28003914577104133</v>
      </c>
      <c r="BQ192" s="21">
        <f>EXP(-LN(2)/25)*BQ191+(1-EXP(-LN(2)/25))/(LN(2)/25)*Calculateur!BL192*Calculateur!BN192*VLOOKUP('Données projet'!$B$11,Paramètres!$A$1:$I$89,3,0)*0.475*44/12</f>
        <v>9.7545082676110548E-2</v>
      </c>
      <c r="BR192" s="21">
        <f>EXP(-LN(2)/2)*BR191+(1-EXP(-LN(2)/2))/(LN(2)/2)*BL192*BO192*VLOOKUP('Données projet'!$B$11,Paramètres!$A$1:$I$89,3,0)*0.475*44/12</f>
        <v>9.2601939148382163E-24</v>
      </c>
      <c r="BS192" s="22">
        <f t="shared" si="169"/>
        <v>0.37758422844715189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368.16165268258442</v>
      </c>
      <c r="CE192" s="59">
        <f t="shared" si="148"/>
        <v>291.32219253157041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0.32084594954797419</v>
      </c>
      <c r="CL192" s="21">
        <f>EXP(-LN(2)/25)*CL191+(1-EXP(-LN(2)/25))/(LN(2)/25)*Calculateur!CG192*Calculateur!CI192*VLOOKUP('Données projet'!$B$12,Paramètres!$A$1:$I$89,3,0)*0.475*44/12</f>
        <v>8.0877632457487858E-2</v>
      </c>
      <c r="CM192" s="21">
        <f>EXP(-LN(2)/2)*CM191+(1-EXP(-LN(2)/2))/(LN(2)/2)*CG192*CJ192*VLOOKUP('Données projet'!$B$12,Paramètres!$A$1:$I$89,3,0)*0.475*44/12</f>
        <v>9.2682101865627508E-24</v>
      </c>
      <c r="CN192" s="22">
        <f t="shared" si="172"/>
        <v>0.40172358200546204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1.1368683772161603E-13</v>
      </c>
      <c r="CU192" s="17">
        <f>CT192*VLOOKUP('Données projet'!$B$13,Paramètres!$A$1:$I$89,3,0)*VLOOKUP('Données projet'!$B$13,Paramètres!$A$1:$I$89,5,0)</f>
        <v>6.7984728957526396E-14</v>
      </c>
      <c r="CV192" s="13">
        <f t="shared" si="173"/>
        <v>1.0682447123141398E-12</v>
      </c>
      <c r="CW192" s="20">
        <f t="shared" si="174"/>
        <v>1.978932943548152E-12</v>
      </c>
      <c r="CX192" s="59">
        <f t="shared" si="122"/>
        <v>291.28635957467441</v>
      </c>
      <c r="CY192" s="59">
        <f ca="1">AVERAGE(OFFSET($CX$3,0,0,'Données projet'!$E$13+1,1))-AVERAGE(OFFSET($H$3,0,0,'Données projet'!$E$13+1,1))</f>
        <v>317.12995176362455</v>
      </c>
      <c r="CZ192" s="59">
        <f t="shared" si="150"/>
        <v>328.11301015275262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0.77454855803533817</v>
      </c>
      <c r="DG192" s="21">
        <f>EXP(-LN(2)/25)*DG191+(1-EXP(-LN(2)/25))/(LN(2)/25)*Calculateur!DB192*Calculateur!DD192*VLOOKUP('Données projet'!$B$13,Paramètres!$A$1:$I$89,3,0)*0.475*44/12</f>
        <v>0.19632533384769033</v>
      </c>
      <c r="DH192" s="21">
        <f>EXP(-LN(2)/2)*DH191+(1-EXP(-LN(2)/2))/(LN(2)/2)*DB192*DE192*VLOOKUP('Données projet'!$B$13,Paramètres!$A$1:$I$89,3,0)*0.475*44/12</f>
        <v>6.7163282818162166E-24</v>
      </c>
      <c r="DI192" s="22">
        <f t="shared" si="175"/>
        <v>0.97087389188302853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2.8421709430404007E-14</v>
      </c>
      <c r="DP192" s="17">
        <f>DO192*VLOOKUP('Données projet'!$B$14,Paramètres!$A$1:$I$89,3,0)*VLOOKUP('Données projet'!$B$14,Paramètres!$A$1:$I$89,5,0)</f>
        <v>2.4829205358400945E-14</v>
      </c>
      <c r="DQ192" s="13">
        <f t="shared" si="176"/>
        <v>4.3867331143352915E-13</v>
      </c>
      <c r="DR192" s="20">
        <f t="shared" si="177"/>
        <v>8.0726688341261168E-13</v>
      </c>
      <c r="DS192" s="59">
        <f t="shared" si="125"/>
        <v>291.28635957467321</v>
      </c>
      <c r="DT192" s="59">
        <f ca="1">AVERAGE(OFFSET($DS$3,0,0,'Données projet'!$E$14+1,1))-AVERAGE(OFFSET($H$3,0,0,'Données projet'!$E$14+1,1))</f>
        <v>325.5873213944476</v>
      </c>
      <c r="DU192" s="59">
        <f t="shared" si="152"/>
        <v>347.9042278368363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0.12561849219064539</v>
      </c>
      <c r="EB192" s="21">
        <f>EXP(-LN(2)/25)*EB191+(1-EXP(-LN(2)/25))/(LN(2)/25)*Calculateur!DW192*Calculateur!DY192*VLOOKUP('Données projet'!$B$14,Paramètres!$A$1:$I$89,3,0)*0.475*44/12</f>
        <v>0.10741939935007888</v>
      </c>
      <c r="EC192" s="21">
        <f>EXP(-LN(2)/2)*EC191+(1-EXP(-LN(2)/2))/(LN(2)/2)*DW192*DZ192*VLOOKUP('Données projet'!$B$14,Paramètres!$A$1:$I$89,3,0)*0.475*44/12</f>
        <v>1.3979020166208312E-23</v>
      </c>
      <c r="ED192" s="22">
        <f t="shared" si="178"/>
        <v>0.23303789154072427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205.5480000480477</v>
      </c>
      <c r="EP192" s="59">
        <f t="shared" si="154"/>
        <v>229.86812144828366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0.31554839864076856</v>
      </c>
      <c r="EW192" s="21">
        <f>EXP(-LN(2)/25)*EW191+(1-EXP(-LN(2)/25))/(LN(2)/25)*Calculateur!ER192*Calculateur!ET192*VLOOKUP('Données projet'!$B$15,Paramètres!$A$1:$I$89,3,0)*0.475*44/12</f>
        <v>7.3321063745242235E-2</v>
      </c>
      <c r="EX192" s="21">
        <f>EXP(-LN(2)/2)*EX191+(1-EXP(-LN(2)/2))/(LN(2)/2)*ER192*EU192*VLOOKUP('Données projet'!$B$15,Paramètres!$A$1:$I$89,3,0)*0.475*44/12</f>
        <v>3.4602642115272059E-24</v>
      </c>
      <c r="EY192" s="22">
        <f t="shared" si="181"/>
        <v>0.38886946238601078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3.05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33.196800000000081</v>
      </c>
      <c r="D193" s="11">
        <f t="shared" si="140"/>
        <v>10.17636525776895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114.74399418059437</v>
      </c>
      <c r="H193" s="67">
        <f t="shared" si="110"/>
        <v>287.47492949061439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-1.9065282685915009E-13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542.23071537860039</v>
      </c>
      <c r="T193" s="59">
        <f t="shared" si="142"/>
        <v>667.26143680054633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0.30877223109617796</v>
      </c>
      <c r="AA193" s="21">
        <f>EXP(-LN(2)/25)*AA192+(1-EXP(-LN(2)/25))/(LN(2)/25)*Calculateur!V193*Calculateur!X193*VLOOKUP('Données projet'!$B$9,Paramètres!$A$1:$I$89,3,0)*0.475*44/12</f>
        <v>0.50459416580433403</v>
      </c>
      <c r="AB193" s="21">
        <f>EXP(-LN(2)/2)*AB192+(1-EXP(-LN(2)/2))/(LN(2)/2)*V193*Y193*VLOOKUP('Données projet'!$B$9,Paramètres!$A$1:$I$89,3,0)*0.475*44/12</f>
        <v>1.1926255135599364E-23</v>
      </c>
      <c r="AC193" s="22">
        <f t="shared" si="163"/>
        <v>0.81336639690051205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-1.2710188457276673E-13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427.83834708696861</v>
      </c>
      <c r="AO193" s="59">
        <f t="shared" si="144"/>
        <v>545.63950537101903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0.18526333865770711</v>
      </c>
      <c r="AV193" s="21">
        <f>EXP(-LN(2)/25)*AV192+(1-EXP(-LN(2)/25))/(LN(2)/25)*Calculateur!AQ193*Calculateur!AS193*VLOOKUP('Données projet'!$B$10,Paramètres!$A$1:$I$89,3,0)*0.475*44/12</f>
        <v>0.29154928845981692</v>
      </c>
      <c r="AW193" s="21">
        <f>EXP(-LN(2)/2)*AW192+(1-EXP(-LN(2)/2))/(LN(2)/2)*AQ193*AT193*VLOOKUP('Données projet'!$B$10,Paramètres!$A$1:$I$89,3,0)*0.475*44/12</f>
        <v>7.6532665717023416E-24</v>
      </c>
      <c r="AX193" s="21">
        <f t="shared" si="166"/>
        <v>0.47681262711752403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-2.6602720026858149E-14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210.62109466714364</v>
      </c>
      <c r="BJ193" s="59">
        <f t="shared" si="146"/>
        <v>193.35729443770401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0.27454774892948436</v>
      </c>
      <c r="BQ193" s="21">
        <f>EXP(-LN(2)/25)*BQ192+(1-EXP(-LN(2)/25))/(LN(2)/25)*Calculateur!BL193*Calculateur!BN193*VLOOKUP('Données projet'!$B$11,Paramètres!$A$1:$I$89,3,0)*0.475*44/12</f>
        <v>9.4877707260659347E-2</v>
      </c>
      <c r="BR193" s="21">
        <f>EXP(-LN(2)/2)*BR192+(1-EXP(-LN(2)/2))/(LN(2)/2)*BL193*BO193*VLOOKUP('Données projet'!$B$11,Paramètres!$A$1:$I$89,3,0)*0.475*44/12</f>
        <v>6.5479459122845063E-24</v>
      </c>
      <c r="BS193" s="22">
        <f t="shared" si="169"/>
        <v>0.36942545619014372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368.16165268258442</v>
      </c>
      <c r="CE193" s="59">
        <f t="shared" si="148"/>
        <v>291.32219253157041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0.3145543561740442</v>
      </c>
      <c r="CL193" s="21">
        <f>EXP(-LN(2)/25)*CL192+(1-EXP(-LN(2)/25))/(LN(2)/25)*Calculateur!CG193*Calculateur!CI193*VLOOKUP('Données projet'!$B$12,Paramètres!$A$1:$I$89,3,0)*0.475*44/12</f>
        <v>7.8666029344768004E-2</v>
      </c>
      <c r="CM193" s="21">
        <f>EXP(-LN(2)/2)*CM192+(1-EXP(-LN(2)/2))/(LN(2)/2)*CG193*CJ193*VLOOKUP('Données projet'!$B$12,Paramètres!$A$1:$I$89,3,0)*0.475*44/12</f>
        <v>6.553614272380758E-24</v>
      </c>
      <c r="CN193" s="22">
        <f t="shared" si="172"/>
        <v>0.39322038551881222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1.1368683772161603E-13</v>
      </c>
      <c r="CU193" s="17">
        <f>CT193*VLOOKUP('Données projet'!$B$13,Paramètres!$A$1:$I$89,3,0)*VLOOKUP('Données projet'!$B$13,Paramètres!$A$1:$I$89,5,0)</f>
        <v>6.7984728957526396E-14</v>
      </c>
      <c r="CV193" s="13">
        <f t="shared" si="173"/>
        <v>1.0682447123141398E-12</v>
      </c>
      <c r="CW193" s="20">
        <f t="shared" si="174"/>
        <v>1.978932943548152E-12</v>
      </c>
      <c r="CX193" s="59">
        <f t="shared" si="122"/>
        <v>291.3218699930394</v>
      </c>
      <c r="CY193" s="59">
        <f ca="1">AVERAGE(OFFSET($CX$3,0,0,'Données projet'!$E$13+1,1))-AVERAGE(OFFSET($H$3,0,0,'Données projet'!$E$13+1,1))</f>
        <v>317.12995176362455</v>
      </c>
      <c r="CZ193" s="59">
        <f t="shared" si="150"/>
        <v>328.11301015275262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0.75936013324023721</v>
      </c>
      <c r="DG193" s="21">
        <f>EXP(-LN(2)/25)*DG192+(1-EXP(-LN(2)/25))/(LN(2)/25)*Calculateur!DB193*Calculateur!DD193*VLOOKUP('Données projet'!$B$13,Paramètres!$A$1:$I$89,3,0)*0.475*44/12</f>
        <v>0.19095680726932462</v>
      </c>
      <c r="DH193" s="21">
        <f>EXP(-LN(2)/2)*DH192+(1-EXP(-LN(2)/2))/(LN(2)/2)*DB193*DE193*VLOOKUP('Données projet'!$B$13,Paramètres!$A$1:$I$89,3,0)*0.475*44/12</f>
        <v>4.7491612727472402E-24</v>
      </c>
      <c r="DI193" s="22">
        <f t="shared" si="175"/>
        <v>0.95031694050956184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2.8421709430404007E-14</v>
      </c>
      <c r="DP193" s="17">
        <f>DO193*VLOOKUP('Données projet'!$B$14,Paramètres!$A$1:$I$89,3,0)*VLOOKUP('Données projet'!$B$14,Paramètres!$A$1:$I$89,5,0)</f>
        <v>2.4829205358400945E-14</v>
      </c>
      <c r="DQ193" s="13">
        <f t="shared" si="176"/>
        <v>4.3867331143352915E-13</v>
      </c>
      <c r="DR193" s="20">
        <f t="shared" si="177"/>
        <v>8.0726688341261168E-13</v>
      </c>
      <c r="DS193" s="59">
        <f t="shared" si="125"/>
        <v>291.32186999303821</v>
      </c>
      <c r="DT193" s="59">
        <f ca="1">AVERAGE(OFFSET($DS$3,0,0,'Données projet'!$E$14+1,1))-AVERAGE(OFFSET($H$3,0,0,'Données projet'!$E$14+1,1))</f>
        <v>325.5873213944476</v>
      </c>
      <c r="DU193" s="59">
        <f t="shared" si="152"/>
        <v>347.9042278368363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0.1231551901785015</v>
      </c>
      <c r="EB193" s="21">
        <f>EXP(-LN(2)/25)*EB192+(1-EXP(-LN(2)/25))/(LN(2)/25)*Calculateur!DW193*Calculateur!DY193*VLOOKUP('Données projet'!$B$14,Paramètres!$A$1:$I$89,3,0)*0.475*44/12</f>
        <v>0.10448201022591028</v>
      </c>
      <c r="EC193" s="21">
        <f>EXP(-LN(2)/2)*EC192+(1-EXP(-LN(2)/2))/(LN(2)/2)*DW193*DZ193*VLOOKUP('Données projet'!$B$14,Paramètres!$A$1:$I$89,3,0)*0.475*44/12</f>
        <v>9.8846599538693961E-24</v>
      </c>
      <c r="ED193" s="22">
        <f t="shared" si="178"/>
        <v>0.22763720040441177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205.5480000480477</v>
      </c>
      <c r="EP193" s="59">
        <f t="shared" si="154"/>
        <v>229.86812144828366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0.30936068700894187</v>
      </c>
      <c r="EW193" s="21">
        <f>EXP(-LN(2)/25)*EW192+(1-EXP(-LN(2)/25))/(LN(2)/25)*Calculateur!ER193*Calculateur!ET193*VLOOKUP('Données projet'!$B$15,Paramètres!$A$1:$I$89,3,0)*0.475*44/12</f>
        <v>7.1316095401341414E-2</v>
      </c>
      <c r="EX193" s="21">
        <f>EXP(-LN(2)/2)*EX192+(1-EXP(-LN(2)/2))/(LN(2)/2)*ER193*EU193*VLOOKUP('Données projet'!$B$15,Paramètres!$A$1:$I$89,3,0)*0.475*44/12</f>
        <v>2.4467762886680094E-24</v>
      </c>
      <c r="EY193" s="22">
        <f t="shared" si="181"/>
        <v>0.3806767824102833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3.05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33.371520000000082</v>
      </c>
      <c r="D194" s="11">
        <f t="shared" si="140"/>
        <v>10.223676243979407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115.29244966933882</v>
      </c>
      <c r="H194" s="67">
        <f t="shared" si="110"/>
        <v>287.86163345826424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-1.9065282685915009E-13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542.23071537860039</v>
      </c>
      <c r="T194" s="59">
        <f t="shared" si="142"/>
        <v>667.26143680054633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0.3027173959768466</v>
      </c>
      <c r="AA194" s="21">
        <f>EXP(-LN(2)/25)*AA193+(1-EXP(-LN(2)/25))/(LN(2)/25)*Calculateur!V194*Calculateur!X194*VLOOKUP('Données projet'!$B$9,Paramètres!$A$1:$I$89,3,0)*0.475*44/12</f>
        <v>0.49079601180496057</v>
      </c>
      <c r="AB194" s="21">
        <f>EXP(-LN(2)/2)*AB193+(1-EXP(-LN(2)/2))/(LN(2)/2)*V194*Y194*VLOOKUP('Données projet'!$B$9,Paramètres!$A$1:$I$89,3,0)*0.475*44/12</f>
        <v>8.4331358805431981E-24</v>
      </c>
      <c r="AC194" s="22">
        <f t="shared" si="163"/>
        <v>0.79351340778180712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-1.2710188457276673E-13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427.83834708696861</v>
      </c>
      <c r="AO194" s="59">
        <f t="shared" si="144"/>
        <v>545.63950537101903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0.18163043758610828</v>
      </c>
      <c r="AV194" s="21">
        <f>EXP(-LN(2)/25)*AV193+(1-EXP(-LN(2)/25))/(LN(2)/25)*Calculateur!AQ194*Calculateur!AS194*VLOOKUP('Données projet'!$B$10,Paramètres!$A$1:$I$89,3,0)*0.475*44/12</f>
        <v>0.2835768578349725</v>
      </c>
      <c r="AW194" s="21">
        <f>EXP(-LN(2)/2)*AW193+(1-EXP(-LN(2)/2))/(LN(2)/2)*AQ194*AT194*VLOOKUP('Données projet'!$B$10,Paramètres!$A$1:$I$89,3,0)*0.475*44/12</f>
        <v>5.4116766910790465E-24</v>
      </c>
      <c r="AX194" s="21">
        <f t="shared" si="166"/>
        <v>0.46520729542108075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-2.6602720026858149E-14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210.62109466714364</v>
      </c>
      <c r="BJ194" s="59">
        <f t="shared" si="146"/>
        <v>193.35729443770401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0.26916403503056896</v>
      </c>
      <c r="BQ194" s="21">
        <f>EXP(-LN(2)/25)*BQ193+(1-EXP(-LN(2)/25))/(LN(2)/25)*Calculateur!BL194*Calculateur!BN194*VLOOKUP('Données projet'!$B$11,Paramètres!$A$1:$I$89,3,0)*0.475*44/12</f>
        <v>9.2283271366214836E-2</v>
      </c>
      <c r="BR194" s="21">
        <f>EXP(-LN(2)/2)*BR193+(1-EXP(-LN(2)/2))/(LN(2)/2)*BL194*BO194*VLOOKUP('Données projet'!$B$11,Paramètres!$A$1:$I$89,3,0)*0.475*44/12</f>
        <v>4.6300969574191089E-24</v>
      </c>
      <c r="BS194" s="22">
        <f t="shared" si="169"/>
        <v>0.3614473063967838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368.16165268258442</v>
      </c>
      <c r="CE194" s="59">
        <f t="shared" si="148"/>
        <v>291.32219253157041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0.30838613710868396</v>
      </c>
      <c r="CL194" s="21">
        <f>EXP(-LN(2)/25)*CL193+(1-EXP(-LN(2)/25))/(LN(2)/25)*Calculateur!CG194*Calculateur!CI194*VLOOKUP('Données projet'!$B$12,Paramètres!$A$1:$I$89,3,0)*0.475*44/12</f>
        <v>7.6514902635468632E-2</v>
      </c>
      <c r="CM194" s="21">
        <f>EXP(-LN(2)/2)*CM193+(1-EXP(-LN(2)/2))/(LN(2)/2)*CG194*CJ194*VLOOKUP('Données projet'!$B$12,Paramètres!$A$1:$I$89,3,0)*0.475*44/12</f>
        <v>4.6341050932813761E-24</v>
      </c>
      <c r="CN194" s="22">
        <f t="shared" si="172"/>
        <v>0.38490103974415257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1.1368683772161603E-13</v>
      </c>
      <c r="CU194" s="17">
        <f>CT194*VLOOKUP('Données projet'!$B$13,Paramètres!$A$1:$I$89,3,0)*VLOOKUP('Données projet'!$B$13,Paramètres!$A$1:$I$89,5,0)</f>
        <v>6.7984728957526396E-14</v>
      </c>
      <c r="CV194" s="13">
        <f t="shared" si="173"/>
        <v>1.0682447123141398E-12</v>
      </c>
      <c r="CW194" s="20">
        <f t="shared" si="174"/>
        <v>1.978932943548152E-12</v>
      </c>
      <c r="CX194" s="59">
        <f t="shared" si="122"/>
        <v>291.35676438503515</v>
      </c>
      <c r="CY194" s="59">
        <f ca="1">AVERAGE(OFFSET($CX$3,0,0,'Données projet'!$E$13+1,1))-AVERAGE(OFFSET($H$3,0,0,'Données projet'!$E$13+1,1))</f>
        <v>317.12995176362455</v>
      </c>
      <c r="CZ194" s="59">
        <f t="shared" si="150"/>
        <v>328.11301015275262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0.74446954419134381</v>
      </c>
      <c r="DG194" s="21">
        <f>EXP(-LN(2)/25)*DG193+(1-EXP(-LN(2)/25))/(LN(2)/25)*Calculateur!DB194*Calculateur!DD194*VLOOKUP('Données projet'!$B$13,Paramètres!$A$1:$I$89,3,0)*0.475*44/12</f>
        <v>0.18573508333256289</v>
      </c>
      <c r="DH194" s="21">
        <f>EXP(-LN(2)/2)*DH193+(1-EXP(-LN(2)/2))/(LN(2)/2)*DB194*DE194*VLOOKUP('Données projet'!$B$13,Paramètres!$A$1:$I$89,3,0)*0.475*44/12</f>
        <v>3.3581641409081083E-24</v>
      </c>
      <c r="DI194" s="22">
        <f t="shared" si="175"/>
        <v>0.93020462752390665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2.8421709430404007E-14</v>
      </c>
      <c r="DP194" s="17">
        <f>DO194*VLOOKUP('Données projet'!$B$14,Paramètres!$A$1:$I$89,3,0)*VLOOKUP('Données projet'!$B$14,Paramètres!$A$1:$I$89,5,0)</f>
        <v>2.4829205358400945E-14</v>
      </c>
      <c r="DQ194" s="13">
        <f t="shared" si="176"/>
        <v>4.3867331143352915E-13</v>
      </c>
      <c r="DR194" s="20">
        <f t="shared" si="177"/>
        <v>8.0726688341261168E-13</v>
      </c>
      <c r="DS194" s="59">
        <f t="shared" si="125"/>
        <v>291.35676438503396</v>
      </c>
      <c r="DT194" s="59">
        <f ca="1">AVERAGE(OFFSET($DS$3,0,0,'Données projet'!$E$14+1,1))-AVERAGE(OFFSET($H$3,0,0,'Données projet'!$E$14+1,1))</f>
        <v>325.5873213944476</v>
      </c>
      <c r="DU194" s="59">
        <f t="shared" si="152"/>
        <v>347.9042278368363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0.12074019201634989</v>
      </c>
      <c r="EB194" s="21">
        <f>EXP(-LN(2)/25)*EB193+(1-EXP(-LN(2)/25))/(LN(2)/25)*Calculateur!DW194*Calculateur!DY194*VLOOKUP('Données projet'!$B$14,Paramètres!$A$1:$I$89,3,0)*0.475*44/12</f>
        <v>0.10162494416181264</v>
      </c>
      <c r="EC194" s="21">
        <f>EXP(-LN(2)/2)*EC193+(1-EXP(-LN(2)/2))/(LN(2)/2)*DW194*DZ194*VLOOKUP('Données projet'!$B$14,Paramètres!$A$1:$I$89,3,0)*0.475*44/12</f>
        <v>6.989510083104156E-24</v>
      </c>
      <c r="ED194" s="22">
        <f t="shared" si="178"/>
        <v>0.22236513617816253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205.5480000480477</v>
      </c>
      <c r="EP194" s="59">
        <f t="shared" si="154"/>
        <v>229.86812144828366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0.30329431262808387</v>
      </c>
      <c r="EW194" s="21">
        <f>EXP(-LN(2)/25)*EW193+(1-EXP(-LN(2)/25))/(LN(2)/25)*Calculateur!ER194*Calculateur!ET194*VLOOKUP('Données projet'!$B$15,Paramètres!$A$1:$I$89,3,0)*0.475*44/12</f>
        <v>6.9365953022241272E-2</v>
      </c>
      <c r="EX194" s="21">
        <f>EXP(-LN(2)/2)*EX193+(1-EXP(-LN(2)/2))/(LN(2)/2)*ER194*EU194*VLOOKUP('Données projet'!$B$15,Paramètres!$A$1:$I$89,3,0)*0.475*44/12</f>
        <v>1.7301321057636029E-24</v>
      </c>
      <c r="EY194" s="22">
        <f t="shared" si="181"/>
        <v>0.37266026565032517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3.05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33.546240000000083</v>
      </c>
      <c r="D195" s="11">
        <f t="shared" si="140"/>
        <v>10.27095840637994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115.84083395821594</v>
      </c>
      <c r="H195" s="67">
        <f t="shared" si="110"/>
        <v>288.24828722444516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-1.9065282685915009E-13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542.23071537860039</v>
      </c>
      <c r="T195" s="59">
        <f t="shared" si="142"/>
        <v>667.26143680054633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0.29678129248112056</v>
      </c>
      <c r="AA195" s="21">
        <f>EXP(-LN(2)/25)*AA194+(1-EXP(-LN(2)/25))/(LN(2)/25)*Calculateur!V195*Calculateur!X195*VLOOKUP('Données projet'!$B$9,Paramètres!$A$1:$I$89,3,0)*0.475*44/12</f>
        <v>0.47737516905231342</v>
      </c>
      <c r="AB195" s="21">
        <f>EXP(-LN(2)/2)*AB194+(1-EXP(-LN(2)/2))/(LN(2)/2)*V195*Y195*VLOOKUP('Données projet'!$B$9,Paramètres!$A$1:$I$89,3,0)*0.475*44/12</f>
        <v>5.963127567799682E-24</v>
      </c>
      <c r="AC195" s="22">
        <f t="shared" si="163"/>
        <v>0.77415646153343398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-1.2710188457276673E-13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427.83834708696861</v>
      </c>
      <c r="AO195" s="59">
        <f t="shared" si="144"/>
        <v>545.63950537101903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0.17806877548867264</v>
      </c>
      <c r="AV195" s="21">
        <f>EXP(-LN(2)/25)*AV194+(1-EXP(-LN(2)/25))/(LN(2)/25)*Calculateur!AQ195*Calculateur!AS195*VLOOKUP('Données projet'!$B$10,Paramètres!$A$1:$I$89,3,0)*0.475*44/12</f>
        <v>0.27582243374481635</v>
      </c>
      <c r="AW195" s="21">
        <f>EXP(-LN(2)/2)*AW194+(1-EXP(-LN(2)/2))/(LN(2)/2)*AQ195*AT195*VLOOKUP('Données projet'!$B$10,Paramètres!$A$1:$I$89,3,0)*0.475*44/12</f>
        <v>3.8266332858511708E-24</v>
      </c>
      <c r="AX195" s="21">
        <f t="shared" si="166"/>
        <v>0.45389120923348902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-2.6602720026858149E-14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210.62109466714364</v>
      </c>
      <c r="BJ195" s="59">
        <f t="shared" si="146"/>
        <v>193.35729443770401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0.26388589247747007</v>
      </c>
      <c r="BQ195" s="21">
        <f>EXP(-LN(2)/25)*BQ194+(1-EXP(-LN(2)/25))/(LN(2)/25)*Calculateur!BL195*Calculateur!BN195*VLOOKUP('Données projet'!$B$11,Paramètres!$A$1:$I$89,3,0)*0.475*44/12</f>
        <v>8.9759780457739372E-2</v>
      </c>
      <c r="BR195" s="21">
        <f>EXP(-LN(2)/2)*BR194+(1-EXP(-LN(2)/2))/(LN(2)/2)*BL195*BO195*VLOOKUP('Données projet'!$B$11,Paramètres!$A$1:$I$89,3,0)*0.475*44/12</f>
        <v>3.2739729561422535E-24</v>
      </c>
      <c r="BS195" s="22">
        <f t="shared" si="169"/>
        <v>0.35364567293520943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368.16165268258442</v>
      </c>
      <c r="CE195" s="59">
        <f t="shared" si="148"/>
        <v>291.32219253157041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0.30233887305695328</v>
      </c>
      <c r="CL195" s="21">
        <f>EXP(-LN(2)/25)*CL194+(1-EXP(-LN(2)/25))/(LN(2)/25)*Calculateur!CG195*Calculateur!CI195*VLOOKUP('Données projet'!$B$12,Paramètres!$A$1:$I$89,3,0)*0.475*44/12</f>
        <v>7.4422598599157896E-2</v>
      </c>
      <c r="CM195" s="21">
        <f>EXP(-LN(2)/2)*CM194+(1-EXP(-LN(2)/2))/(LN(2)/2)*CG195*CJ195*VLOOKUP('Données projet'!$B$12,Paramètres!$A$1:$I$89,3,0)*0.475*44/12</f>
        <v>3.2768071361903797E-24</v>
      </c>
      <c r="CN195" s="22">
        <f t="shared" si="172"/>
        <v>0.37676147165611118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1.1368683772161603E-13</v>
      </c>
      <c r="CU195" s="17">
        <f>CT195*VLOOKUP('Données projet'!$B$13,Paramètres!$A$1:$I$89,3,0)*VLOOKUP('Données projet'!$B$13,Paramètres!$A$1:$I$89,5,0)</f>
        <v>6.7984728957526396E-14</v>
      </c>
      <c r="CV195" s="13">
        <f t="shared" si="173"/>
        <v>1.0682447123141398E-12</v>
      </c>
      <c r="CW195" s="20">
        <f t="shared" si="174"/>
        <v>1.978932943548152E-12</v>
      </c>
      <c r="CX195" s="59">
        <f t="shared" si="122"/>
        <v>291.39105343734207</v>
      </c>
      <c r="CY195" s="59">
        <f ca="1">AVERAGE(OFFSET($CX$3,0,0,'Données projet'!$E$13+1,1))-AVERAGE(OFFSET($H$3,0,0,'Données projet'!$E$13+1,1))</f>
        <v>317.12995176362455</v>
      </c>
      <c r="CZ195" s="59">
        <f t="shared" si="150"/>
        <v>328.11301015275262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0.72987095051133666</v>
      </c>
      <c r="DG195" s="21">
        <f>EXP(-LN(2)/25)*DG194+(1-EXP(-LN(2)/25))/(LN(2)/25)*Calculateur!DB195*Calculateur!DD195*VLOOKUP('Données projet'!$B$13,Paramètres!$A$1:$I$89,3,0)*0.475*44/12</f>
        <v>0.18065614771145042</v>
      </c>
      <c r="DH195" s="21">
        <f>EXP(-LN(2)/2)*DH194+(1-EXP(-LN(2)/2))/(LN(2)/2)*DB195*DE195*VLOOKUP('Données projet'!$B$13,Paramètres!$A$1:$I$89,3,0)*0.475*44/12</f>
        <v>2.3745806363736201E-24</v>
      </c>
      <c r="DI195" s="22">
        <f t="shared" si="175"/>
        <v>0.9105270982227871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2.8421709430404007E-14</v>
      </c>
      <c r="DP195" s="17">
        <f>DO195*VLOOKUP('Données projet'!$B$14,Paramètres!$A$1:$I$89,3,0)*VLOOKUP('Données projet'!$B$14,Paramètres!$A$1:$I$89,5,0)</f>
        <v>2.4829205358400945E-14</v>
      </c>
      <c r="DQ195" s="13">
        <f t="shared" si="176"/>
        <v>4.3867331143352915E-13</v>
      </c>
      <c r="DR195" s="20">
        <f t="shared" si="177"/>
        <v>8.0726688341261168E-13</v>
      </c>
      <c r="DS195" s="59">
        <f t="shared" si="125"/>
        <v>291.39105343734087</v>
      </c>
      <c r="DT195" s="59">
        <f ca="1">AVERAGE(OFFSET($DS$3,0,0,'Données projet'!$E$14+1,1))-AVERAGE(OFFSET($H$3,0,0,'Données projet'!$E$14+1,1))</f>
        <v>325.5873213944476</v>
      </c>
      <c r="DU195" s="59">
        <f t="shared" si="152"/>
        <v>347.9042278368363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0.11837255049515463</v>
      </c>
      <c r="EB195" s="21">
        <f>EXP(-LN(2)/25)*EB194+(1-EXP(-LN(2)/25))/(LN(2)/25)*Calculateur!DW195*Calculateur!DY195*VLOOKUP('Données projet'!$B$14,Paramètres!$A$1:$I$89,3,0)*0.475*44/12</f>
        <v>9.8846004719484334E-2</v>
      </c>
      <c r="EC195" s="21">
        <f>EXP(-LN(2)/2)*EC194+(1-EXP(-LN(2)/2))/(LN(2)/2)*DW195*DZ195*VLOOKUP('Données projet'!$B$14,Paramètres!$A$1:$I$89,3,0)*0.475*44/12</f>
        <v>4.942329976934698E-24</v>
      </c>
      <c r="ED195" s="22">
        <f t="shared" si="178"/>
        <v>0.21721855521463895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205.5480000480477</v>
      </c>
      <c r="EP195" s="59">
        <f t="shared" si="154"/>
        <v>229.86812144828366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0.29734689614871146</v>
      </c>
      <c r="EW195" s="21">
        <f>EXP(-LN(2)/25)*EW194+(1-EXP(-LN(2)/25))/(LN(2)/25)*Calculateur!ER195*Calculateur!ET195*VLOOKUP('Données projet'!$B$15,Paramètres!$A$1:$I$89,3,0)*0.475*44/12</f>
        <v>6.7469137389051151E-2</v>
      </c>
      <c r="EX195" s="21">
        <f>EXP(-LN(2)/2)*EX194+(1-EXP(-LN(2)/2))/(LN(2)/2)*ER195*EU195*VLOOKUP('Données projet'!$B$15,Paramètres!$A$1:$I$89,3,0)*0.475*44/12</f>
        <v>1.2233881443340047E-24</v>
      </c>
      <c r="EY195" s="22">
        <f t="shared" si="181"/>
        <v>0.3648160335377626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3.05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33.720960000000083</v>
      </c>
      <c r="D196" s="11">
        <f t="shared" si="140"/>
        <v>10.318211912519732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116.38914746110157</v>
      </c>
      <c r="H196" s="67">
        <f t="shared" ref="H196:H203" si="192">(B196+E196+F196)*44/12+(C196+D196)*0.475*44/12</f>
        <v>288.63489108097201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-1.9065282685915009E-13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542.23071537860039</v>
      </c>
      <c r="T196" s="59">
        <f t="shared" si="142"/>
        <v>667.26143680054633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0.2909615923542801</v>
      </c>
      <c r="AA196" s="21">
        <f>EXP(-LN(2)/25)*AA195+(1-EXP(-LN(2)/25))/(LN(2)/25)*Calculateur!V196*Calculateur!X196*VLOOKUP('Données projet'!$B$9,Paramètres!$A$1:$I$89,3,0)*0.475*44/12</f>
        <v>0.46432131995050885</v>
      </c>
      <c r="AB196" s="21">
        <f>EXP(-LN(2)/2)*AB195+(1-EXP(-LN(2)/2))/(LN(2)/2)*V196*Y196*VLOOKUP('Données projet'!$B$9,Paramètres!$A$1:$I$89,3,0)*0.475*44/12</f>
        <v>4.216567940271599E-24</v>
      </c>
      <c r="AC196" s="22">
        <f t="shared" si="163"/>
        <v>0.75528291230478894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-1.2710188457276673E-13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427.83834708696861</v>
      </c>
      <c r="AO196" s="59">
        <f t="shared" si="144"/>
        <v>545.63950537101903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0.17457695541256835</v>
      </c>
      <c r="AV196" s="21">
        <f>EXP(-LN(2)/25)*AV195+(1-EXP(-LN(2)/25))/(LN(2)/25)*Calculateur!AQ196*Calculateur!AS196*VLOOKUP('Données projet'!$B$10,Paramètres!$A$1:$I$89,3,0)*0.475*44/12</f>
        <v>0.26828005478919298</v>
      </c>
      <c r="AW196" s="21">
        <f>EXP(-LN(2)/2)*AW195+(1-EXP(-LN(2)/2))/(LN(2)/2)*AQ196*AT196*VLOOKUP('Données projet'!$B$10,Paramètres!$A$1:$I$89,3,0)*0.475*44/12</f>
        <v>2.7058383455395232E-24</v>
      </c>
      <c r="AX196" s="21">
        <f t="shared" si="166"/>
        <v>0.44285701020176133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-2.6602720026858149E-14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210.62109466714364</v>
      </c>
      <c r="BJ196" s="59">
        <f t="shared" si="146"/>
        <v>193.35729443770401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0.25871125108048837</v>
      </c>
      <c r="BQ196" s="21">
        <f>EXP(-LN(2)/25)*BQ195+(1-EXP(-LN(2)/25))/(LN(2)/25)*Calculateur!BL196*Calculateur!BN196*VLOOKUP('Données projet'!$B$11,Paramètres!$A$1:$I$89,3,0)*0.475*44/12</f>
        <v>8.7305294540860778E-2</v>
      </c>
      <c r="BR196" s="21">
        <f>EXP(-LN(2)/2)*BR195+(1-EXP(-LN(2)/2))/(LN(2)/2)*BL196*BO196*VLOOKUP('Données projet'!$B$11,Paramètres!$A$1:$I$89,3,0)*0.475*44/12</f>
        <v>2.3150484787095548E-24</v>
      </c>
      <c r="BS196" s="22">
        <f t="shared" si="169"/>
        <v>0.34601654562134915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368.16165268258442</v>
      </c>
      <c r="CE196" s="59">
        <f t="shared" si="148"/>
        <v>291.32219253157041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0.29641019216481018</v>
      </c>
      <c r="CL196" s="21">
        <f>EXP(-LN(2)/25)*CL195+(1-EXP(-LN(2)/25))/(LN(2)/25)*Calculateur!CG196*Calculateur!CI196*VLOOKUP('Données projet'!$B$12,Paramètres!$A$1:$I$89,3,0)*0.475*44/12</f>
        <v>7.2387508726749553E-2</v>
      </c>
      <c r="CM196" s="21">
        <f>EXP(-LN(2)/2)*CM195+(1-EXP(-LN(2)/2))/(LN(2)/2)*CG196*CJ196*VLOOKUP('Données projet'!$B$12,Paramètres!$A$1:$I$89,3,0)*0.475*44/12</f>
        <v>2.3170525466406884E-24</v>
      </c>
      <c r="CN196" s="22">
        <f t="shared" si="172"/>
        <v>0.36879770089155972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1.1368683772161603E-13</v>
      </c>
      <c r="CU196" s="17">
        <f>CT196*VLOOKUP('Données projet'!$B$13,Paramètres!$A$1:$I$89,3,0)*VLOOKUP('Données projet'!$B$13,Paramètres!$A$1:$I$89,5,0)</f>
        <v>6.7984728957526396E-14</v>
      </c>
      <c r="CV196" s="13">
        <f t="shared" si="173"/>
        <v>1.0682447123141398E-12</v>
      </c>
      <c r="CW196" s="20">
        <f t="shared" si="174"/>
        <v>1.978932943548152E-12</v>
      </c>
      <c r="CX196" s="59">
        <f t="shared" ref="CX196:CX203" si="196">CW196+(CO196+CP196)*44/12</f>
        <v>291.42474765125019</v>
      </c>
      <c r="CY196" s="59">
        <f ca="1">AVERAGE(OFFSET($CX$3,0,0,'Données projet'!$E$13+1,1))-AVERAGE(OFFSET($H$3,0,0,'Données projet'!$E$13+1,1))</f>
        <v>317.12995176362455</v>
      </c>
      <c r="CZ196" s="59">
        <f t="shared" si="150"/>
        <v>328.11301015275262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0.71555862634913159</v>
      </c>
      <c r="DG196" s="21">
        <f>EXP(-LN(2)/25)*DG195+(1-EXP(-LN(2)/25))/(LN(2)/25)*Calculateur!DB196*Calculateur!DD196*VLOOKUP('Données projet'!$B$13,Paramètres!$A$1:$I$89,3,0)*0.475*44/12</f>
        <v>0.17571609585198689</v>
      </c>
      <c r="DH196" s="21">
        <f>EXP(-LN(2)/2)*DH195+(1-EXP(-LN(2)/2))/(LN(2)/2)*DB196*DE196*VLOOKUP('Données projet'!$B$13,Paramètres!$A$1:$I$89,3,0)*0.475*44/12</f>
        <v>1.6790820704540541E-24</v>
      </c>
      <c r="DI196" s="22">
        <f t="shared" si="175"/>
        <v>0.89127472220111847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2.8421709430404007E-14</v>
      </c>
      <c r="DP196" s="17">
        <f>DO196*VLOOKUP('Données projet'!$B$14,Paramètres!$A$1:$I$89,3,0)*VLOOKUP('Données projet'!$B$14,Paramètres!$A$1:$I$89,5,0)</f>
        <v>2.4829205358400945E-14</v>
      </c>
      <c r="DQ196" s="13">
        <f t="shared" si="176"/>
        <v>4.3867331143352915E-13</v>
      </c>
      <c r="DR196" s="20">
        <f t="shared" si="177"/>
        <v>8.0726688341261168E-13</v>
      </c>
      <c r="DS196" s="59">
        <f t="shared" ref="DS196:DS203" si="197">DR196+(DJ196+DK196)*44/12</f>
        <v>291.42474765124899</v>
      </c>
      <c r="DT196" s="59">
        <f ca="1">AVERAGE(OFFSET($DS$3,0,0,'Données projet'!$E$14+1,1))-AVERAGE(OFFSET($H$3,0,0,'Données projet'!$E$14+1,1))</f>
        <v>325.5873213944476</v>
      </c>
      <c r="DU196" s="59">
        <f t="shared" si="152"/>
        <v>347.9042278368363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0.11605133698007128</v>
      </c>
      <c r="EB196" s="21">
        <f>EXP(-LN(2)/25)*EB195+(1-EXP(-LN(2)/25))/(LN(2)/25)*Calculateur!DW196*Calculateur!DY196*VLOOKUP('Données projet'!$B$14,Paramètres!$A$1:$I$89,3,0)*0.475*44/12</f>
        <v>9.6143055522344562E-2</v>
      </c>
      <c r="EC196" s="21">
        <f>EXP(-LN(2)/2)*EC195+(1-EXP(-LN(2)/2))/(LN(2)/2)*DW196*DZ196*VLOOKUP('Données projet'!$B$14,Paramètres!$A$1:$I$89,3,0)*0.475*44/12</f>
        <v>3.494755041552078E-24</v>
      </c>
      <c r="ED196" s="22">
        <f t="shared" si="178"/>
        <v>0.21219439250241584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205.5480000480477</v>
      </c>
      <c r="EP196" s="59">
        <f t="shared" si="154"/>
        <v>229.86812144828366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0.2915161048789337</v>
      </c>
      <c r="EW196" s="21">
        <f>EXP(-LN(2)/25)*EW195+(1-EXP(-LN(2)/25))/(LN(2)/25)*Calculateur!ER196*Calculateur!ET196*VLOOKUP('Données projet'!$B$15,Paramètres!$A$1:$I$89,3,0)*0.475*44/12</f>
        <v>6.5624190279099812E-2</v>
      </c>
      <c r="EX196" s="21">
        <f>EXP(-LN(2)/2)*EX195+(1-EXP(-LN(2)/2))/(LN(2)/2)*ER196*EU196*VLOOKUP('Données projet'!$B$15,Paramètres!$A$1:$I$89,3,0)*0.475*44/12</f>
        <v>8.6506605288180147E-25</v>
      </c>
      <c r="EY196" s="22">
        <f t="shared" si="181"/>
        <v>0.35714029515803353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3.05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33.895680000000084</v>
      </c>
      <c r="D197" s="11">
        <f t="shared" ref="D197:D203" si="202">IFERROR(EXP(-1.0587+0.8836*LN(C197)+0.284),0)</f>
        <v>10.365436928111162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116.93739058733445</v>
      </c>
      <c r="H197" s="67">
        <f t="shared" si="192"/>
        <v>289.02144531646042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-1.9065282685915009E-13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542.23071537860039</v>
      </c>
      <c r="T197" s="59">
        <f t="shared" ref="T197:T203" si="204">$T$3</f>
        <v>667.26143680054633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0.28525601299726039</v>
      </c>
      <c r="AA197" s="21">
        <f>EXP(-LN(2)/25)*AA196+(1-EXP(-LN(2)/25))/(LN(2)/25)*Calculateur!V197*Calculateur!X197*VLOOKUP('Données projet'!$B$9,Paramètres!$A$1:$I$89,3,0)*0.475*44/12</f>
        <v>0.45162442903886518</v>
      </c>
      <c r="AB197" s="21">
        <f>EXP(-LN(2)/2)*AB196+(1-EXP(-LN(2)/2))/(LN(2)/2)*V197*Y197*VLOOKUP('Données projet'!$B$9,Paramètres!$A$1:$I$89,3,0)*0.475*44/12</f>
        <v>2.981563783899841E-24</v>
      </c>
      <c r="AC197" s="22">
        <f t="shared" si="163"/>
        <v>0.73688044203612557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-1.2710188457276673E-13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427.83834708696861</v>
      </c>
      <c r="AO197" s="59">
        <f t="shared" ref="AO197:AO203" si="205">$AO$3</f>
        <v>545.63950537101903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0.17115360779835651</v>
      </c>
      <c r="AV197" s="21">
        <f>EXP(-LN(2)/25)*AV196+(1-EXP(-LN(2)/25))/(LN(2)/25)*Calculateur!AQ197*Calculateur!AS197*VLOOKUP('Données projet'!$B$10,Paramètres!$A$1:$I$89,3,0)*0.475*44/12</f>
        <v>0.26094392258274757</v>
      </c>
      <c r="AW197" s="21">
        <f>EXP(-LN(2)/2)*AW196+(1-EXP(-LN(2)/2))/(LN(2)/2)*AQ197*AT197*VLOOKUP('Données projet'!$B$10,Paramètres!$A$1:$I$89,3,0)*0.475*44/12</f>
        <v>1.9133166429255854E-24</v>
      </c>
      <c r="AX197" s="21">
        <f t="shared" si="166"/>
        <v>0.4320975303811041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-2.6602720026858149E-14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210.62109466714364</v>
      </c>
      <c r="BJ197" s="59">
        <f t="shared" ref="BJ197:BJ203" si="206">$BJ$3</f>
        <v>193.35729443770401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0.25363808124508186</v>
      </c>
      <c r="BQ197" s="21">
        <f>EXP(-LN(2)/25)*BQ196+(1-EXP(-LN(2)/25))/(LN(2)/25)*Calculateur!BL197*Calculateur!BN197*VLOOKUP('Données projet'!$B$11,Paramètres!$A$1:$I$89,3,0)*0.475*44/12</f>
        <v>8.4917926670455043E-2</v>
      </c>
      <c r="BR197" s="21">
        <f>EXP(-LN(2)/2)*BR196+(1-EXP(-LN(2)/2))/(LN(2)/2)*BL197*BO197*VLOOKUP('Données projet'!$B$11,Paramètres!$A$1:$I$89,3,0)*0.475*44/12</f>
        <v>1.6369864780711269E-24</v>
      </c>
      <c r="BS197" s="22">
        <f t="shared" si="169"/>
        <v>0.33855600791553692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368.16165268258442</v>
      </c>
      <c r="CE197" s="59">
        <f t="shared" ref="CE197:CE203" si="207">$CE$3</f>
        <v>291.32219253157041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0.29059776908882373</v>
      </c>
      <c r="CL197" s="21">
        <f>EXP(-LN(2)/25)*CL196+(1-EXP(-LN(2)/25))/(LN(2)/25)*Calculateur!CG197*Calculateur!CI197*VLOOKUP('Données projet'!$B$12,Paramètres!$A$1:$I$89,3,0)*0.475*44/12</f>
        <v>7.0408068493922948E-2</v>
      </c>
      <c r="CM197" s="21">
        <f>EXP(-LN(2)/2)*CM196+(1-EXP(-LN(2)/2))/(LN(2)/2)*CG197*CJ197*VLOOKUP('Données projet'!$B$12,Paramètres!$A$1:$I$89,3,0)*0.475*44/12</f>
        <v>1.6384035680951901E-24</v>
      </c>
      <c r="CN197" s="22">
        <f t="shared" si="172"/>
        <v>0.36100583758274668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1.1368683772161603E-13</v>
      </c>
      <c r="CU197" s="17">
        <f>CT197*VLOOKUP('Données projet'!$B$13,Paramètres!$A$1:$I$89,3,0)*VLOOKUP('Données projet'!$B$13,Paramètres!$A$1:$I$89,5,0)</f>
        <v>6.7984728957526396E-14</v>
      </c>
      <c r="CV197" s="13">
        <f t="shared" si="173"/>
        <v>1.0682447123141398E-12</v>
      </c>
      <c r="CW197" s="20">
        <f t="shared" si="174"/>
        <v>1.978932943548152E-12</v>
      </c>
      <c r="CX197" s="59">
        <f t="shared" si="196"/>
        <v>291.45785734587605</v>
      </c>
      <c r="CY197" s="59">
        <f ca="1">AVERAGE(OFFSET($CX$3,0,0,'Données projet'!$E$13+1,1))-AVERAGE(OFFSET($H$3,0,0,'Données projet'!$E$13+1,1))</f>
        <v>317.12995176362455</v>
      </c>
      <c r="CZ197" s="59">
        <f t="shared" ref="CZ197:CZ203" si="208">$CZ$3</f>
        <v>328.11301015275262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0.7015269581340916</v>
      </c>
      <c r="DG197" s="21">
        <f>EXP(-LN(2)/25)*DG196+(1-EXP(-LN(2)/25))/(LN(2)/25)*Calculateur!DB197*Calculateur!DD197*VLOOKUP('Données projet'!$B$13,Paramètres!$A$1:$I$89,3,0)*0.475*44/12</f>
        <v>0.17091112997040642</v>
      </c>
      <c r="DH197" s="21">
        <f>EXP(-LN(2)/2)*DH196+(1-EXP(-LN(2)/2))/(LN(2)/2)*DB197*DE197*VLOOKUP('Données projet'!$B$13,Paramètres!$A$1:$I$89,3,0)*0.475*44/12</f>
        <v>1.18729031818681E-24</v>
      </c>
      <c r="DI197" s="22">
        <f t="shared" si="175"/>
        <v>0.87243808810449797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2.8421709430404007E-14</v>
      </c>
      <c r="DP197" s="17">
        <f>DO197*VLOOKUP('Données projet'!$B$14,Paramètres!$A$1:$I$89,3,0)*VLOOKUP('Données projet'!$B$14,Paramètres!$A$1:$I$89,5,0)</f>
        <v>2.4829205358400945E-14</v>
      </c>
      <c r="DQ197" s="13">
        <f t="shared" si="176"/>
        <v>4.3867331143352915E-13</v>
      </c>
      <c r="DR197" s="20">
        <f t="shared" si="177"/>
        <v>8.0726688341261168E-13</v>
      </c>
      <c r="DS197" s="59">
        <f t="shared" si="197"/>
        <v>291.45785734587486</v>
      </c>
      <c r="DT197" s="59">
        <f ca="1">AVERAGE(OFFSET($DS$3,0,0,'Données projet'!$E$14+1,1))-AVERAGE(OFFSET($H$3,0,0,'Données projet'!$E$14+1,1))</f>
        <v>325.5873213944476</v>
      </c>
      <c r="DU197" s="59">
        <f t="shared" ref="DU197:DU203" si="209">$DU$3</f>
        <v>347.9042278368363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0.11377564104621826</v>
      </c>
      <c r="EB197" s="21">
        <f>EXP(-LN(2)/25)*EB196+(1-EXP(-LN(2)/25))/(LN(2)/25)*Calculateur!DW197*Calculateur!DY197*VLOOKUP('Données projet'!$B$14,Paramètres!$A$1:$I$89,3,0)*0.475*44/12</f>
        <v>9.3514018613142499E-2</v>
      </c>
      <c r="EC197" s="21">
        <f>EXP(-LN(2)/2)*EC196+(1-EXP(-LN(2)/2))/(LN(2)/2)*DW197*DZ197*VLOOKUP('Données projet'!$B$14,Paramètres!$A$1:$I$89,3,0)*0.475*44/12</f>
        <v>2.471164988467349E-24</v>
      </c>
      <c r="ED197" s="22">
        <f t="shared" si="178"/>
        <v>0.20728965965936075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205.5480000480477</v>
      </c>
      <c r="EP197" s="59">
        <f t="shared" ref="EP197:EP203" si="210">$EP$3</f>
        <v>229.86812144828366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0.28579965186952477</v>
      </c>
      <c r="EW197" s="21">
        <f>EXP(-LN(2)/25)*EW196+(1-EXP(-LN(2)/25))/(LN(2)/25)*Calculateur!ER197*Calculateur!ET197*VLOOKUP('Données projet'!$B$15,Paramètres!$A$1:$I$89,3,0)*0.475*44/12</f>
        <v>6.382969334489165E-2</v>
      </c>
      <c r="EX197" s="21">
        <f>EXP(-LN(2)/2)*EX196+(1-EXP(-LN(2)/2))/(LN(2)/2)*ER197*EU197*VLOOKUP('Données projet'!$B$15,Paramètres!$A$1:$I$89,3,0)*0.475*44/12</f>
        <v>6.1169407216700235E-25</v>
      </c>
      <c r="EY197" s="22">
        <f t="shared" si="181"/>
        <v>0.34962934521441641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3.05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34.070400000000085</v>
      </c>
      <c r="D198" s="11">
        <f t="shared" si="202"/>
        <v>10.412633617059338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117.48556374178889</v>
      </c>
      <c r="H198" s="67">
        <f t="shared" si="192"/>
        <v>289.40795021637848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-1.9065282685915009E-13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542.23071537860039</v>
      </c>
      <c r="T198" s="59">
        <f t="shared" si="204"/>
        <v>667.26143680054633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0.27966231657137208</v>
      </c>
      <c r="AA198" s="21">
        <f>EXP(-LN(2)/25)*AA197+(1-EXP(-LN(2)/25))/(LN(2)/25)*Calculateur!V198*Calculateur!X198*VLOOKUP('Données projet'!$B$9,Paramètres!$A$1:$I$89,3,0)*0.475*44/12</f>
        <v>0.43927473527690092</v>
      </c>
      <c r="AB198" s="21">
        <f>EXP(-LN(2)/2)*AB197+(1-EXP(-LN(2)/2))/(LN(2)/2)*V198*Y198*VLOOKUP('Données projet'!$B$9,Paramètres!$A$1:$I$89,3,0)*0.475*44/12</f>
        <v>2.1082839701357995E-24</v>
      </c>
      <c r="AC198" s="22">
        <f t="shared" si="163"/>
        <v>0.71893705184827295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-1.2710188457276673E-13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427.83834708696861</v>
      </c>
      <c r="AO198" s="59">
        <f t="shared" si="205"/>
        <v>545.63950537101903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0.1677973899428235</v>
      </c>
      <c r="AV198" s="21">
        <f>EXP(-LN(2)/25)*AV197+(1-EXP(-LN(2)/25))/(LN(2)/25)*Calculateur!AQ198*Calculateur!AS198*VLOOKUP('Données projet'!$B$10,Paramètres!$A$1:$I$89,3,0)*0.475*44/12</f>
        <v>0.25380839729727783</v>
      </c>
      <c r="AW198" s="21">
        <f>EXP(-LN(2)/2)*AW197+(1-EXP(-LN(2)/2))/(LN(2)/2)*AQ198*AT198*VLOOKUP('Données projet'!$B$10,Paramètres!$A$1:$I$89,3,0)*0.475*44/12</f>
        <v>1.3529191727697616E-24</v>
      </c>
      <c r="AX198" s="21">
        <f t="shared" si="166"/>
        <v>0.42160578724010134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-2.6602720026858149E-14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210.62109466714364</v>
      </c>
      <c r="BJ198" s="59">
        <f t="shared" si="206"/>
        <v>193.35729443770401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0.24866439317581962</v>
      </c>
      <c r="BQ198" s="21">
        <f>EXP(-LN(2)/25)*BQ197+(1-EXP(-LN(2)/25))/(LN(2)/25)*Calculateur!BL198*Calculateur!BN198*VLOOKUP('Données projet'!$B$11,Paramètres!$A$1:$I$89,3,0)*0.475*44/12</f>
        <v>8.2595841500011771E-2</v>
      </c>
      <c r="BR198" s="21">
        <f>EXP(-LN(2)/2)*BR197+(1-EXP(-LN(2)/2))/(LN(2)/2)*BL198*BO198*VLOOKUP('Données projet'!$B$11,Paramètres!$A$1:$I$89,3,0)*0.475*44/12</f>
        <v>1.1575242393547776E-24</v>
      </c>
      <c r="BS198" s="22">
        <f t="shared" si="169"/>
        <v>0.33126023467583138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368.16165268258442</v>
      </c>
      <c r="CE198" s="59">
        <f t="shared" si="207"/>
        <v>291.32219253157041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0.28489932408412932</v>
      </c>
      <c r="CL198" s="21">
        <f>EXP(-LN(2)/25)*CL197+(1-EXP(-LN(2)/25))/(LN(2)/25)*Calculateur!CG198*Calculateur!CI198*VLOOKUP('Données projet'!$B$12,Paramètres!$A$1:$I$89,3,0)*0.475*44/12</f>
        <v>6.8482756158357222E-2</v>
      </c>
      <c r="CM198" s="21">
        <f>EXP(-LN(2)/2)*CM197+(1-EXP(-LN(2)/2))/(LN(2)/2)*CG198*CJ198*VLOOKUP('Données projet'!$B$12,Paramètres!$A$1:$I$89,3,0)*0.475*44/12</f>
        <v>1.1585262733203444E-24</v>
      </c>
      <c r="CN198" s="22">
        <f t="shared" si="172"/>
        <v>0.35338208024248652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1.1368683772161603E-13</v>
      </c>
      <c r="CU198" s="17">
        <f>CT198*VLOOKUP('Données projet'!$B$13,Paramètres!$A$1:$I$89,3,0)*VLOOKUP('Données projet'!$B$13,Paramètres!$A$1:$I$89,5,0)</f>
        <v>6.7984728957526396E-14</v>
      </c>
      <c r="CV198" s="13">
        <f t="shared" si="173"/>
        <v>1.0682447123141398E-12</v>
      </c>
      <c r="CW198" s="20">
        <f t="shared" si="174"/>
        <v>1.978932943548152E-12</v>
      </c>
      <c r="CX198" s="59">
        <f t="shared" si="196"/>
        <v>291.49039266132229</v>
      </c>
      <c r="CY198" s="59">
        <f ca="1">AVERAGE(OFFSET($CX$3,0,0,'Données projet'!$E$13+1,1))-AVERAGE(OFFSET($H$3,0,0,'Données projet'!$E$13+1,1))</f>
        <v>317.12995176362455</v>
      </c>
      <c r="CZ198" s="59">
        <f t="shared" si="208"/>
        <v>328.11301015275262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0.68777044237427598</v>
      </c>
      <c r="DG198" s="21">
        <f>EXP(-LN(2)/25)*DG197+(1-EXP(-LN(2)/25))/(LN(2)/25)*Calculateur!DB198*Calculateur!DD198*VLOOKUP('Données projet'!$B$13,Paramètres!$A$1:$I$89,3,0)*0.475*44/12</f>
        <v>0.16623755613353994</v>
      </c>
      <c r="DH198" s="21">
        <f>EXP(-LN(2)/2)*DH197+(1-EXP(-LN(2)/2))/(LN(2)/2)*DB198*DE198*VLOOKUP('Données projet'!$B$13,Paramètres!$A$1:$I$89,3,0)*0.475*44/12</f>
        <v>8.3954103522702707E-25</v>
      </c>
      <c r="DI198" s="22">
        <f t="shared" si="175"/>
        <v>0.85400799850781595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2.8421709430404007E-14</v>
      </c>
      <c r="DP198" s="17">
        <f>DO198*VLOOKUP('Données projet'!$B$14,Paramètres!$A$1:$I$89,3,0)*VLOOKUP('Données projet'!$B$14,Paramètres!$A$1:$I$89,5,0)</f>
        <v>2.4829205358400945E-14</v>
      </c>
      <c r="DQ198" s="13">
        <f t="shared" si="176"/>
        <v>4.3867331143352915E-13</v>
      </c>
      <c r="DR198" s="20">
        <f t="shared" si="177"/>
        <v>8.0726688341261168E-13</v>
      </c>
      <c r="DS198" s="59">
        <f t="shared" si="197"/>
        <v>291.4903926613211</v>
      </c>
      <c r="DT198" s="59">
        <f ca="1">AVERAGE(OFFSET($DS$3,0,0,'Données projet'!$E$14+1,1))-AVERAGE(OFFSET($H$3,0,0,'Données projet'!$E$14+1,1))</f>
        <v>325.5873213944476</v>
      </c>
      <c r="DU198" s="59">
        <f t="shared" si="209"/>
        <v>347.9042278368363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0.11154457012159065</v>
      </c>
      <c r="EB198" s="21">
        <f>EXP(-LN(2)/25)*EB197+(1-EXP(-LN(2)/25))/(LN(2)/25)*Calculateur!DW198*Calculateur!DY198*VLOOKUP('Données projet'!$B$14,Paramètres!$A$1:$I$89,3,0)*0.475*44/12</f>
        <v>9.0956872856477605E-2</v>
      </c>
      <c r="EC198" s="21">
        <f>EXP(-LN(2)/2)*EC197+(1-EXP(-LN(2)/2))/(LN(2)/2)*DW198*DZ198*VLOOKUP('Données projet'!$B$14,Paramètres!$A$1:$I$89,3,0)*0.475*44/12</f>
        <v>1.747377520776039E-24</v>
      </c>
      <c r="ED198" s="22">
        <f t="shared" si="178"/>
        <v>0.20250144297806827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205.5480000480477</v>
      </c>
      <c r="EP198" s="59">
        <f t="shared" si="210"/>
        <v>229.86812144828366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0.28019529501693829</v>
      </c>
      <c r="EW198" s="21">
        <f>EXP(-LN(2)/25)*EW197+(1-EXP(-LN(2)/25))/(LN(2)/25)*Calculateur!ER198*Calculateur!ET198*VLOOKUP('Données projet'!$B$15,Paramètres!$A$1:$I$89,3,0)*0.475*44/12</f>
        <v>6.2084267023717901E-2</v>
      </c>
      <c r="EX198" s="21">
        <f>EXP(-LN(2)/2)*EX197+(1-EXP(-LN(2)/2))/(LN(2)/2)*ER198*EU198*VLOOKUP('Données projet'!$B$15,Paramètres!$A$1:$I$89,3,0)*0.475*44/12</f>
        <v>4.3253302644090074E-25</v>
      </c>
      <c r="EY198" s="22">
        <f t="shared" si="181"/>
        <v>0.34227956204065618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3.05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34.245120000000085</v>
      </c>
      <c r="D199" s="11">
        <f t="shared" si="202"/>
        <v>10.459802141490956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118.03366732494629</v>
      </c>
      <c r="H199" s="67">
        <f t="shared" si="192"/>
        <v>289.79440606309686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-1.9065282685915009E-13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542.23071537860039</v>
      </c>
      <c r="T199" s="59">
        <f t="shared" si="204"/>
        <v>667.26143680054633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0.2741783091205775</v>
      </c>
      <c r="AA199" s="21">
        <f>EXP(-LN(2)/25)*AA198+(1-EXP(-LN(2)/25))/(LN(2)/25)*Calculateur!V199*Calculateur!X199*VLOOKUP('Données projet'!$B$9,Paramètres!$A$1:$I$89,3,0)*0.475*44/12</f>
        <v>0.42726274454029972</v>
      </c>
      <c r="AB199" s="21">
        <f>EXP(-LN(2)/2)*AB198+(1-EXP(-LN(2)/2))/(LN(2)/2)*V199*Y199*VLOOKUP('Données projet'!$B$9,Paramètres!$A$1:$I$89,3,0)*0.475*44/12</f>
        <v>1.4907818919499205E-24</v>
      </c>
      <c r="AC199" s="22">
        <f t="shared" si="163"/>
        <v>0.70144105366087728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-1.2710188457276673E-13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427.83834708696861</v>
      </c>
      <c r="AO199" s="59">
        <f t="shared" si="205"/>
        <v>545.63950537101903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0.16450698547234674</v>
      </c>
      <c r="AV199" s="21">
        <f>EXP(-LN(2)/25)*AV198+(1-EXP(-LN(2)/25))/(LN(2)/25)*Calculateur!AQ199*Calculateur!AS199*VLOOKUP('Données projet'!$B$10,Paramètres!$A$1:$I$89,3,0)*0.475*44/12</f>
        <v>0.24686799332598025</v>
      </c>
      <c r="AW199" s="21">
        <f>EXP(-LN(2)/2)*AW198+(1-EXP(-LN(2)/2))/(LN(2)/2)*AQ199*AT199*VLOOKUP('Données projet'!$B$10,Paramètres!$A$1:$I$89,3,0)*0.475*44/12</f>
        <v>9.566583214627927E-25</v>
      </c>
      <c r="AX199" s="21">
        <f t="shared" si="166"/>
        <v>0.41137497879832696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-2.6602720026858149E-14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210.62109466714364</v>
      </c>
      <c r="BJ199" s="59">
        <f t="shared" si="206"/>
        <v>193.35729443770401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0.24378823609594544</v>
      </c>
      <c r="BQ199" s="21">
        <f>EXP(-LN(2)/25)*BQ198+(1-EXP(-LN(2)/25))/(LN(2)/25)*Calculateur!BL199*Calculateur!BN199*VLOOKUP('Données projet'!$B$11,Paramètres!$A$1:$I$89,3,0)*0.475*44/12</f>
        <v>8.0337253870667424E-2</v>
      </c>
      <c r="BR199" s="21">
        <f>EXP(-LN(2)/2)*BR198+(1-EXP(-LN(2)/2))/(LN(2)/2)*BL199*BO199*VLOOKUP('Données projet'!$B$11,Paramètres!$A$1:$I$89,3,0)*0.475*44/12</f>
        <v>8.1849323903556365E-25</v>
      </c>
      <c r="BS199" s="22">
        <f t="shared" si="169"/>
        <v>0.32412548996661283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368.16165268258442</v>
      </c>
      <c r="CE199" s="59">
        <f t="shared" si="207"/>
        <v>291.32219253157041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0.27931262211026875</v>
      </c>
      <c r="CL199" s="21">
        <f>EXP(-LN(2)/25)*CL198+(1-EXP(-LN(2)/25))/(LN(2)/25)*Calculateur!CG199*Calculateur!CI199*VLOOKUP('Données projet'!$B$12,Paramètres!$A$1:$I$89,3,0)*0.475*44/12</f>
        <v>6.6610091589855314E-2</v>
      </c>
      <c r="CM199" s="21">
        <f>EXP(-LN(2)/2)*CM198+(1-EXP(-LN(2)/2))/(LN(2)/2)*CG199*CJ199*VLOOKUP('Données projet'!$B$12,Paramètres!$A$1:$I$89,3,0)*0.475*44/12</f>
        <v>8.1920178404759521E-25</v>
      </c>
      <c r="CN199" s="22">
        <f t="shared" si="172"/>
        <v>0.34592271370012406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1.1368683772161603E-13</v>
      </c>
      <c r="CU199" s="17">
        <f>CT199*VLOOKUP('Données projet'!$B$13,Paramètres!$A$1:$I$89,3,0)*VLOOKUP('Données projet'!$B$13,Paramètres!$A$1:$I$89,5,0)</f>
        <v>6.7984728957526396E-14</v>
      </c>
      <c r="CV199" s="13">
        <f t="shared" si="173"/>
        <v>1.0682447123141398E-12</v>
      </c>
      <c r="CW199" s="20">
        <f t="shared" si="174"/>
        <v>1.978932943548152E-12</v>
      </c>
      <c r="CX199" s="59">
        <f t="shared" si="196"/>
        <v>291.52236356178361</v>
      </c>
      <c r="CY199" s="59">
        <f ca="1">AVERAGE(OFFSET($CX$3,0,0,'Données projet'!$E$13+1,1))-AVERAGE(OFFSET($H$3,0,0,'Données projet'!$E$13+1,1))</f>
        <v>317.12995176362455</v>
      </c>
      <c r="CZ199" s="59">
        <f t="shared" si="208"/>
        <v>328.11301015275262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0.67428368349786427</v>
      </c>
      <c r="DG199" s="21">
        <f>EXP(-LN(2)/25)*DG198+(1-EXP(-LN(2)/25))/(LN(2)/25)*Calculateur!DB199*Calculateur!DD199*VLOOKUP('Données projet'!$B$13,Paramètres!$A$1:$I$89,3,0)*0.475*44/12</f>
        <v>0.16169178141901516</v>
      </c>
      <c r="DH199" s="21">
        <f>EXP(-LN(2)/2)*DH198+(1-EXP(-LN(2)/2))/(LN(2)/2)*DB199*DE199*VLOOKUP('Données projet'!$B$13,Paramètres!$A$1:$I$89,3,0)*0.475*44/12</f>
        <v>5.9364515909340502E-25</v>
      </c>
      <c r="DI199" s="22">
        <f t="shared" si="175"/>
        <v>0.83597546491687946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2.8421709430404007E-14</v>
      </c>
      <c r="DP199" s="17">
        <f>DO199*VLOOKUP('Données projet'!$B$14,Paramètres!$A$1:$I$89,3,0)*VLOOKUP('Données projet'!$B$14,Paramètres!$A$1:$I$89,5,0)</f>
        <v>2.4829205358400945E-14</v>
      </c>
      <c r="DQ199" s="13">
        <f t="shared" si="176"/>
        <v>4.3867331143352915E-13</v>
      </c>
      <c r="DR199" s="20">
        <f t="shared" si="177"/>
        <v>8.0726688341261168E-13</v>
      </c>
      <c r="DS199" s="59">
        <f t="shared" si="197"/>
        <v>291.52236356178241</v>
      </c>
      <c r="DT199" s="59">
        <f ca="1">AVERAGE(OFFSET($DS$3,0,0,'Données projet'!$E$14+1,1))-AVERAGE(OFFSET($H$3,0,0,'Données projet'!$E$14+1,1))</f>
        <v>325.5873213944476</v>
      </c>
      <c r="DU199" s="59">
        <f t="shared" si="209"/>
        <v>347.9042278368363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0.10935724913697609</v>
      </c>
      <c r="EB199" s="21">
        <f>EXP(-LN(2)/25)*EB198+(1-EXP(-LN(2)/25))/(LN(2)/25)*Calculateur!DW199*Calculateur!DY199*VLOOKUP('Données projet'!$B$14,Paramètres!$A$1:$I$89,3,0)*0.475*44/12</f>
        <v>8.8469652385003164E-2</v>
      </c>
      <c r="EC199" s="21">
        <f>EXP(-LN(2)/2)*EC198+(1-EXP(-LN(2)/2))/(LN(2)/2)*DW199*DZ199*VLOOKUP('Données projet'!$B$14,Paramètres!$A$1:$I$89,3,0)*0.475*44/12</f>
        <v>1.2355824942336745E-24</v>
      </c>
      <c r="ED199" s="22">
        <f t="shared" si="178"/>
        <v>0.19782690152197924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205.5480000480477</v>
      </c>
      <c r="EP199" s="59">
        <f t="shared" si="210"/>
        <v>229.86812144828366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0.27470083618391089</v>
      </c>
      <c r="EW199" s="21">
        <f>EXP(-LN(2)/25)*EW198+(1-EXP(-LN(2)/25))/(LN(2)/25)*Calculateur!ER199*Calculateur!ET199*VLOOKUP('Données projet'!$B$15,Paramètres!$A$1:$I$89,3,0)*0.475*44/12</f>
        <v>6.038656947708463E-2</v>
      </c>
      <c r="EX199" s="21">
        <f>EXP(-LN(2)/2)*EX198+(1-EXP(-LN(2)/2))/(LN(2)/2)*ER199*EU199*VLOOKUP('Données projet'!$B$15,Paramètres!$A$1:$I$89,3,0)*0.475*44/12</f>
        <v>3.0584703608350118E-25</v>
      </c>
      <c r="EY199" s="22">
        <f t="shared" si="181"/>
        <v>0.33508740566099554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3.05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34.419840000000086</v>
      </c>
      <c r="D200" s="11">
        <f t="shared" si="202"/>
        <v>10.506942661782565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118.58170173296489</v>
      </c>
      <c r="H200" s="67">
        <f t="shared" si="192"/>
        <v>290.18081313593808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-1.9065282685915009E-13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542.23071537860039</v>
      </c>
      <c r="T200" s="59">
        <f t="shared" si="204"/>
        <v>667.26143680054633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0.26880183971097871</v>
      </c>
      <c r="AA200" s="21">
        <f>EXP(-LN(2)/25)*AA199+(1-EXP(-LN(2)/25))/(LN(2)/25)*Calculateur!V200*Calculateur!X200*VLOOKUP('Données projet'!$B$9,Paramètres!$A$1:$I$89,3,0)*0.475*44/12</f>
        <v>0.415579222322074</v>
      </c>
      <c r="AB200" s="21">
        <f>EXP(-LN(2)/2)*AB199+(1-EXP(-LN(2)/2))/(LN(2)/2)*V200*Y200*VLOOKUP('Données projet'!$B$9,Paramètres!$A$1:$I$89,3,0)*0.475*44/12</f>
        <v>1.0541419850678998E-24</v>
      </c>
      <c r="AC200" s="22">
        <f t="shared" si="163"/>
        <v>0.68438106203305271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-1.2710188457276673E-13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427.83834708696861</v>
      </c>
      <c r="AO200" s="59">
        <f t="shared" si="205"/>
        <v>545.63950537101903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0.16128110382658747</v>
      </c>
      <c r="AV200" s="21">
        <f>EXP(-LN(2)/25)*AV199+(1-EXP(-LN(2)/25))/(LN(2)/25)*Calculateur!AQ200*Calculateur!AS200*VLOOKUP('Données projet'!$B$10,Paramètres!$A$1:$I$89,3,0)*0.475*44/12</f>
        <v>0.24011737506625777</v>
      </c>
      <c r="AW200" s="21">
        <f>EXP(-LN(2)/2)*AW199+(1-EXP(-LN(2)/2))/(LN(2)/2)*AQ200*AT200*VLOOKUP('Données projet'!$B$10,Paramètres!$A$1:$I$89,3,0)*0.475*44/12</f>
        <v>6.7645958638488081E-25</v>
      </c>
      <c r="AX200" s="21">
        <f t="shared" si="166"/>
        <v>0.40139847889284525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-2.6602720026858149E-14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210.62109466714364</v>
      </c>
      <c r="BJ200" s="59">
        <f t="shared" si="206"/>
        <v>193.35729443770401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0.23900769748224543</v>
      </c>
      <c r="BQ200" s="21">
        <f>EXP(-LN(2)/25)*BQ199+(1-EXP(-LN(2)/25))/(LN(2)/25)*Calculateur!BL200*Calculateur!BN200*VLOOKUP('Données projet'!$B$11,Paramètres!$A$1:$I$89,3,0)*0.475*44/12</f>
        <v>7.814042743882145E-2</v>
      </c>
      <c r="BR200" s="21">
        <f>EXP(-LN(2)/2)*BR199+(1-EXP(-LN(2)/2))/(LN(2)/2)*BL200*BO200*VLOOKUP('Données projet'!$B$11,Paramètres!$A$1:$I$89,3,0)*0.475*44/12</f>
        <v>5.7876211967738889E-25</v>
      </c>
      <c r="BS200" s="22">
        <f t="shared" si="169"/>
        <v>0.31714812492106687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368.16165268258442</v>
      </c>
      <c r="CE200" s="59">
        <f t="shared" si="207"/>
        <v>291.32219253157041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0.27383547195456381</v>
      </c>
      <c r="CL200" s="21">
        <f>EXP(-LN(2)/25)*CL199+(1-EXP(-LN(2)/25))/(LN(2)/25)*Calculateur!CG200*Calculateur!CI200*VLOOKUP('Données projet'!$B$12,Paramètres!$A$1:$I$89,3,0)*0.475*44/12</f>
        <v>6.4788635132458236E-2</v>
      </c>
      <c r="CM200" s="21">
        <f>EXP(-LN(2)/2)*CM199+(1-EXP(-LN(2)/2))/(LN(2)/2)*CG200*CJ200*VLOOKUP('Données projet'!$B$12,Paramètres!$A$1:$I$89,3,0)*0.475*44/12</f>
        <v>5.7926313666017229E-25</v>
      </c>
      <c r="CN200" s="22">
        <f t="shared" si="172"/>
        <v>0.33862410708702206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1.1368683772161603E-13</v>
      </c>
      <c r="CU200" s="17">
        <f>CT200*VLOOKUP('Données projet'!$B$13,Paramètres!$A$1:$I$89,3,0)*VLOOKUP('Données projet'!$B$13,Paramètres!$A$1:$I$89,5,0)</f>
        <v>6.7984728957526396E-14</v>
      </c>
      <c r="CV200" s="13">
        <f t="shared" si="173"/>
        <v>1.0682447123141398E-12</v>
      </c>
      <c r="CW200" s="20">
        <f t="shared" si="174"/>
        <v>1.978932943548152E-12</v>
      </c>
      <c r="CX200" s="59">
        <f t="shared" si="196"/>
        <v>291.55377983859813</v>
      </c>
      <c r="CY200" s="59">
        <f ca="1">AVERAGE(OFFSET($CX$3,0,0,'Données projet'!$E$13+1,1))-AVERAGE(OFFSET($H$3,0,0,'Données projet'!$E$13+1,1))</f>
        <v>317.12995176362455</v>
      </c>
      <c r="CZ200" s="59">
        <f t="shared" si="208"/>
        <v>328.11301015275262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0.66106139173690825</v>
      </c>
      <c r="DG200" s="21">
        <f>EXP(-LN(2)/25)*DG199+(1-EXP(-LN(2)/25))/(LN(2)/25)*Calculateur!DB200*Calculateur!DD200*VLOOKUP('Données projet'!$B$13,Paramètres!$A$1:$I$89,3,0)*0.475*44/12</f>
        <v>0.15727031115311096</v>
      </c>
      <c r="DH200" s="21">
        <f>EXP(-LN(2)/2)*DH199+(1-EXP(-LN(2)/2))/(LN(2)/2)*DB200*DE200*VLOOKUP('Données projet'!$B$13,Paramètres!$A$1:$I$89,3,0)*0.475*44/12</f>
        <v>4.1977051761351354E-25</v>
      </c>
      <c r="DI200" s="22">
        <f t="shared" si="175"/>
        <v>0.81833170289001922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2.8421709430404007E-14</v>
      </c>
      <c r="DP200" s="17">
        <f>DO200*VLOOKUP('Données projet'!$B$14,Paramètres!$A$1:$I$89,3,0)*VLOOKUP('Données projet'!$B$14,Paramètres!$A$1:$I$89,5,0)</f>
        <v>2.4829205358400945E-14</v>
      </c>
      <c r="DQ200" s="13">
        <f t="shared" si="176"/>
        <v>4.3867331143352915E-13</v>
      </c>
      <c r="DR200" s="20">
        <f t="shared" si="177"/>
        <v>8.0726688341261168E-13</v>
      </c>
      <c r="DS200" s="59">
        <f t="shared" si="197"/>
        <v>291.55377983859694</v>
      </c>
      <c r="DT200" s="59">
        <f ca="1">AVERAGE(OFFSET($DS$3,0,0,'Données projet'!$E$14+1,1))-AVERAGE(OFFSET($H$3,0,0,'Données projet'!$E$14+1,1))</f>
        <v>325.5873213944476</v>
      </c>
      <c r="DU200" s="59">
        <f t="shared" si="209"/>
        <v>347.9042278368363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0.10721282018273574</v>
      </c>
      <c r="EB200" s="21">
        <f>EXP(-LN(2)/25)*EB199+(1-EXP(-LN(2)/25))/(LN(2)/25)*Calculateur!DW200*Calculateur!DY200*VLOOKUP('Données projet'!$B$14,Paramètres!$A$1:$I$89,3,0)*0.475*44/12</f>
        <v>8.6050445088118432E-2</v>
      </c>
      <c r="EC200" s="21">
        <f>EXP(-LN(2)/2)*EC199+(1-EXP(-LN(2)/2))/(LN(2)/2)*DW200*DZ200*VLOOKUP('Données projet'!$B$14,Paramètres!$A$1:$I$89,3,0)*0.475*44/12</f>
        <v>8.736887603880195E-25</v>
      </c>
      <c r="ED200" s="22">
        <f t="shared" si="178"/>
        <v>0.19326326527085419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205.5480000480477</v>
      </c>
      <c r="EP200" s="59">
        <f t="shared" si="210"/>
        <v>229.86812144828366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0.26931412033731017</v>
      </c>
      <c r="EW200" s="21">
        <f>EXP(-LN(2)/25)*EW199+(1-EXP(-LN(2)/25))/(LN(2)/25)*Calculateur!ER200*Calculateur!ET200*VLOOKUP('Données projet'!$B$15,Paramètres!$A$1:$I$89,3,0)*0.475*44/12</f>
        <v>5.873529555914208E-2</v>
      </c>
      <c r="EX200" s="21">
        <f>EXP(-LN(2)/2)*EX199+(1-EXP(-LN(2)/2))/(LN(2)/2)*ER200*EU200*VLOOKUP('Données projet'!$B$15,Paramètres!$A$1:$I$89,3,0)*0.475*44/12</f>
        <v>2.1626651322045037E-25</v>
      </c>
      <c r="EY200" s="22">
        <f t="shared" si="181"/>
        <v>0.32804941589645226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3.05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34.594560000000087</v>
      </c>
      <c r="D201" s="11">
        <f t="shared" si="202"/>
        <v>10.554055336588268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119.12966735774808</v>
      </c>
      <c r="H201" s="67">
        <f t="shared" si="192"/>
        <v>290.56717171122466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-1.9065282685915009E-13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542.23071537860039</v>
      </c>
      <c r="T201" s="59">
        <f t="shared" si="204"/>
        <v>667.26143680054633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0.26353079958717962</v>
      </c>
      <c r="AA201" s="21">
        <f>EXP(-LN(2)/25)*AA200+(1-EXP(-LN(2)/25))/(LN(2)/25)*Calculateur!V201*Calculateur!X201*VLOOKUP('Données projet'!$B$9,Paramètres!$A$1:$I$89,3,0)*0.475*44/12</f>
        <v>0.4042151866333154</v>
      </c>
      <c r="AB201" s="21">
        <f>EXP(-LN(2)/2)*AB200+(1-EXP(-LN(2)/2))/(LN(2)/2)*V201*Y201*VLOOKUP('Données projet'!$B$9,Paramètres!$A$1:$I$89,3,0)*0.475*44/12</f>
        <v>7.4539094597496025E-25</v>
      </c>
      <c r="AC201" s="22">
        <f t="shared" si="163"/>
        <v>0.66774598622049508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-1.2710188457276673E-13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427.83834708696861</v>
      </c>
      <c r="AO201" s="59">
        <f t="shared" si="205"/>
        <v>545.63950537101903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0.15811847975230803</v>
      </c>
      <c r="AV201" s="21">
        <f>EXP(-LN(2)/25)*AV200+(1-EXP(-LN(2)/25))/(LN(2)/25)*Calculateur!AQ201*Calculateur!AS201*VLOOKUP('Données projet'!$B$10,Paramètres!$A$1:$I$89,3,0)*0.475*44/12</f>
        <v>0.233551352817847</v>
      </c>
      <c r="AW201" s="21">
        <f>EXP(-LN(2)/2)*AW200+(1-EXP(-LN(2)/2))/(LN(2)/2)*AQ201*AT201*VLOOKUP('Données projet'!$B$10,Paramètres!$A$1:$I$89,3,0)*0.475*44/12</f>
        <v>4.7832916073139635E-25</v>
      </c>
      <c r="AX201" s="21">
        <f t="shared" si="166"/>
        <v>0.39166983257015503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-2.6602720026858149E-14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210.62109466714364</v>
      </c>
      <c r="BJ201" s="59">
        <f t="shared" si="206"/>
        <v>193.35729443770401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0.23432090231491945</v>
      </c>
      <c r="BQ201" s="21">
        <f>EXP(-LN(2)/25)*BQ200+(1-EXP(-LN(2)/25))/(LN(2)/25)*Calculateur!BL201*Calculateur!BN201*VLOOKUP('Données projet'!$B$11,Paramètres!$A$1:$I$89,3,0)*0.475*44/12</f>
        <v>7.6003673341280387E-2</v>
      </c>
      <c r="BR201" s="21">
        <f>EXP(-LN(2)/2)*BR200+(1-EXP(-LN(2)/2))/(LN(2)/2)*BL201*BO201*VLOOKUP('Données projet'!$B$11,Paramètres!$A$1:$I$89,3,0)*0.475*44/12</f>
        <v>4.0924661951778187E-25</v>
      </c>
      <c r="BS201" s="22">
        <f t="shared" si="169"/>
        <v>0.31032457565619986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368.16165268258442</v>
      </c>
      <c r="CE201" s="59">
        <f t="shared" si="207"/>
        <v>291.32219253157041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0.26846572537268054</v>
      </c>
      <c r="CL201" s="21">
        <f>EXP(-LN(2)/25)*CL200+(1-EXP(-LN(2)/25))/(LN(2)/25)*Calculateur!CG201*Calculateur!CI201*VLOOKUP('Données projet'!$B$12,Paramètres!$A$1:$I$89,3,0)*0.475*44/12</f>
        <v>6.3016986497674926E-2</v>
      </c>
      <c r="CM201" s="21">
        <f>EXP(-LN(2)/2)*CM200+(1-EXP(-LN(2)/2))/(LN(2)/2)*CG201*CJ201*VLOOKUP('Données projet'!$B$12,Paramètres!$A$1:$I$89,3,0)*0.475*44/12</f>
        <v>4.0960089202379765E-25</v>
      </c>
      <c r="CN201" s="22">
        <f t="shared" si="172"/>
        <v>0.3314827118703555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1.1368683772161603E-13</v>
      </c>
      <c r="CU201" s="17">
        <f>CT201*VLOOKUP('Données projet'!$B$13,Paramètres!$A$1:$I$89,3,0)*VLOOKUP('Données projet'!$B$13,Paramètres!$A$1:$I$89,5,0)</f>
        <v>6.7984728957526396E-14</v>
      </c>
      <c r="CV201" s="13">
        <f t="shared" si="173"/>
        <v>1.0682447123141398E-12</v>
      </c>
      <c r="CW201" s="20">
        <f t="shared" si="174"/>
        <v>1.978932943548152E-12</v>
      </c>
      <c r="CX201" s="59">
        <f t="shared" si="196"/>
        <v>291.58465111324625</v>
      </c>
      <c r="CY201" s="59">
        <f ca="1">AVERAGE(OFFSET($CX$3,0,0,'Données projet'!$E$13+1,1))-AVERAGE(OFFSET($H$3,0,0,'Données projet'!$E$13+1,1))</f>
        <v>317.12995176362455</v>
      </c>
      <c r="CZ201" s="59">
        <f t="shared" si="208"/>
        <v>328.11301015275262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0.64809838105258299</v>
      </c>
      <c r="DG201" s="21">
        <f>EXP(-LN(2)/25)*DG200+(1-EXP(-LN(2)/25))/(LN(2)/25)*Calculateur!DB201*Calculateur!DD201*VLOOKUP('Données projet'!$B$13,Paramètres!$A$1:$I$89,3,0)*0.475*44/12</f>
        <v>0.15296974622414292</v>
      </c>
      <c r="DH201" s="21">
        <f>EXP(-LN(2)/2)*DH200+(1-EXP(-LN(2)/2))/(LN(2)/2)*DB201*DE201*VLOOKUP('Données projet'!$B$13,Paramètres!$A$1:$I$89,3,0)*0.475*44/12</f>
        <v>2.9682257954670251E-25</v>
      </c>
      <c r="DI201" s="22">
        <f t="shared" si="175"/>
        <v>0.80106812727672594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2.8421709430404007E-14</v>
      </c>
      <c r="DP201" s="17">
        <f>DO201*VLOOKUP('Données projet'!$B$14,Paramètres!$A$1:$I$89,3,0)*VLOOKUP('Données projet'!$B$14,Paramètres!$A$1:$I$89,5,0)</f>
        <v>2.4829205358400945E-14</v>
      </c>
      <c r="DQ201" s="13">
        <f t="shared" si="176"/>
        <v>4.3867331143352915E-13</v>
      </c>
      <c r="DR201" s="20">
        <f t="shared" si="177"/>
        <v>8.0726688341261168E-13</v>
      </c>
      <c r="DS201" s="59">
        <f t="shared" si="197"/>
        <v>291.58465111324506</v>
      </c>
      <c r="DT201" s="59">
        <f ca="1">AVERAGE(OFFSET($DS$3,0,0,'Données projet'!$E$14+1,1))-AVERAGE(OFFSET($H$3,0,0,'Données projet'!$E$14+1,1))</f>
        <v>325.5873213944476</v>
      </c>
      <c r="DU201" s="59">
        <f t="shared" si="209"/>
        <v>347.9042278368363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0.10511044217231555</v>
      </c>
      <c r="EB201" s="21">
        <f>EXP(-LN(2)/25)*EB200+(1-EXP(-LN(2)/25))/(LN(2)/25)*Calculateur!DW201*Calculateur!DY201*VLOOKUP('Données projet'!$B$14,Paramètres!$A$1:$I$89,3,0)*0.475*44/12</f>
        <v>8.3697391141987598E-2</v>
      </c>
      <c r="EC201" s="21">
        <f>EXP(-LN(2)/2)*EC200+(1-EXP(-LN(2)/2))/(LN(2)/2)*DW201*DZ201*VLOOKUP('Données projet'!$B$14,Paramètres!$A$1:$I$89,3,0)*0.475*44/12</f>
        <v>6.1779124711683725E-25</v>
      </c>
      <c r="ED201" s="22">
        <f t="shared" si="178"/>
        <v>0.18880783331430315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205.5480000480477</v>
      </c>
      <c r="EP201" s="59">
        <f t="shared" si="210"/>
        <v>229.86812144828366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0.26403303470288908</v>
      </c>
      <c r="EW201" s="21">
        <f>EXP(-LN(2)/25)*EW200+(1-EXP(-LN(2)/25))/(LN(2)/25)*Calculateur!ER201*Calculateur!ET201*VLOOKUP('Données projet'!$B$15,Paramètres!$A$1:$I$89,3,0)*0.475*44/12</f>
        <v>5.7129175813322386E-2</v>
      </c>
      <c r="EX201" s="21">
        <f>EXP(-LN(2)/2)*EX200+(1-EXP(-LN(2)/2))/(LN(2)/2)*ER201*EU201*VLOOKUP('Données projet'!$B$15,Paramètres!$A$1:$I$89,3,0)*0.475*44/12</f>
        <v>1.5292351804175059E-25</v>
      </c>
      <c r="EY201" s="22">
        <f t="shared" si="181"/>
        <v>0.32116221051621147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3.05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34.769280000000087</v>
      </c>
      <c r="D202" s="11">
        <f t="shared" si="202"/>
        <v>10.601140322866797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119.67756458701155</v>
      </c>
      <c r="H202" s="67">
        <f t="shared" si="192"/>
        <v>290.95348206232643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-1.9065282685915009E-13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542.23071537860039</v>
      </c>
      <c r="T202" s="59">
        <f t="shared" si="204"/>
        <v>667.26143680054633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0.25836312134519124</v>
      </c>
      <c r="AA202" s="21">
        <f>EXP(-LN(2)/25)*AA201+(1-EXP(-LN(2)/25))/(LN(2)/25)*Calculateur!V202*Calculateur!X202*VLOOKUP('Données projet'!$B$9,Paramètres!$A$1:$I$89,3,0)*0.475*44/12</f>
        <v>0.39316190109807458</v>
      </c>
      <c r="AB202" s="21">
        <f>EXP(-LN(2)/2)*AB201+(1-EXP(-LN(2)/2))/(LN(2)/2)*V202*Y202*VLOOKUP('Données projet'!$B$9,Paramètres!$A$1:$I$89,3,0)*0.475*44/12</f>
        <v>5.2707099253394988E-25</v>
      </c>
      <c r="AC202" s="22">
        <f t="shared" si="163"/>
        <v>0.65152502244326582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-1.2710188457276673E-13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427.83834708696861</v>
      </c>
      <c r="AO202" s="59">
        <f t="shared" si="205"/>
        <v>545.63950537101903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0.15501787280711499</v>
      </c>
      <c r="AV202" s="21">
        <f>EXP(-LN(2)/25)*AV201+(1-EXP(-LN(2)/25))/(LN(2)/25)*Calculateur!AQ202*Calculateur!AS202*VLOOKUP('Données projet'!$B$10,Paramètres!$A$1:$I$89,3,0)*0.475*44/12</f>
        <v>0.22716487879311112</v>
      </c>
      <c r="AW202" s="21">
        <f>EXP(-LN(2)/2)*AW201+(1-EXP(-LN(2)/2))/(LN(2)/2)*AQ202*AT202*VLOOKUP('Données projet'!$B$10,Paramètres!$A$1:$I$89,3,0)*0.475*44/12</f>
        <v>3.3822979319244041E-25</v>
      </c>
      <c r="AX202" s="21">
        <f t="shared" si="166"/>
        <v>0.38218275160022608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-2.6602720026858149E-14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210.62109466714364</v>
      </c>
      <c r="BJ202" s="59">
        <f t="shared" si="206"/>
        <v>193.35729443770401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0.22972601234216194</v>
      </c>
      <c r="BQ202" s="21">
        <f>EXP(-LN(2)/25)*BQ201+(1-EXP(-LN(2)/25))/(LN(2)/25)*Calculateur!BL202*Calculateur!BN202*VLOOKUP('Données projet'!$B$11,Paramètres!$A$1:$I$89,3,0)*0.475*44/12</f>
        <v>7.3925348896903609E-2</v>
      </c>
      <c r="BR202" s="21">
        <f>EXP(-LN(2)/2)*BR201+(1-EXP(-LN(2)/2))/(LN(2)/2)*BL202*BO202*VLOOKUP('Données projet'!$B$11,Paramètres!$A$1:$I$89,3,0)*0.475*44/12</f>
        <v>2.8938105983869449E-25</v>
      </c>
      <c r="BS202" s="22">
        <f t="shared" si="169"/>
        <v>0.30365136123906555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368.16165268258442</v>
      </c>
      <c r="CE202" s="59">
        <f t="shared" si="207"/>
        <v>291.32219253157041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0.263201276246046</v>
      </c>
      <c r="CL202" s="21">
        <f>EXP(-LN(2)/25)*CL201+(1-EXP(-LN(2)/25))/(LN(2)/25)*Calculateur!CG202*Calculateur!CI202*VLOOKUP('Données projet'!$B$12,Paramètres!$A$1:$I$89,3,0)*0.475*44/12</f>
        <v>6.1293783687976715E-2</v>
      </c>
      <c r="CM202" s="21">
        <f>EXP(-LN(2)/2)*CM201+(1-EXP(-LN(2)/2))/(LN(2)/2)*CG202*CJ202*VLOOKUP('Données projet'!$B$12,Paramètres!$A$1:$I$89,3,0)*0.475*44/12</f>
        <v>2.8963156833008619E-25</v>
      </c>
      <c r="CN202" s="22">
        <f t="shared" si="172"/>
        <v>0.32449505993402272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1.1368683772161603E-13</v>
      </c>
      <c r="CU202" s="17">
        <f>CT202*VLOOKUP('Données projet'!$B$13,Paramètres!$A$1:$I$89,3,0)*VLOOKUP('Données projet'!$B$13,Paramètres!$A$1:$I$89,5,0)</f>
        <v>6.7984728957526396E-14</v>
      </c>
      <c r="CV202" s="13">
        <f t="shared" si="173"/>
        <v>1.0682447123141398E-12</v>
      </c>
      <c r="CW202" s="20">
        <f t="shared" si="174"/>
        <v>1.978932943548152E-12</v>
      </c>
      <c r="CX202" s="59">
        <f t="shared" si="196"/>
        <v>291.61498684029698</v>
      </c>
      <c r="CY202" s="59">
        <f ca="1">AVERAGE(OFFSET($CX$3,0,0,'Données projet'!$E$13+1,1))-AVERAGE(OFFSET($H$3,0,0,'Données projet'!$E$13+1,1))</f>
        <v>317.12995176362455</v>
      </c>
      <c r="CZ202" s="59">
        <f t="shared" si="208"/>
        <v>328.11301015275262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0.6353895671011216</v>
      </c>
      <c r="DG202" s="21">
        <f>EXP(-LN(2)/25)*DG201+(1-EXP(-LN(2)/25))/(LN(2)/25)*Calculateur!DB202*Calculateur!DD202*VLOOKUP('Données projet'!$B$13,Paramètres!$A$1:$I$89,3,0)*0.475*44/12</f>
        <v>0.1487867804693144</v>
      </c>
      <c r="DH202" s="21">
        <f>EXP(-LN(2)/2)*DH201+(1-EXP(-LN(2)/2))/(LN(2)/2)*DB202*DE202*VLOOKUP('Données projet'!$B$13,Paramètres!$A$1:$I$89,3,0)*0.475*44/12</f>
        <v>2.0988525880675677E-25</v>
      </c>
      <c r="DI202" s="22">
        <f t="shared" si="175"/>
        <v>0.78417634757043597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2.8421709430404007E-14</v>
      </c>
      <c r="DP202" s="17">
        <f>DO202*VLOOKUP('Données projet'!$B$14,Paramètres!$A$1:$I$89,3,0)*VLOOKUP('Données projet'!$B$14,Paramètres!$A$1:$I$89,5,0)</f>
        <v>2.4829205358400945E-14</v>
      </c>
      <c r="DQ202" s="13">
        <f t="shared" si="176"/>
        <v>4.3867331143352915E-13</v>
      </c>
      <c r="DR202" s="20">
        <f t="shared" si="177"/>
        <v>8.0726688341261168E-13</v>
      </c>
      <c r="DS202" s="59">
        <f t="shared" si="197"/>
        <v>291.61498684029578</v>
      </c>
      <c r="DT202" s="59">
        <f ca="1">AVERAGE(OFFSET($DS$3,0,0,'Données projet'!$E$14+1,1))-AVERAGE(OFFSET($H$3,0,0,'Données projet'!$E$14+1,1))</f>
        <v>325.5873213944476</v>
      </c>
      <c r="DU202" s="59">
        <f t="shared" si="209"/>
        <v>347.9042278368363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0.10304929051235573</v>
      </c>
      <c r="EB202" s="21">
        <f>EXP(-LN(2)/25)*EB201+(1-EXP(-LN(2)/25))/(LN(2)/25)*Calculateur!DW202*Calculateur!DY202*VLOOKUP('Données projet'!$B$14,Paramètres!$A$1:$I$89,3,0)*0.475*44/12</f>
        <v>8.1408681579755435E-2</v>
      </c>
      <c r="EC202" s="21">
        <f>EXP(-LN(2)/2)*EC201+(1-EXP(-LN(2)/2))/(LN(2)/2)*DW202*DZ202*VLOOKUP('Données projet'!$B$14,Paramètres!$A$1:$I$89,3,0)*0.475*44/12</f>
        <v>4.3684438019400975E-25</v>
      </c>
      <c r="ED202" s="22">
        <f t="shared" si="178"/>
        <v>0.18445797209211118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205.5480000480477</v>
      </c>
      <c r="EP202" s="59">
        <f t="shared" si="210"/>
        <v>229.86812144828366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0.25885550793661477</v>
      </c>
      <c r="EW202" s="21">
        <f>EXP(-LN(2)/25)*EW201+(1-EXP(-LN(2)/25))/(LN(2)/25)*Calculateur!ER202*Calculateur!ET202*VLOOKUP('Données projet'!$B$15,Paramètres!$A$1:$I$89,3,0)*0.475*44/12</f>
        <v>5.5566975496414303E-2</v>
      </c>
      <c r="EX202" s="21">
        <f>EXP(-LN(2)/2)*EX201+(1-EXP(-LN(2)/2))/(LN(2)/2)*ER202*EU202*VLOOKUP('Données projet'!$B$15,Paramètres!$A$1:$I$89,3,0)*0.475*44/12</f>
        <v>1.0813325661022518E-25</v>
      </c>
      <c r="EY202" s="22">
        <f t="shared" si="181"/>
        <v>0.31442248343302909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3.05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34.944000000000088</v>
      </c>
      <c r="D203" s="11">
        <f t="shared" si="202"/>
        <v>10.64819777590807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120.22539380434858</v>
      </c>
      <c r="H203" s="67">
        <f t="shared" si="192"/>
        <v>291.33974445970671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-1.9065282685915009E-13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542.23071537860039</v>
      </c>
      <c r="T203" s="59">
        <f t="shared" si="204"/>
        <v>667.26143680054633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0.25329677812155577</v>
      </c>
      <c r="AA203" s="21">
        <f>EXP(-LN(2)/25)*AA202+(1-EXP(-LN(2)/25))/(LN(2)/25)*Calculateur!V203*Calculateur!X203*VLOOKUP('Données projet'!$B$9,Paramètres!$A$1:$I$89,3,0)*0.475*44/12</f>
        <v>0.38241086823706194</v>
      </c>
      <c r="AB203" s="21">
        <f>EXP(-LN(2)/2)*AB202+(1-EXP(-LN(2)/2))/(LN(2)/2)*V203*Y203*VLOOKUP('Données projet'!$B$9,Paramètres!$A$1:$I$89,3,0)*0.475*44/12</f>
        <v>3.7269547298748013E-25</v>
      </c>
      <c r="AC203" s="22">
        <f t="shared" si="163"/>
        <v>0.63570764635861776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-1.2710188457276673E-13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427.83834708696861</v>
      </c>
      <c r="AO203" s="59">
        <f t="shared" si="205"/>
        <v>545.63950537101903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0.15197806687293369</v>
      </c>
      <c r="AV203" s="21">
        <f>EXP(-LN(2)/25)*AV202+(1-EXP(-LN(2)/25))/(LN(2)/25)*Calculateur!AQ203*Calculateur!AS203*VLOOKUP('Données projet'!$B$10,Paramètres!$A$1:$I$89,3,0)*0.475*44/12</f>
        <v>0.22095304323643172</v>
      </c>
      <c r="AW203" s="21">
        <f>EXP(-LN(2)/2)*AW202+(1-EXP(-LN(2)/2))/(LN(2)/2)*AQ203*AT203*VLOOKUP('Données projet'!$B$10,Paramètres!$A$1:$I$89,3,0)*0.475*44/12</f>
        <v>2.3916458036569817E-25</v>
      </c>
      <c r="AX203" s="21">
        <f t="shared" si="166"/>
        <v>0.37293111010936542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-2.6602720026858149E-14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210.62109466714364</v>
      </c>
      <c r="BJ203" s="59">
        <f t="shared" si="206"/>
        <v>193.35729443770401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0.22522122535916408</v>
      </c>
      <c r="BQ203" s="21">
        <f>EXP(-LN(2)/25)*BQ202+(1-EXP(-LN(2)/25))/(LN(2)/25)*Calculateur!BL203*Calculateur!BN203*VLOOKUP('Données projet'!$B$11,Paramètres!$A$1:$I$89,3,0)*0.475*44/12</f>
        <v>7.190385634375264E-2</v>
      </c>
      <c r="BR203" s="21">
        <f>EXP(-LN(2)/2)*BR202+(1-EXP(-LN(2)/2))/(LN(2)/2)*BL203*BO203*VLOOKUP('Données projet'!$B$11,Paramètres!$A$1:$I$89,3,0)*0.475*44/12</f>
        <v>2.0462330975889098E-25</v>
      </c>
      <c r="BS203" s="22">
        <f t="shared" si="169"/>
        <v>0.29712508170291674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368.16165268258442</v>
      </c>
      <c r="CE203" s="59">
        <f t="shared" si="207"/>
        <v>291.32219253157041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0.25804005975578787</v>
      </c>
      <c r="CL203" s="21">
        <f>EXP(-LN(2)/25)*CL202+(1-EXP(-LN(2)/25))/(LN(2)/25)*Calculateur!CG203*Calculateur!CI203*VLOOKUP('Données projet'!$B$12,Paramètres!$A$1:$I$89,3,0)*0.475*44/12</f>
        <v>5.9617701949728999E-2</v>
      </c>
      <c r="CM203" s="21">
        <f>EXP(-LN(2)/2)*CM202+(1-EXP(-LN(2)/2))/(LN(2)/2)*CG203*CJ203*VLOOKUP('Données projet'!$B$12,Paramètres!$A$1:$I$89,3,0)*0.475*44/12</f>
        <v>2.0480044601189885E-25</v>
      </c>
      <c r="CN203" s="22">
        <f t="shared" si="172"/>
        <v>0.31765776170551685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1.1368683772161603E-13</v>
      </c>
      <c r="CU203" s="17">
        <f>CT203*VLOOKUP('Données projet'!$B$13,Paramètres!$A$1:$I$89,3,0)*VLOOKUP('Données projet'!$B$13,Paramètres!$A$1:$I$89,5,0)</f>
        <v>6.7984728957526396E-14</v>
      </c>
      <c r="CV203" s="13">
        <f t="shared" si="173"/>
        <v>1.0682447123141398E-12</v>
      </c>
      <c r="CW203" s="20">
        <f t="shared" si="174"/>
        <v>1.978932943548152E-12</v>
      </c>
      <c r="CX203" s="59">
        <f t="shared" si="196"/>
        <v>291.64479631030406</v>
      </c>
      <c r="CY203" s="59">
        <f ca="1">AVERAGE(OFFSET($CX$3,0,0,'Données projet'!$E$13+1,1))-AVERAGE(OFFSET($H$3,0,0,'Données projet'!$E$13+1,1))</f>
        <v>317.12995176362455</v>
      </c>
      <c r="CZ203" s="59">
        <f t="shared" si="208"/>
        <v>328.11301015275262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0.62292996523963717</v>
      </c>
      <c r="DG203" s="21">
        <f>EXP(-LN(2)/25)*DG202+(1-EXP(-LN(2)/25))/(LN(2)/25)*Calculateur!DB203*Calculateur!DD203*VLOOKUP('Données projet'!$B$13,Paramètres!$A$1:$I$89,3,0)*0.475*44/12</f>
        <v>0.14471819813302428</v>
      </c>
      <c r="DH203" s="21">
        <f>EXP(-LN(2)/2)*DH202+(1-EXP(-LN(2)/2))/(LN(2)/2)*DB203*DE203*VLOOKUP('Données projet'!$B$13,Paramètres!$A$1:$I$89,3,0)*0.475*44/12</f>
        <v>1.4841128977335126E-25</v>
      </c>
      <c r="DI203" s="22">
        <f t="shared" si="175"/>
        <v>0.76764816337266151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2.8421709430404007E-14</v>
      </c>
      <c r="DP203" s="17">
        <f>DO203*VLOOKUP('Données projet'!$B$14,Paramètres!$A$1:$I$89,3,0)*VLOOKUP('Données projet'!$B$14,Paramètres!$A$1:$I$89,5,0)</f>
        <v>2.4829205358400945E-14</v>
      </c>
      <c r="DQ203" s="13">
        <f t="shared" si="176"/>
        <v>4.3867331143352915E-13</v>
      </c>
      <c r="DR203" s="20">
        <f t="shared" si="177"/>
        <v>8.0726688341261168E-13</v>
      </c>
      <c r="DS203" s="59">
        <f t="shared" si="197"/>
        <v>291.64479631030287</v>
      </c>
      <c r="DT203" s="59">
        <f ca="1">AVERAGE(OFFSET($DS$3,0,0,'Données projet'!$E$14+1,1))-AVERAGE(OFFSET($H$3,0,0,'Données projet'!$E$14+1,1))</f>
        <v>325.5873213944476</v>
      </c>
      <c r="DU203" s="59">
        <f t="shared" si="209"/>
        <v>347.9042278368363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0.10102855677926935</v>
      </c>
      <c r="EB203" s="21">
        <f>EXP(-LN(2)/25)*EB202+(1-EXP(-LN(2)/25))/(LN(2)/25)*Calculateur!DW203*Calculateur!DY203*VLOOKUP('Données projet'!$B$14,Paramètres!$A$1:$I$89,3,0)*0.475*44/12</f>
        <v>7.9182556900860526E-2</v>
      </c>
      <c r="EC203" s="21">
        <f>EXP(-LN(2)/2)*EC202+(1-EXP(-LN(2)/2))/(LN(2)/2)*DW203*DZ203*VLOOKUP('Données projet'!$B$14,Paramètres!$A$1:$I$89,3,0)*0.475*44/12</f>
        <v>3.0889562355841863E-25</v>
      </c>
      <c r="ED203" s="22">
        <f t="shared" si="178"/>
        <v>0.18021111368012988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205.5480000480477</v>
      </c>
      <c r="EP203" s="59">
        <f t="shared" si="210"/>
        <v>229.86812144828366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0.25377950931224763</v>
      </c>
      <c r="EW203" s="21">
        <f>EXP(-LN(2)/25)*EW202+(1-EXP(-LN(2)/25))/(LN(2)/25)*Calculateur!ER203*Calculateur!ET203*VLOOKUP('Données projet'!$B$15,Paramètres!$A$1:$I$89,3,0)*0.475*44/12</f>
        <v>5.4047493629324615E-2</v>
      </c>
      <c r="EX203" s="21">
        <f>EXP(-LN(2)/2)*EX202+(1-EXP(-LN(2)/2))/(LN(2)/2)*ER203*EU203*VLOOKUP('Données projet'!$B$15,Paramètres!$A$1:$I$89,3,0)*0.475*44/12</f>
        <v>7.6461759020875294E-26</v>
      </c>
      <c r="EY203" s="22">
        <f t="shared" si="181"/>
        <v>0.30782700294157223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1.3306754098332192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1.261832742012994</v>
      </c>
      <c r="BA205" s="82">
        <f>EXP(LN('Données projet'!B88)/'Données projet'!A88)</f>
        <v>1.2677537154322802</v>
      </c>
      <c r="BV205" s="82">
        <f>EXP(LN('Données projet'!B114)/'Données projet'!A114)</f>
        <v>1.244502252163008</v>
      </c>
      <c r="CQ205" s="82">
        <f>EXP(LN('Données projet'!B140)/'Données projet'!A140)</f>
        <v>1.3758248603770518</v>
      </c>
      <c r="DL205" s="82">
        <f>EXP(LN('Données projet'!B166)/'Données projet'!A166)</f>
        <v>1.2765231539157764</v>
      </c>
      <c r="EG205" s="82">
        <f>EXP(LN('Données projet'!B192)/'Données projet'!A192)</f>
        <v>1.3076604860118306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O14" sqref="O1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5.2359999999999998</v>
      </c>
      <c r="C6" s="147">
        <f ca="1">IF(OR('Données projet'!B9="",'Données projet'!C9="",'Données projet'!C9=0%),0,Calculateur!S3)</f>
        <v>542.23071537860039</v>
      </c>
      <c r="D6" s="147">
        <f>IF(OR('Données projet'!B9="",'Données projet'!C9="",'Données projet'!C9=0%),0,Calculateur!T3)</f>
        <v>667.26143680054633</v>
      </c>
      <c r="E6" s="147">
        <f ca="1">MIN(C6,D6)</f>
        <v>542.23071537860039</v>
      </c>
      <c r="F6" s="147">
        <f ca="1">E6*B6</f>
        <v>2839.1200257223513</v>
      </c>
      <c r="G6" s="147">
        <f ca="1">F6*(100%-'Données projet'!$C$24)*(100%-'Données projet'!$C$25)*(100%-'Données projet'!$C$26)*(100%-'Données projet'!$C$27)</f>
        <v>2555.2080231501163</v>
      </c>
      <c r="H6" s="148">
        <f>IF(OR('Données projet'!B9="",'Données projet'!C9="",'Données projet'!C9=0%),0,AVERAGE(Calculateur!$AC$3:$AC$33)*B6)</f>
        <v>51.535072123849865</v>
      </c>
      <c r="I6" s="149">
        <f>H6*(100%-'Données projet'!$C$24)*(100%-'Données projet'!$C$25)*(100%-'Données projet'!$C$26)*(100%-'Données projet'!$C$27)</f>
        <v>46.381564911464878</v>
      </c>
      <c r="J6" s="150">
        <f>IF(OR('Données projet'!B9="",'Données projet'!C9="",'Données projet'!C9=0%),0,SUM(Calculateur!$V$3:$V$33)*VLOOKUP('Données projet'!$B$9,Paramètres!$A$1:$I$89,9,0)*B6)</f>
        <v>434.53563999999994</v>
      </c>
      <c r="K6" s="151">
        <f>J6*(100%-'Données projet'!$C$24)*(100%-'Données projet'!$C$25)*(100%-'Données projet'!$C$26)*(100%-'Données projet'!$C$27)</f>
        <v>391.08207599999997</v>
      </c>
      <c r="L6" s="152">
        <f ca="1">G6+I6+K6</f>
        <v>2992.6716640615814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Douglas</v>
      </c>
      <c r="B7" s="154">
        <f>'Données projet'!D10</f>
        <v>2.0944000000000003</v>
      </c>
      <c r="C7" s="147">
        <f ca="1">IF(OR('Données projet'!B10="",'Données projet'!C10="",'Données projet'!C10=0%),0,Calculateur!AN3)</f>
        <v>427.83834708696861</v>
      </c>
      <c r="D7" s="147">
        <f>IF(OR('Données projet'!B10="",'Données projet'!C10="",'Données projet'!C10=0%),0,Calculateur!AO3)</f>
        <v>545.63950537101903</v>
      </c>
      <c r="E7" s="147">
        <f t="shared" ref="E7:E15" ca="1" si="0">MIN(C7,D7)</f>
        <v>427.83834708696861</v>
      </c>
      <c r="F7" s="147">
        <f t="shared" ref="F7:F15" ca="1" si="1">E7*B7</f>
        <v>896.06463413894721</v>
      </c>
      <c r="G7" s="147">
        <f ca="1">F7*(100%-'Données projet'!$C$24)*(100%-'Données projet'!$C$25)*(100%-'Données projet'!$C$26)*(100%-'Données projet'!$C$27)</f>
        <v>806.45817072505247</v>
      </c>
      <c r="H7" s="155">
        <f>IF(OR('Données projet'!B10="",'Données projet'!C10="",'Données projet'!C10=0%),0,AVERAGE(Calculateur!$AX$3:$AX$33)*B7)</f>
        <v>9.3918490437064861</v>
      </c>
      <c r="I7" s="149">
        <f>H7*(100%-'Données projet'!$C$24)*(100%-'Données projet'!$C$25)*(100%-'Données projet'!$C$26)*(100%-'Données projet'!$C$27)</f>
        <v>8.4526641393358375</v>
      </c>
      <c r="J7" s="150">
        <f>IF(OR('Données projet'!B10="",'Données projet'!C10="",'Données projet'!C10=0%),0,SUM(Calculateur!$AQ$3:$AQ$33)*VLOOKUP('Données projet'!$B$10,Paramètres!$A$1:$I$89,9,0)*B7)</f>
        <v>97.263936000000001</v>
      </c>
      <c r="K7" s="151">
        <f>J7*(100%-'Données projet'!$C$24)*(100%-'Données projet'!$C$25)*(100%-'Données projet'!$C$26)*(100%-'Données projet'!$C$27)</f>
        <v>87.537542400000007</v>
      </c>
      <c r="L7" s="152">
        <f t="shared" ref="L7:L15" ca="1" si="2">G7+I7+K7</f>
        <v>902.44837726438834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Cèdre de l'Atlas</v>
      </c>
      <c r="B8" s="154">
        <f>'Données projet'!D11</f>
        <v>2.0944000000000003</v>
      </c>
      <c r="C8" s="147">
        <f ca="1">IF(OR('Données projet'!B11="",'Données projet'!C11="",'Données projet'!C11=0%),0,Calculateur!BI3)</f>
        <v>210.62109466714364</v>
      </c>
      <c r="D8" s="147">
        <f>IF(OR('Données projet'!B11="",'Données projet'!C11="",'Données projet'!C11=0%),0,Calculateur!BJ3)</f>
        <v>193.35729443770401</v>
      </c>
      <c r="E8" s="147">
        <f t="shared" ca="1" si="0"/>
        <v>193.35729443770401</v>
      </c>
      <c r="F8" s="147">
        <f t="shared" ca="1" si="1"/>
        <v>404.96751747032732</v>
      </c>
      <c r="G8" s="147">
        <f ca="1">F8*(100%-'Données projet'!$C$24)*(100%-'Données projet'!$C$25)*(100%-'Données projet'!$C$26)*(100%-'Données projet'!$C$27)</f>
        <v>364.47076572329462</v>
      </c>
      <c r="H8" s="155">
        <f>IF(OR('Données projet'!B11="",'Données projet'!C11="",'Données projet'!C11=0%),0,AVERAGE(Calculateur!$BS$3:$BS$33)*B8)</f>
        <v>5.9450239409030203</v>
      </c>
      <c r="I8" s="149">
        <f>H8*(100%-'Données projet'!$C$24)*(100%-'Données projet'!$C$25)*(100%-'Données projet'!$C$26)*(100%-'Données projet'!$C$27)</f>
        <v>5.3505215468127183</v>
      </c>
      <c r="J8" s="150">
        <f>IF(OR('Données projet'!B11="",'Données projet'!C11="",'Données projet'!C11=0%),0,SUM(Calculateur!$BL$3:$BL$33)*VLOOKUP('Données projet'!$B$11,Paramètres!$A$1:$I$89,9,0)*B8)</f>
        <v>69.120435999999998</v>
      </c>
      <c r="K8" s="151">
        <f>J8*(100%-'Données projet'!$C$24)*(100%-'Données projet'!$C$25)*(100%-'Données projet'!$C$26)*(100%-'Données projet'!$C$27)</f>
        <v>62.208392400000001</v>
      </c>
      <c r="L8" s="152">
        <f t="shared" ca="1" si="2"/>
        <v>432.02967967010733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Pin laricio</v>
      </c>
      <c r="B9" s="154">
        <f>'Données projet'!D12</f>
        <v>2.0944000000000003</v>
      </c>
      <c r="C9" s="147">
        <f ca="1">IF(OR('Données projet'!B12="",'Données projet'!C12="",'Données projet'!C12=0%),0,Calculateur!CD3)</f>
        <v>368.16165268258442</v>
      </c>
      <c r="D9" s="147">
        <f>IF(OR('Données projet'!B12="",'Données projet'!C12="",'Données projet'!C12=0%),0,Calculateur!CE3)</f>
        <v>291.32219253157041</v>
      </c>
      <c r="E9" s="147">
        <f t="shared" ca="1" si="0"/>
        <v>291.32219253157041</v>
      </c>
      <c r="F9" s="147">
        <f t="shared" ca="1" si="1"/>
        <v>610.14520003812117</v>
      </c>
      <c r="G9" s="147">
        <f ca="1">F9*(100%-'Données projet'!$C$24)*(100%-'Données projet'!$C$25)*(100%-'Données projet'!$C$26)*(100%-'Données projet'!$C$27)</f>
        <v>549.13068003430908</v>
      </c>
      <c r="H9" s="155">
        <f>IF(OR('Données projet'!B12="",'Données projet'!C12="",'Données projet'!C12=0%),0,AVERAGE(Calculateur!$CN$3:$CN$33)*B9)</f>
        <v>6.0512895385408463</v>
      </c>
      <c r="I9" s="149">
        <f>H9*(100%-'Données projet'!$C$24)*(100%-'Données projet'!$C$25)*(100%-'Données projet'!$C$26)*(100%-'Données projet'!$C$27)</f>
        <v>5.446160584686762</v>
      </c>
      <c r="J9" s="150">
        <f>IF(OR('Données projet'!B12="",'Données projet'!C12="",'Données projet'!C12=0%),0,SUM(Calculateur!$CG$3:$CG$33)*VLOOKUP('Données projet'!$B$12,Paramètres!$A$1:$I$89,9,0)*B9)</f>
        <v>60.339664000000006</v>
      </c>
      <c r="K9" s="151">
        <f>J9*(100%-'Données projet'!$C$24)*(100%-'Données projet'!$C$25)*(100%-'Données projet'!$C$26)*(100%-'Données projet'!$C$27)</f>
        <v>54.305697600000009</v>
      </c>
      <c r="L9" s="152">
        <f t="shared" ca="1" si="2"/>
        <v>608.88253821899582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Pin taeda</v>
      </c>
      <c r="B10" s="154">
        <f>'Données projet'!D13</f>
        <v>1.6456000000000002</v>
      </c>
      <c r="C10" s="147">
        <f ca="1">IF(OR('Données projet'!B13="",'Données projet'!C13="",'Données projet'!C13=0%),0,Calculateur!CY3)</f>
        <v>317.12995176362455</v>
      </c>
      <c r="D10" s="147">
        <f>IF(OR('Données projet'!B13="",'Données projet'!C13="",'Données projet'!C13=0%),0,Calculateur!CZ3)</f>
        <v>328.11301015275262</v>
      </c>
      <c r="E10" s="147">
        <f t="shared" ca="1" si="0"/>
        <v>317.12995176362455</v>
      </c>
      <c r="F10" s="147">
        <f t="shared" ca="1" si="1"/>
        <v>521.86904862222059</v>
      </c>
      <c r="G10" s="147">
        <f ca="1">F10*(100%-'Données projet'!$C$24)*(100%-'Données projet'!$C$25)*(100%-'Données projet'!$C$26)*(100%-'Données projet'!$C$27)</f>
        <v>469.68214375999855</v>
      </c>
      <c r="H10" s="155">
        <f>IF(OR('Données projet'!B13="",'Données projet'!C13="",'Données projet'!C13=0%),0,AVERAGE(Calculateur!$DI$3:$DI$33)*B10)</f>
        <v>22.560667042169328</v>
      </c>
      <c r="I10" s="149">
        <f>H10*(100%-'Données projet'!$C$24)*(100%-'Données projet'!$C$25)*(100%-'Données projet'!$C$26)*(100%-'Données projet'!$C$27)</f>
        <v>20.304600337952397</v>
      </c>
      <c r="J10" s="150">
        <f>IF(OR('Données projet'!B13="",'Données projet'!C13="",'Données projet'!C13=0%),0,SUM(Calculateur!$DB$3:$DB$33)*VLOOKUP('Données projet'!$B$13,Paramètres!$A$1:$I$89,9,0)*B10)</f>
        <v>122.41618400000002</v>
      </c>
      <c r="K10" s="151">
        <f>J10*(100%-'Données projet'!$C$24)*(100%-'Données projet'!$C$25)*(100%-'Données projet'!$C$26)*(100%-'Données projet'!$C$27)</f>
        <v>110.17456560000002</v>
      </c>
      <c r="L10" s="152">
        <f t="shared" ca="1" si="2"/>
        <v>600.16130969795097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Chêne rouge d'Amérique</v>
      </c>
      <c r="B11" s="154">
        <f>'Données projet'!D14</f>
        <v>1.1968000000000001</v>
      </c>
      <c r="C11" s="147">
        <f ca="1">IF(OR('Données projet'!B14="",'Données projet'!C14="",'Données projet'!C14=0%),0,Calculateur!DT3)</f>
        <v>325.5873213944476</v>
      </c>
      <c r="D11" s="147">
        <f>IF(OR('Données projet'!B14="",'Données projet'!C14="",'Données projet'!C14=0%),0,Calculateur!DU3)</f>
        <v>347.9042278368363</v>
      </c>
      <c r="E11" s="147">
        <f t="shared" ca="1" si="0"/>
        <v>325.5873213944476</v>
      </c>
      <c r="F11" s="147">
        <f t="shared" ca="1" si="1"/>
        <v>389.66290624487493</v>
      </c>
      <c r="G11" s="147">
        <f ca="1">F11*(100%-'Données projet'!$C$24)*(100%-'Données projet'!$C$25)*(100%-'Données projet'!$C$26)*(100%-'Données projet'!$C$27)</f>
        <v>350.69661562038743</v>
      </c>
      <c r="H11" s="155">
        <f>IF(OR('Données projet'!B14="",'Données projet'!C14="",'Données projet'!C14=0%),0,AVERAGE(Calculateur!$ED$3:$ED$33)*B11)</f>
        <v>6.4216575902056965</v>
      </c>
      <c r="I11" s="149">
        <f>H11*(100%-'Données projet'!$C$24)*(100%-'Données projet'!$C$25)*(100%-'Données projet'!$C$26)*(100%-'Données projet'!$C$27)</f>
        <v>5.7794918311851271</v>
      </c>
      <c r="J11" s="150">
        <f>IF(OR('Données projet'!B14="",'Données projet'!C14="",'Données projet'!C14=0%),0,SUM(Calculateur!$DW$3:$DW$33)*VLOOKUP('Données projet'!$B$14,Paramètres!$A$1:$I$89,9,0)*B11)</f>
        <v>37.1008</v>
      </c>
      <c r="K11" s="151">
        <f>J11*(100%-'Données projet'!$C$24)*(100%-'Données projet'!$C$25)*(100%-'Données projet'!$C$26)*(100%-'Données projet'!$C$27)</f>
        <v>33.390720000000002</v>
      </c>
      <c r="L11" s="152">
        <f t="shared" ca="1" si="2"/>
        <v>389.86682745157253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Pin maritime</v>
      </c>
      <c r="B12" s="154">
        <f>'Données projet'!D15</f>
        <v>0.59840000000000004</v>
      </c>
      <c r="C12" s="147">
        <f ca="1">IF(OR('Données projet'!B15="",'Données projet'!C15="",'Données projet'!C15=0%),0,Calculateur!EO3)</f>
        <v>205.5480000480477</v>
      </c>
      <c r="D12" s="147">
        <f>IF(OR('Données projet'!B15="",'Données projet'!C15="",'Données projet'!C15=0%),0,Calculateur!EP3)</f>
        <v>229.86812144828366</v>
      </c>
      <c r="E12" s="147">
        <f t="shared" ca="1" si="0"/>
        <v>205.5480000480477</v>
      </c>
      <c r="F12" s="147">
        <f t="shared" ca="1" si="1"/>
        <v>122.99992322875175</v>
      </c>
      <c r="G12" s="147">
        <f ca="1">F12*(100%-'Données projet'!$C$24)*(100%-'Données projet'!$C$25)*(100%-'Données projet'!$C$26)*(100%-'Données projet'!$C$27)</f>
        <v>110.69993090587658</v>
      </c>
      <c r="H12" s="155">
        <f>IF(OR('Données projet'!B15="",'Données projet'!C15="",'Données projet'!C15=0%),0,AVERAGE(Calculateur!$EY$3:$EY$33)*B12)</f>
        <v>2.7332344634233152</v>
      </c>
      <c r="I12" s="149">
        <f>H12*(100%-'Données projet'!$C$24)*(100%-'Données projet'!$C$25)*(100%-'Données projet'!$C$26)*(100%-'Données projet'!$C$27)</f>
        <v>2.4599110170809837</v>
      </c>
      <c r="J12" s="150">
        <f>IF(OR('Données projet'!B15="",'Données projet'!C15="",'Données projet'!C15=0%),0,SUM(Calculateur!$ER$3:$ER$33)*VLOOKUP('Données projet'!$B$15,Paramètres!$A$1:$I$89,9,0)*B12)</f>
        <v>22.948640000000001</v>
      </c>
      <c r="K12" s="151">
        <f>J12*(100%-'Données projet'!$C$24)*(100%-'Données projet'!$C$25)*(100%-'Données projet'!$C$26)*(100%-'Données projet'!$C$27)</f>
        <v>20.653776000000001</v>
      </c>
      <c r="L12" s="152">
        <f t="shared" ca="1" si="2"/>
        <v>133.81361792295758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5784.8292554655936</v>
      </c>
      <c r="G16" s="166">
        <f t="shared" ca="1" si="3"/>
        <v>5206.3463299190344</v>
      </c>
      <c r="H16" s="167">
        <f t="shared" si="3"/>
        <v>104.63879374279855</v>
      </c>
      <c r="I16" s="167">
        <f t="shared" si="3"/>
        <v>94.174914368518699</v>
      </c>
      <c r="J16" s="168">
        <f t="shared" si="3"/>
        <v>843.72529999999995</v>
      </c>
      <c r="K16" s="168">
        <f t="shared" si="3"/>
        <v>759.35277000000008</v>
      </c>
      <c r="L16" s="169">
        <f t="shared" ca="1" si="3"/>
        <v>6059.874014287554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Pin taeda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Chêne rouge d'Amérique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Pin maritime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3" zoomScale="80" zoomScaleNormal="80" workbookViewId="0">
      <selection activeCell="M10" sqref="M1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3341.432682351719</v>
      </c>
      <c r="U10" s="178">
        <f>'Données projet'!D9</f>
        <v>5.2359999999999998</v>
      </c>
      <c r="V10" s="177">
        <f>U10*T10</f>
        <v>17495.741524793601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2840.9339318032571</v>
      </c>
      <c r="U11" s="178">
        <f>'Données projet'!D10</f>
        <v>2.0944000000000003</v>
      </c>
      <c r="V11" s="177">
        <f t="shared" ref="V11" si="0">U11*T11</f>
        <v>5950.0520267687425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-1570.1566183167215</v>
      </c>
      <c r="U12" s="178">
        <f>'Données projet'!D11</f>
        <v>2.0944000000000003</v>
      </c>
      <c r="V12" s="177">
        <f t="shared" ref="V12:V19" si="1">U12*T12</f>
        <v>-3288.5360214025418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-9.9336546967765571</v>
      </c>
      <c r="U13" s="178">
        <f>'Données projet'!D12</f>
        <v>2.0944000000000003</v>
      </c>
      <c r="V13" s="177">
        <f t="shared" si="1"/>
        <v>-20.805046396928823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taeda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618.57354285325152</v>
      </c>
      <c r="U14" s="178">
        <f>'Données projet'!D13</f>
        <v>1.6456000000000002</v>
      </c>
      <c r="V14" s="177">
        <f t="shared" si="1"/>
        <v>1017.9246221193108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rouge d'Amérique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-1063.2868451046393</v>
      </c>
      <c r="U15" s="178">
        <f>'Données projet'!D14</f>
        <v>1.1968000000000001</v>
      </c>
      <c r="V15" s="177">
        <f t="shared" si="1"/>
        <v>-1272.5416962212323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10</v>
      </c>
      <c r="O16" s="23"/>
      <c r="P16" s="23"/>
      <c r="Q16" s="234"/>
      <c r="R16" s="23"/>
      <c r="S16" s="36" t="str">
        <f>B200</f>
        <v>Pin maritime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-165.48210562425879</v>
      </c>
      <c r="U16" s="178">
        <f>'Données projet'!D15</f>
        <v>0.59840000000000004</v>
      </c>
      <c r="V16" s="177">
        <f t="shared" si="1"/>
        <v>-99.024492005556468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1300*(0.59+0.58)</f>
        <v>1521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3.2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(300+1287+3300+7480+1416+1309+2301+3298+5305)/14.98</f>
        <v>1735.380507343124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(6732+808+6165)/14.98</f>
        <v>914.88651535380507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>(6732+808+6165)/14.98</f>
        <v>914.88651535380507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43</v>
      </c>
      <c r="C23" s="193">
        <v>1.95</v>
      </c>
      <c r="D23" s="182">
        <f>B23*C23</f>
        <v>83.85</v>
      </c>
      <c r="E23" s="193"/>
      <c r="F23" s="230"/>
      <c r="H23" s="190">
        <v>3</v>
      </c>
      <c r="I23" s="191">
        <f>(6732+808+6165)/14.98</f>
        <v>914.88651535380507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-43802.738139984351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60</v>
      </c>
      <c r="C24" s="193">
        <v>1.95</v>
      </c>
      <c r="D24" s="182">
        <f t="shared" ref="D24:D42" si="2">B24*C24</f>
        <v>117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1149.9181225419295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90</v>
      </c>
      <c r="C25" s="193">
        <v>4.4800000000000004</v>
      </c>
      <c r="D25" s="182">
        <f t="shared" si="2"/>
        <v>403.20000000000005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5</v>
      </c>
      <c r="Q25" s="234"/>
      <c r="R25" s="23"/>
      <c r="S25" s="186" t="s">
        <v>266</v>
      </c>
      <c r="T25" s="299">
        <f ca="1">T23-T24</f>
        <v>-44952.656262526281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72</v>
      </c>
      <c r="C26" s="193">
        <v>4.4800000000000004</v>
      </c>
      <c r="D26" s="182">
        <f t="shared" si="2"/>
        <v>322.56000000000006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77</v>
      </c>
      <c r="C27" s="193">
        <v>32.799999999999997</v>
      </c>
      <c r="D27" s="182">
        <f t="shared" si="2"/>
        <v>2525.6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64</v>
      </c>
      <c r="C28" s="193">
        <v>32.799999999999997</v>
      </c>
      <c r="D28" s="182">
        <f t="shared" si="2"/>
        <v>2099.1999999999998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62</v>
      </c>
      <c r="C29" s="193">
        <v>33</v>
      </c>
      <c r="D29" s="182">
        <f t="shared" si="2"/>
        <v>2046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46</v>
      </c>
      <c r="C30" s="193">
        <v>55</v>
      </c>
      <c r="D30" s="182">
        <f t="shared" si="2"/>
        <v>2530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108.19011019102921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35</v>
      </c>
      <c r="C31" s="193">
        <v>55.11</v>
      </c>
      <c r="D31" s="182">
        <f t="shared" si="2"/>
        <v>1928.85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65</v>
      </c>
      <c r="B32" s="181">
        <f>'Données projet'!D45</f>
        <v>769</v>
      </c>
      <c r="C32" s="193">
        <v>75</v>
      </c>
      <c r="D32" s="182">
        <f t="shared" si="2"/>
        <v>57675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5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4.7846889952153111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4.5786497561869011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4.3814830202745467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4.1928067179660742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4.0122552325034206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3.8394786913908341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3.674142288412281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3.5159256348442893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3.3645221386069757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3.2196384101502162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3.0809936939236522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2.9483193243288541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2.821358205099382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2.6998643110998879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1300*(0.59+0.58)</f>
        <v>1521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2.5836022115788397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2.4723466139510437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2.3658819272258791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2.2640018442352914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2.1665089418519536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2.0732142984229229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54</v>
      </c>
      <c r="C54" s="191">
        <v>1.95</v>
      </c>
      <c r="D54" s="179">
        <f>B54*C54</f>
        <v>105.3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1.9839371276774378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54</v>
      </c>
      <c r="C55" s="191">
        <v>1.95</v>
      </c>
      <c r="D55" s="179">
        <f t="shared" ref="D55:D73" si="4">B55*C55</f>
        <v>105.3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1.8985044283994628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35</v>
      </c>
      <c r="B56" s="181">
        <f>'Données projet'!D64</f>
        <v>69</v>
      </c>
      <c r="C56" s="191">
        <v>4.4800000000000004</v>
      </c>
      <c r="D56" s="179">
        <f t="shared" si="4"/>
        <v>309.12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1.8167506491860885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40</v>
      </c>
      <c r="B57" s="181">
        <f>'Données projet'!D65</f>
        <v>72</v>
      </c>
      <c r="C57" s="191">
        <v>4.4800000000000004</v>
      </c>
      <c r="D57" s="179">
        <f t="shared" si="4"/>
        <v>322.56000000000006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1.7385173676421903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45</v>
      </c>
      <c r="B58" s="181">
        <f>'Données projet'!D66</f>
        <v>66</v>
      </c>
      <c r="C58" s="191">
        <v>32.799999999999997</v>
      </c>
      <c r="D58" s="179">
        <f t="shared" si="4"/>
        <v>2164.7999999999997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1.6636529833896561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50</v>
      </c>
      <c r="B59" s="181">
        <f>'Données projet'!D67</f>
        <v>48</v>
      </c>
      <c r="C59" s="191">
        <v>32.799999999999997</v>
      </c>
      <c r="D59" s="179">
        <f t="shared" si="4"/>
        <v>1574.3999999999999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1.5920124242963221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55</v>
      </c>
      <c r="B60" s="181">
        <f>'Données projet'!D68</f>
        <v>35</v>
      </c>
      <c r="C60" s="191">
        <v>55.11</v>
      </c>
      <c r="D60" s="179">
        <f t="shared" si="4"/>
        <v>1928.85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1.523456865355332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60</v>
      </c>
      <c r="B61" s="181">
        <f>'Données projet'!D69</f>
        <v>666</v>
      </c>
      <c r="C61" s="191">
        <v>75</v>
      </c>
      <c r="D61" s="179">
        <f t="shared" si="4"/>
        <v>49950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1.4578534596701744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1.3950750810240902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1.335000077535015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1.2775120359186745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1.2224995559030383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1.1698560343569746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1.1194794587148085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1.0712722092964675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1.0251408701401603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0.98099604798101481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0.93875219902489471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0.89832746318171741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0.85964350543705037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0.82262536405459374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0.78720130531540089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0.75330268451234528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0.72086381293047408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0.68982183055547752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1300*(1.43+0.58)</f>
        <v>2612.9999999999995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0.66011658426361508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0.63169051125704778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0.6044885275187063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0.5784579210705324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0.55354824982826079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0.52971124385479496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28.75</v>
      </c>
      <c r="C85" s="191">
        <v>2</v>
      </c>
      <c r="D85" s="179">
        <f>B85*C85</f>
        <v>57.5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0.50690071182277041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48</v>
      </c>
      <c r="C86" s="191">
        <v>4</v>
      </c>
      <c r="D86" s="179">
        <f t="shared" ref="D86:D104" si="6">B86*C86</f>
        <v>192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0.48507245150504347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50</v>
      </c>
      <c r="C87" s="191">
        <v>27</v>
      </c>
      <c r="D87" s="179">
        <f t="shared" si="6"/>
        <v>1350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0.46418416411965902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52</v>
      </c>
      <c r="C88" s="191">
        <v>27</v>
      </c>
      <c r="D88" s="179">
        <f t="shared" si="6"/>
        <v>1404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0.44419537236330997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54</v>
      </c>
      <c r="C89" s="191">
        <v>26.7</v>
      </c>
      <c r="D89" s="179">
        <f t="shared" si="6"/>
        <v>1441.8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0.42506734197445939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54</v>
      </c>
      <c r="C90" s="191">
        <v>46</v>
      </c>
      <c r="D90" s="179">
        <f t="shared" si="6"/>
        <v>2484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0.40676300667412391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55</v>
      </c>
      <c r="C91" s="191">
        <v>46</v>
      </c>
      <c r="D91" s="179">
        <f t="shared" si="6"/>
        <v>2530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0.3892468963388746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57</v>
      </c>
      <c r="C92" s="191">
        <v>46</v>
      </c>
      <c r="D92" s="179">
        <f t="shared" si="6"/>
        <v>2622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0.37248506826686567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58</v>
      </c>
      <c r="C93" s="191">
        <v>46</v>
      </c>
      <c r="D93" s="179">
        <f t="shared" si="6"/>
        <v>2668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0.35644504140369926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110</v>
      </c>
      <c r="B94" s="181">
        <f>'Données projet'!D97</f>
        <v>348</v>
      </c>
      <c r="C94" s="191">
        <v>75</v>
      </c>
      <c r="D94" s="179">
        <f t="shared" si="6"/>
        <v>26100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1300*(0.52+0.58)</f>
        <v>1430.0000000000002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22</v>
      </c>
      <c r="B116" s="181">
        <f>'Données projet'!D114</f>
        <v>16</v>
      </c>
      <c r="C116" s="191">
        <v>2</v>
      </c>
      <c r="D116" s="179">
        <f>B116*C116</f>
        <v>32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25</v>
      </c>
      <c r="B117" s="181">
        <f>'Données projet'!D115</f>
        <v>17</v>
      </c>
      <c r="C117" s="191">
        <v>1.95</v>
      </c>
      <c r="D117" s="179">
        <f t="shared" ref="D117:D135" si="8">B117*C117</f>
        <v>33.15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34</v>
      </c>
      <c r="C118" s="191">
        <v>1.95</v>
      </c>
      <c r="D118" s="179">
        <f t="shared" si="8"/>
        <v>66.3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35</v>
      </c>
      <c r="B119" s="181">
        <f>'Données projet'!D117</f>
        <v>41</v>
      </c>
      <c r="C119" s="191">
        <v>4.4800000000000004</v>
      </c>
      <c r="D119" s="179">
        <f t="shared" si="8"/>
        <v>183.68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40</v>
      </c>
      <c r="B120" s="181">
        <f>'Données projet'!D118</f>
        <v>41</v>
      </c>
      <c r="C120" s="191">
        <v>4.4800000000000004</v>
      </c>
      <c r="D120" s="179">
        <f t="shared" si="8"/>
        <v>183.68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45</v>
      </c>
      <c r="B121" s="181">
        <f>'Données projet'!D119</f>
        <v>53</v>
      </c>
      <c r="C121" s="191">
        <v>4.8</v>
      </c>
      <c r="D121" s="179">
        <f t="shared" si="8"/>
        <v>254.39999999999998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50</v>
      </c>
      <c r="B122" s="181">
        <f>'Données projet'!D120</f>
        <v>53</v>
      </c>
      <c r="C122" s="191">
        <v>4.8</v>
      </c>
      <c r="D122" s="179">
        <f t="shared" si="8"/>
        <v>254.39999999999998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58</v>
      </c>
      <c r="B123" s="181">
        <f>'Données projet'!D121</f>
        <v>78</v>
      </c>
      <c r="C123" s="191">
        <v>27</v>
      </c>
      <c r="D123" s="179">
        <f t="shared" si="8"/>
        <v>2106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66</v>
      </c>
      <c r="B124" s="181">
        <f>'Données projet'!D122</f>
        <v>65</v>
      </c>
      <c r="C124" s="191">
        <v>27</v>
      </c>
      <c r="D124" s="179">
        <f t="shared" si="8"/>
        <v>1755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74</v>
      </c>
      <c r="B125" s="181">
        <f>'Données projet'!D123</f>
        <v>37</v>
      </c>
      <c r="C125" s="191">
        <v>45</v>
      </c>
      <c r="D125" s="179">
        <f t="shared" si="8"/>
        <v>1665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82</v>
      </c>
      <c r="B126" s="181">
        <f>'Données projet'!D124</f>
        <v>567</v>
      </c>
      <c r="C126" s="191">
        <v>60</v>
      </c>
      <c r="D126" s="179">
        <f t="shared" si="8"/>
        <v>34020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Pin taeda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1300*(0.53+0.58)</f>
        <v>1442.9999999999998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12</v>
      </c>
      <c r="B147" s="175">
        <f>'Données projet'!D140</f>
        <v>0</v>
      </c>
      <c r="C147" s="191">
        <v>0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16</v>
      </c>
      <c r="B148" s="175">
        <f>'Données projet'!D141</f>
        <v>25</v>
      </c>
      <c r="C148" s="191">
        <v>1.95</v>
      </c>
      <c r="D148" s="182">
        <f t="shared" ref="D148:D166" si="10">B148*C148</f>
        <v>48.75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5">
        <f>'Données projet'!D142</f>
        <v>64</v>
      </c>
      <c r="C149" s="191">
        <v>1.95</v>
      </c>
      <c r="D149" s="182">
        <f t="shared" si="10"/>
        <v>124.8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24</v>
      </c>
      <c r="B150" s="175">
        <f>'Données projet'!D143</f>
        <v>43</v>
      </c>
      <c r="C150" s="191">
        <v>4.4800000000000004</v>
      </c>
      <c r="D150" s="182">
        <f t="shared" si="10"/>
        <v>192.64000000000001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28</v>
      </c>
      <c r="B151" s="175">
        <f>'Données projet'!D144</f>
        <v>41</v>
      </c>
      <c r="C151" s="191">
        <v>4.4800000000000004</v>
      </c>
      <c r="D151" s="182">
        <f t="shared" si="10"/>
        <v>183.68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34</v>
      </c>
      <c r="B152" s="175">
        <f>'Données projet'!D145</f>
        <v>60</v>
      </c>
      <c r="C152" s="191">
        <v>4.8</v>
      </c>
      <c r="D152" s="182">
        <f t="shared" si="10"/>
        <v>288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5">
        <f>'Données projet'!D146</f>
        <v>64</v>
      </c>
      <c r="C153" s="191">
        <v>4.8</v>
      </c>
      <c r="D153" s="182">
        <f t="shared" si="10"/>
        <v>307.2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46</v>
      </c>
      <c r="B154" s="175">
        <f>'Données projet'!D147</f>
        <v>21</v>
      </c>
      <c r="C154" s="191">
        <v>27</v>
      </c>
      <c r="D154" s="182">
        <f t="shared" si="10"/>
        <v>567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54</v>
      </c>
      <c r="B155" s="175">
        <f>'Données projet'!D148</f>
        <v>17</v>
      </c>
      <c r="C155" s="191">
        <v>45</v>
      </c>
      <c r="D155" s="182">
        <f t="shared" si="10"/>
        <v>765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62</v>
      </c>
      <c r="B156" s="175">
        <f>'Données projet'!D149</f>
        <v>409</v>
      </c>
      <c r="C156" s="191">
        <v>60</v>
      </c>
      <c r="D156" s="182">
        <f t="shared" si="10"/>
        <v>24540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Chêne rouge d'Amérique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1300*(1.17+0.58)</f>
        <v>2275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20</v>
      </c>
      <c r="B178" s="181">
        <f>'Données projet'!D166</f>
        <v>50</v>
      </c>
      <c r="C178" s="193">
        <v>2</v>
      </c>
      <c r="D178" s="179">
        <f>B178*C178</f>
        <v>100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25</v>
      </c>
      <c r="B179" s="181">
        <f>'Données projet'!D167</f>
        <v>37</v>
      </c>
      <c r="C179" s="193">
        <v>2</v>
      </c>
      <c r="D179" s="179">
        <f t="shared" ref="D179:D197" si="11">B179*C179</f>
        <v>74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30</v>
      </c>
      <c r="B180" s="181">
        <f>'Données projet'!D168</f>
        <v>37</v>
      </c>
      <c r="C180" s="193">
        <v>10</v>
      </c>
      <c r="D180" s="179">
        <f t="shared" si="11"/>
        <v>370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35</v>
      </c>
      <c r="B181" s="181">
        <f>'Données projet'!D169</f>
        <v>36</v>
      </c>
      <c r="C181" s="193">
        <v>10</v>
      </c>
      <c r="D181" s="179">
        <f t="shared" si="11"/>
        <v>360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40</v>
      </c>
      <c r="B182" s="181">
        <f>'Données projet'!D170</f>
        <v>33</v>
      </c>
      <c r="C182" s="193">
        <v>25</v>
      </c>
      <c r="D182" s="179">
        <f t="shared" si="11"/>
        <v>825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45</v>
      </c>
      <c r="B183" s="181">
        <f>'Données projet'!D171</f>
        <v>31</v>
      </c>
      <c r="C183" s="193">
        <v>25</v>
      </c>
      <c r="D183" s="179">
        <f t="shared" si="11"/>
        <v>775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50</v>
      </c>
      <c r="B184" s="181">
        <f>'Données projet'!D172</f>
        <v>28</v>
      </c>
      <c r="C184" s="193">
        <v>30</v>
      </c>
      <c r="D184" s="179">
        <f t="shared" si="11"/>
        <v>840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55</v>
      </c>
      <c r="B185" s="181">
        <f>'Données projet'!D173</f>
        <v>25</v>
      </c>
      <c r="C185" s="193">
        <v>30</v>
      </c>
      <c r="D185" s="179">
        <f t="shared" si="11"/>
        <v>750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60</v>
      </c>
      <c r="B186" s="181">
        <f>'Données projet'!D174</f>
        <v>22</v>
      </c>
      <c r="C186" s="193">
        <v>40</v>
      </c>
      <c r="D186" s="179">
        <f t="shared" si="11"/>
        <v>880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65</v>
      </c>
      <c r="B187" s="181">
        <f>'Données projet'!D175</f>
        <v>20</v>
      </c>
      <c r="C187" s="193">
        <v>40</v>
      </c>
      <c r="D187" s="179">
        <f t="shared" si="11"/>
        <v>800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70</v>
      </c>
      <c r="B188" s="181">
        <f>'Données projet'!D176</f>
        <v>17</v>
      </c>
      <c r="C188" s="193">
        <v>40</v>
      </c>
      <c r="D188" s="179">
        <f t="shared" si="11"/>
        <v>680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75</v>
      </c>
      <c r="B189" s="181">
        <f>'Données projet'!D177</f>
        <v>15</v>
      </c>
      <c r="C189" s="193">
        <v>40</v>
      </c>
      <c r="D189" s="179">
        <f t="shared" si="11"/>
        <v>600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80</v>
      </c>
      <c r="B190" s="181">
        <f>'Données projet'!D178</f>
        <v>13</v>
      </c>
      <c r="C190" s="193">
        <v>60</v>
      </c>
      <c r="D190" s="179">
        <f t="shared" si="11"/>
        <v>780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85</v>
      </c>
      <c r="B191" s="181">
        <f>'Données projet'!D179</f>
        <v>12</v>
      </c>
      <c r="C191" s="193">
        <v>60</v>
      </c>
      <c r="D191" s="179">
        <f t="shared" si="11"/>
        <v>720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90</v>
      </c>
      <c r="B192" s="181">
        <f>'Données projet'!D180</f>
        <v>236</v>
      </c>
      <c r="C192" s="193">
        <v>80</v>
      </c>
      <c r="D192" s="179">
        <f t="shared" si="11"/>
        <v>18880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Pin maritime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1300*(0.52+0.58)</f>
        <v>1430.0000000000002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12</v>
      </c>
      <c r="B209" s="181">
        <f>'Données projet'!D192</f>
        <v>0</v>
      </c>
      <c r="C209" s="193">
        <v>0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16</v>
      </c>
      <c r="B210" s="181">
        <f>'Données projet'!D193</f>
        <v>8</v>
      </c>
      <c r="C210" s="193">
        <v>1.95</v>
      </c>
      <c r="D210" s="179">
        <f t="shared" ref="D210:D228" si="12">B210*C210</f>
        <v>15.6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20</v>
      </c>
      <c r="B211" s="181">
        <f>'Données projet'!D194</f>
        <v>14</v>
      </c>
      <c r="C211" s="193">
        <v>1.95</v>
      </c>
      <c r="D211" s="179">
        <f t="shared" si="12"/>
        <v>27.3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24</v>
      </c>
      <c r="B212" s="181">
        <f>'Données projet'!D195</f>
        <v>20</v>
      </c>
      <c r="C212" s="193">
        <v>4.4800000000000004</v>
      </c>
      <c r="D212" s="179">
        <f t="shared" si="12"/>
        <v>89.600000000000009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28</v>
      </c>
      <c r="B213" s="181">
        <f>'Données projet'!D196</f>
        <v>23</v>
      </c>
      <c r="C213" s="193">
        <v>4.4800000000000004</v>
      </c>
      <c r="D213" s="179">
        <f t="shared" si="12"/>
        <v>103.04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34</v>
      </c>
      <c r="B214" s="181">
        <f>'Données projet'!D197</f>
        <v>38</v>
      </c>
      <c r="C214" s="193">
        <v>4.8</v>
      </c>
      <c r="D214" s="179">
        <f t="shared" si="12"/>
        <v>182.4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40</v>
      </c>
      <c r="B215" s="181">
        <f>'Données projet'!D198</f>
        <v>31</v>
      </c>
      <c r="C215" s="193">
        <v>4.8</v>
      </c>
      <c r="D215" s="179">
        <f t="shared" si="12"/>
        <v>148.79999999999998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46</v>
      </c>
      <c r="B216" s="181">
        <f>'Données projet'!D199</f>
        <v>23</v>
      </c>
      <c r="C216" s="193">
        <v>27</v>
      </c>
      <c r="D216" s="179">
        <f t="shared" si="12"/>
        <v>621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54</v>
      </c>
      <c r="B217" s="181">
        <f>'Données projet'!D200</f>
        <v>22</v>
      </c>
      <c r="C217" s="193">
        <v>45</v>
      </c>
      <c r="D217" s="179">
        <f t="shared" si="12"/>
        <v>990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62</v>
      </c>
      <c r="B218" s="181">
        <f>'Données projet'!D201</f>
        <v>241</v>
      </c>
      <c r="C218" s="193">
        <v>60</v>
      </c>
      <c r="D218" s="179">
        <f t="shared" si="12"/>
        <v>14460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2025-03-28T15:01:56Z</dcterms:modified>
</cp:coreProperties>
</file>