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BRETIGNY (27) - PAISANT Joël- CEREMA\Dossier déposé le 22-11-24\"/>
    </mc:Choice>
  </mc:AlternateContent>
  <xr:revisionPtr revIDLastSave="0" documentId="13_ncr:1_{64D2F6C8-095B-461E-B965-0B0091F42EF5}" xr6:coauthVersionLast="36" xr6:coauthVersionMax="36" xr10:uidLastSave="{00000000-0000-0000-0000-000000000000}"/>
  <bookViews>
    <workbookView xWindow="0" yWindow="0" windowWidth="28800" windowHeight="11505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1" i="2" a="1"/>
  <c r="BC31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84" i="2" l="1" a="1"/>
  <c r="BC84" i="2" s="1"/>
  <c r="BX107" i="2" a="1"/>
  <c r="BX107" i="2" s="1"/>
  <c r="BC117" i="2" a="1"/>
  <c r="BC117" i="2" s="1"/>
  <c r="BC181" i="2" a="1"/>
  <c r="BC181" i="2" s="1"/>
  <c r="BC65" i="2" a="1"/>
  <c r="BC65" i="2" s="1"/>
  <c r="BC32" i="2" a="1"/>
  <c r="BC32" i="2" s="1"/>
  <c r="BC114" i="2" a="1"/>
  <c r="BC114" i="2" s="1"/>
  <c r="BC164" i="2" a="1"/>
  <c r="BC164" i="2" s="1"/>
  <c r="BC192" i="2" a="1"/>
  <c r="BC192" i="2" s="1"/>
  <c r="BC83" i="2" a="1"/>
  <c r="BC83" i="2" s="1"/>
  <c r="BC130" i="2" a="1"/>
  <c r="BC130" i="2" s="1"/>
  <c r="BC82" i="2" a="1"/>
  <c r="BC82" i="2" s="1"/>
  <c r="BC55" i="2" a="1"/>
  <c r="BC55" i="2" s="1"/>
  <c r="BC126" i="2" a="1"/>
  <c r="BC126" i="2" s="1"/>
  <c r="BC47" i="2" a="1"/>
  <c r="BC47" i="2" s="1"/>
  <c r="BC68" i="2" a="1"/>
  <c r="BC68" i="2" s="1"/>
  <c r="BC7" i="2" a="1"/>
  <c r="BC7" i="2" s="1"/>
  <c r="BC58" i="2" a="1"/>
  <c r="BC58" i="2" s="1"/>
  <c r="BC151" i="2" a="1"/>
  <c r="BC151" i="2" s="1"/>
  <c r="BC185" i="2" a="1"/>
  <c r="BC185" i="2" s="1"/>
  <c r="BC143" i="2" a="1"/>
  <c r="BC143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<sst xmlns="http://schemas.openxmlformats.org/spreadsheetml/2006/main" count="1174" uniqueCount="324">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</sst>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1.8759620795430532</c:v>
                </c:pt>
                <c:pt idx="2">
                  <c:v>2.4214015199189372</c:v>
                </c:pt>
                <c:pt idx="3">
                  <c:v>3.1260726244311328</c:v>
                </c:pt>
                <c:pt idx="4">
                  <c:v>4.0366378546992854</c:v>
                </c:pt>
                <c:pt idx="5">
                  <c:v>5.2134827190356612</c:v>
                </c:pt>
                <c:pt idx="6">
                  <c:v>6.7347649299341343</c:v>
                </c:pt>
                <c:pt idx="7">
                  <c:v>8.7016619461021705</c:v>
                </c:pt>
                <c:pt idx="8">
                  <c:v>11.245172557392728</c:v>
                </c:pt>
                <c:pt idx="9">
                  <c:v>14.534933990673203</c:v>
                </c:pt>
                <c:pt idx="10">
                  <c:v>18.790653391120799</c:v>
                </c:pt>
                <c:pt idx="11">
                  <c:v>24.296930896690171</c:v>
                </c:pt>
                <c:pt idx="12">
                  <c:v>31.422483126761865</c:v>
                </c:pt>
                <c:pt idx="13">
                  <c:v>40.645076672213328</c:v>
                </c:pt>
                <c:pt idx="14">
                  <c:v>52.583871796940883</c:v>
                </c:pt>
                <c:pt idx="15">
                  <c:v>68.041383935943529</c:v>
                </c:pt>
                <c:pt idx="16">
                  <c:v>88.057929662097834</c:v>
                </c:pt>
                <c:pt idx="17">
                  <c:v>113.98228003756738</c:v>
                </c:pt>
                <c:pt idx="18">
                  <c:v>147.56335674583423</c:v>
                </c:pt>
                <c:pt idx="19">
                  <c:v>191.06925192712265</c:v>
                </c:pt>
                <c:pt idx="20">
                  <c:v>215.83064896499511</c:v>
                </c:pt>
                <c:pt idx="21">
                  <c:v>240.52665895672337</c:v>
                </c:pt>
                <c:pt idx="22">
                  <c:v>188.30394463686085</c:v>
                </c:pt>
                <c:pt idx="23">
                  <c:v>214.53819358715211</c:v>
                </c:pt>
                <c:pt idx="24">
                  <c:v>240.69854615879464</c:v>
                </c:pt>
                <c:pt idx="25">
                  <c:v>266.79416310068058</c:v>
                </c:pt>
                <c:pt idx="26">
                  <c:v>292.83226442146031</c:v>
                </c:pt>
                <c:pt idx="27">
                  <c:v>318.81868043774966</c:v>
                </c:pt>
                <c:pt idx="28">
                  <c:v>344.75821320428196</c:v>
                </c:pt>
                <c:pt idx="29">
                  <c:v>291.29202614469426</c:v>
                </c:pt>
                <c:pt idx="30">
                  <c:v>319.16028488609555</c:v>
                </c:pt>
                <c:pt idx="31">
                  <c:v>346.97468416597229</c:v>
                </c:pt>
                <c:pt idx="32">
                  <c:v>374.74014456124672</c:v>
                </c:pt>
                <c:pt idx="33">
                  <c:v>402.4607981927727</c:v>
                </c:pt>
                <c:pt idx="34">
                  <c:v>430.14016180087606</c:v>
                </c:pt>
                <c:pt idx="35">
                  <c:v>457.78126290812997</c:v>
                </c:pt>
                <c:pt idx="36">
                  <c:v>381.54676310922576</c:v>
                </c:pt>
                <c:pt idx="37">
                  <c:v>408.74735078815547</c:v>
                </c:pt>
                <c:pt idx="38">
                  <c:v>435.90885554382635</c:v>
                </c:pt>
                <c:pt idx="39">
                  <c:v>463.03405229397862</c:v>
                </c:pt>
                <c:pt idx="40">
                  <c:v>490.1253645922377</c:v>
                </c:pt>
                <c:pt idx="41">
                  <c:v>517.18492647267715</c:v>
                </c:pt>
                <c:pt idx="42">
                  <c:v>544.21463067857655</c:v>
                </c:pt>
                <c:pt idx="43">
                  <c:v>451.849145587978</c:v>
                </c:pt>
                <c:pt idx="44">
                  <c:v>477.9383247296592</c:v>
                </c:pt>
                <c:pt idx="45">
                  <c:v>503.99723200983743</c:v>
                </c:pt>
                <c:pt idx="46">
                  <c:v>530.02765090640912</c:v>
                </c:pt>
                <c:pt idx="47">
                  <c:v>556.03117561453917</c:v>
                </c:pt>
                <c:pt idx="48">
                  <c:v>582.00923922497134</c:v>
                </c:pt>
                <c:pt idx="49">
                  <c:v>607.96313661229703</c:v>
                </c:pt>
                <c:pt idx="50">
                  <c:v>498.41563638607613</c:v>
                </c:pt>
                <c:pt idx="51">
                  <c:v>522.42420855466924</c:v>
                </c:pt>
                <c:pt idx="52">
                  <c:v>546.40953539293105</c:v>
                </c:pt>
                <c:pt idx="53">
                  <c:v>570.37277971039146</c:v>
                </c:pt>
                <c:pt idx="54">
                  <c:v>594.31499874466942</c:v>
                </c:pt>
                <c:pt idx="55">
                  <c:v>618.23715769830108</c:v>
                </c:pt>
                <c:pt idx="56">
                  <c:v>642.1401410729178</c:v>
                </c:pt>
                <c:pt idx="57">
                  <c:v>552.14918288690853</c:v>
                </c:pt>
                <c:pt idx="58">
                  <c:v>574.25214529925574</c:v>
                </c:pt>
                <c:pt idx="59">
                  <c:v>596.33735274192247</c:v>
                </c:pt>
                <c:pt idx="60">
                  <c:v>618.40555461714837</c:v>
                </c:pt>
                <c:pt idx="61">
                  <c:v>640.45744253596911</c:v>
                </c:pt>
                <c:pt idx="62">
                  <c:v>662.49365665115317</c:v>
                </c:pt>
                <c:pt idx="63">
                  <c:v>684.51479110444313</c:v>
                </c:pt>
                <c:pt idx="64">
                  <c:v>587.51658942206677</c:v>
                </c:pt>
                <c:pt idx="65">
                  <c:v>607.17699832129483</c:v>
                </c:pt>
                <c:pt idx="66">
                  <c:v>626.82419491945257</c:v>
                </c:pt>
                <c:pt idx="67">
                  <c:v>646.4586512630425</c:v>
                </c:pt>
                <c:pt idx="68">
                  <c:v>666.08080841340609</c:v>
                </c:pt>
                <c:pt idx="69">
                  <c:v>685.69107935191562</c:v>
                </c:pt>
                <c:pt idx="70">
                  <c:v>704.50611678429107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505.29666263090093</c:v>
                </c:pt>
                <c:pt idx="82">
                  <c:v>505.29666263090093</c:v>
                </c:pt>
                <c:pt idx="83">
                  <c:v>505.29666263090093</c:v>
                </c:pt>
                <c:pt idx="84">
                  <c:v>505.29666263090093</c:v>
                </c:pt>
                <c:pt idx="85">
                  <c:v>505.29666263090093</c:v>
                </c:pt>
                <c:pt idx="86">
                  <c:v>505.29666263090093</c:v>
                </c:pt>
                <c:pt idx="87">
                  <c:v>505.29666263090093</c:v>
                </c:pt>
                <c:pt idx="88">
                  <c:v>505.29666263090093</c:v>
                </c:pt>
                <c:pt idx="89">
                  <c:v>505.29666263090093</c:v>
                </c:pt>
                <c:pt idx="90">
                  <c:v>505.29666263090093</c:v>
                </c:pt>
                <c:pt idx="91">
                  <c:v>505.29666263090093</c:v>
                </c:pt>
                <c:pt idx="92">
                  <c:v>505.29666263090093</c:v>
                </c:pt>
                <c:pt idx="93">
                  <c:v>505.29666263090093</c:v>
                </c:pt>
                <c:pt idx="94">
                  <c:v>505.29666263090093</c:v>
                </c:pt>
                <c:pt idx="95">
                  <c:v>505.29666263090093</c:v>
                </c:pt>
                <c:pt idx="96">
                  <c:v>505.29666263090093</c:v>
                </c:pt>
                <c:pt idx="97">
                  <c:v>505.29666263090093</c:v>
                </c:pt>
                <c:pt idx="98">
                  <c:v>505.29666263090093</c:v>
                </c:pt>
                <c:pt idx="99">
                  <c:v>505.29666263090093</c:v>
                </c:pt>
                <c:pt idx="100">
                  <c:v>505.29666263090093</c:v>
                </c:pt>
                <c:pt idx="101">
                  <c:v>505.29666263090093</c:v>
                </c:pt>
                <c:pt idx="102">
                  <c:v>505.29666263090093</c:v>
                </c:pt>
                <c:pt idx="103">
                  <c:v>505.29666263090093</c:v>
                </c:pt>
                <c:pt idx="104">
                  <c:v>505.29666263090093</c:v>
                </c:pt>
                <c:pt idx="105">
                  <c:v>505.29666263090093</c:v>
                </c:pt>
                <c:pt idx="106">
                  <c:v>505.29666263090093</c:v>
                </c:pt>
                <c:pt idx="107">
                  <c:v>505.29666263090093</c:v>
                </c:pt>
                <c:pt idx="108">
                  <c:v>505.29666263090093</c:v>
                </c:pt>
                <c:pt idx="109">
                  <c:v>505.29666263090093</c:v>
                </c:pt>
                <c:pt idx="110">
                  <c:v>505.29666263090093</c:v>
                </c:pt>
                <c:pt idx="111">
                  <c:v>505.29666263090093</c:v>
                </c:pt>
                <c:pt idx="112">
                  <c:v>505.29666263090093</c:v>
                </c:pt>
                <c:pt idx="113">
                  <c:v>505.29666263090093</c:v>
                </c:pt>
                <c:pt idx="114">
                  <c:v>505.29666263090093</c:v>
                </c:pt>
                <c:pt idx="115">
                  <c:v>505.29666263090093</c:v>
                </c:pt>
                <c:pt idx="116">
                  <c:v>505.29666263090093</c:v>
                </c:pt>
                <c:pt idx="117">
                  <c:v>505.29666263090093</c:v>
                </c:pt>
                <c:pt idx="118">
                  <c:v>505.29666263090093</c:v>
                </c:pt>
                <c:pt idx="119">
                  <c:v>505.29666263090093</c:v>
                </c:pt>
                <c:pt idx="120">
                  <c:v>505.29666263090093</c:v>
                </c:pt>
                <c:pt idx="121">
                  <c:v>505.29666263090093</c:v>
                </c:pt>
                <c:pt idx="122">
                  <c:v>505.29666263090093</c:v>
                </c:pt>
                <c:pt idx="123">
                  <c:v>505.29666263090093</c:v>
                </c:pt>
                <c:pt idx="124">
                  <c:v>505.29666263090093</c:v>
                </c:pt>
                <c:pt idx="125">
                  <c:v>505.29666263090093</c:v>
                </c:pt>
                <c:pt idx="126">
                  <c:v>505.29666263090093</c:v>
                </c:pt>
                <c:pt idx="127">
                  <c:v>505.29666263090093</c:v>
                </c:pt>
                <c:pt idx="128">
                  <c:v>505.29666263090093</c:v>
                </c:pt>
                <c:pt idx="129">
                  <c:v>505.29666263090093</c:v>
                </c:pt>
                <c:pt idx="130">
                  <c:v>505.29666263090093</c:v>
                </c:pt>
                <c:pt idx="131">
                  <c:v>505.29666263090093</c:v>
                </c:pt>
                <c:pt idx="132">
                  <c:v>505.29666263090093</c:v>
                </c:pt>
                <c:pt idx="133">
                  <c:v>505.29666263090093</c:v>
                </c:pt>
                <c:pt idx="134">
                  <c:v>505.29666263090093</c:v>
                </c:pt>
                <c:pt idx="135">
                  <c:v>505.29666263090093</c:v>
                </c:pt>
                <c:pt idx="136">
                  <c:v>505.29666263090093</c:v>
                </c:pt>
                <c:pt idx="137">
                  <c:v>505.29666263090093</c:v>
                </c:pt>
                <c:pt idx="138">
                  <c:v>505.29666263090093</c:v>
                </c:pt>
                <c:pt idx="139">
                  <c:v>505.29666263090093</c:v>
                </c:pt>
                <c:pt idx="140">
                  <c:v>505.29666263090093</c:v>
                </c:pt>
                <c:pt idx="141">
                  <c:v>505.29666263090093</c:v>
                </c:pt>
                <c:pt idx="142">
                  <c:v>505.29666263090093</c:v>
                </c:pt>
                <c:pt idx="143">
                  <c:v>505.29666263090093</c:v>
                </c:pt>
                <c:pt idx="144">
                  <c:v>505.29666263090093</c:v>
                </c:pt>
                <c:pt idx="145">
                  <c:v>505.29666263090093</c:v>
                </c:pt>
                <c:pt idx="146">
                  <c:v>505.29666263090093</c:v>
                </c:pt>
                <c:pt idx="147">
                  <c:v>505.29666263090093</c:v>
                </c:pt>
                <c:pt idx="148">
                  <c:v>505.29666263090093</c:v>
                </c:pt>
                <c:pt idx="149">
                  <c:v>505.29666263090093</c:v>
                </c:pt>
                <c:pt idx="150">
                  <c:v>505.29666263090093</c:v>
                </c:pt>
                <c:pt idx="151">
                  <c:v>505.29666263090093</c:v>
                </c:pt>
                <c:pt idx="152">
                  <c:v>505.29666263090093</c:v>
                </c:pt>
                <c:pt idx="153">
                  <c:v>505.29666263090093</c:v>
                </c:pt>
                <c:pt idx="154">
                  <c:v>505.29666263090093</c:v>
                </c:pt>
                <c:pt idx="155">
                  <c:v>505.29666263090093</c:v>
                </c:pt>
                <c:pt idx="156">
                  <c:v>505.29666263090093</c:v>
                </c:pt>
                <c:pt idx="157">
                  <c:v>505.29666263090093</c:v>
                </c:pt>
                <c:pt idx="158">
                  <c:v>505.29666263090093</c:v>
                </c:pt>
                <c:pt idx="159">
                  <c:v>505.29666263090093</c:v>
                </c:pt>
                <c:pt idx="160">
                  <c:v>505.29666263090093</c:v>
                </c:pt>
                <c:pt idx="161">
                  <c:v>505.29666263090093</c:v>
                </c:pt>
                <c:pt idx="162">
                  <c:v>505.29666263090093</c:v>
                </c:pt>
                <c:pt idx="163">
                  <c:v>505.29666263090093</c:v>
                </c:pt>
                <c:pt idx="164">
                  <c:v>505.29666263090093</c:v>
                </c:pt>
                <c:pt idx="165">
                  <c:v>505.29666263090093</c:v>
                </c:pt>
                <c:pt idx="166">
                  <c:v>505.29666263090093</c:v>
                </c:pt>
                <c:pt idx="167">
                  <c:v>505.29666263090093</c:v>
                </c:pt>
                <c:pt idx="168">
                  <c:v>505.29666263090093</c:v>
                </c:pt>
                <c:pt idx="169">
                  <c:v>505.29666263090093</c:v>
                </c:pt>
                <c:pt idx="170">
                  <c:v>505.29666263090093</c:v>
                </c:pt>
                <c:pt idx="171">
                  <c:v>505.29666263090093</c:v>
                </c:pt>
                <c:pt idx="172">
                  <c:v>505.29666263090093</c:v>
                </c:pt>
                <c:pt idx="173">
                  <c:v>505.29666263090093</c:v>
                </c:pt>
                <c:pt idx="174">
                  <c:v>505.29666263090093</c:v>
                </c:pt>
                <c:pt idx="175">
                  <c:v>505.29666263090093</c:v>
                </c:pt>
                <c:pt idx="176">
                  <c:v>505.29666263090093</c:v>
                </c:pt>
                <c:pt idx="177">
                  <c:v>505.29666263090093</c:v>
                </c:pt>
                <c:pt idx="178">
                  <c:v>505.29666263090093</c:v>
                </c:pt>
                <c:pt idx="179">
                  <c:v>505.29666263090093</c:v>
                </c:pt>
                <c:pt idx="180">
                  <c:v>505.29666263090093</c:v>
                </c:pt>
                <c:pt idx="181">
                  <c:v>505.29666263090093</c:v>
                </c:pt>
                <c:pt idx="182">
                  <c:v>505.29666263090093</c:v>
                </c:pt>
                <c:pt idx="183">
                  <c:v>505.29666263090093</c:v>
                </c:pt>
                <c:pt idx="184">
                  <c:v>505.29666263090093</c:v>
                </c:pt>
                <c:pt idx="185">
                  <c:v>505.29666263090093</c:v>
                </c:pt>
                <c:pt idx="186">
                  <c:v>505.29666263090093</c:v>
                </c:pt>
                <c:pt idx="187">
                  <c:v>505.29666263090093</c:v>
                </c:pt>
                <c:pt idx="188">
                  <c:v>505.29666263090093</c:v>
                </c:pt>
                <c:pt idx="189">
                  <c:v>505.29666263090093</c:v>
                </c:pt>
                <c:pt idx="190">
                  <c:v>505.29666263090093</c:v>
                </c:pt>
                <c:pt idx="191">
                  <c:v>505.29666263090093</c:v>
                </c:pt>
                <c:pt idx="192">
                  <c:v>505.29666263090093</c:v>
                </c:pt>
                <c:pt idx="193">
                  <c:v>505.29666263090093</c:v>
                </c:pt>
                <c:pt idx="194">
                  <c:v>505.29666263090093</c:v>
                </c:pt>
                <c:pt idx="195">
                  <c:v>505.29666263090093</c:v>
                </c:pt>
                <c:pt idx="196">
                  <c:v>505.29666263090093</c:v>
                </c:pt>
                <c:pt idx="197">
                  <c:v>505.29666263090093</c:v>
                </c:pt>
                <c:pt idx="198">
                  <c:v>505.29666263090093</c:v>
                </c:pt>
                <c:pt idx="199">
                  <c:v>505.29666263090093</c:v>
                </c:pt>
                <c:pt idx="200">
                  <c:v>505.29666263090093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1.9951528130393739</c:v>
                </c:pt>
                <c:pt idx="2">
                  <c:v>2.801987453453473</c:v>
                </c:pt>
                <c:pt idx="3">
                  <c:v>3.9365296795409237</c:v>
                </c:pt>
                <c:pt idx="4">
                  <c:v>5.5324276571117856</c:v>
                </c:pt>
                <c:pt idx="5">
                  <c:v>7.7780423573062087</c:v>
                </c:pt>
                <c:pt idx="6">
                  <c:v>10.938924465021435</c:v>
                </c:pt>
                <c:pt idx="7">
                  <c:v>15.389554849750539</c:v>
                </c:pt>
                <c:pt idx="8">
                  <c:v>21.658177623394408</c:v>
                </c:pt>
                <c:pt idx="9">
                  <c:v>30.490141697520784</c:v>
                </c:pt>
                <c:pt idx="10">
                  <c:v>42.937412871487879</c:v>
                </c:pt>
                <c:pt idx="11">
                  <c:v>50.525062342877327</c:v>
                </c:pt>
                <c:pt idx="12">
                  <c:v>64.158273468079955</c:v>
                </c:pt>
                <c:pt idx="13">
                  <c:v>77.716157517869419</c:v>
                </c:pt>
                <c:pt idx="14">
                  <c:v>91.21378336117408</c:v>
                </c:pt>
                <c:pt idx="15">
                  <c:v>104.66135602287243</c:v>
                </c:pt>
                <c:pt idx="16">
                  <c:v>93.378156972322202</c:v>
                </c:pt>
                <c:pt idx="17">
                  <c:v>107.29763041380107</c:v>
                </c:pt>
                <c:pt idx="18">
                  <c:v>121.17258390131535</c:v>
                </c:pt>
                <c:pt idx="19">
                  <c:v>135.00884169160111</c:v>
                </c:pt>
                <c:pt idx="20">
                  <c:v>148.81093286135922</c:v>
                </c:pt>
                <c:pt idx="21">
                  <c:v>132.86417787910921</c:v>
                </c:pt>
                <c:pt idx="22">
                  <c:v>145.48231507115517</c:v>
                </c:pt>
                <c:pt idx="23">
                  <c:v>158.07427982969332</c:v>
                </c:pt>
                <c:pt idx="24">
                  <c:v>170.64245249764204</c:v>
                </c:pt>
                <c:pt idx="25">
                  <c:v>183.18883358988873</c:v>
                </c:pt>
                <c:pt idx="26">
                  <c:v>167.08771413550696</c:v>
                </c:pt>
                <c:pt idx="27">
                  <c:v>177.03661484019131</c:v>
                </c:pt>
                <c:pt idx="28">
                  <c:v>186.97240160982622</c:v>
                </c:pt>
                <c:pt idx="29">
                  <c:v>196.89587026062097</c:v>
                </c:pt>
                <c:pt idx="30">
                  <c:v>206.80772973999626</c:v>
                </c:pt>
                <c:pt idx="31">
                  <c:v>192.17189850121224</c:v>
                </c:pt>
                <c:pt idx="32">
                  <c:v>199.96503633513382</c:v>
                </c:pt>
                <c:pt idx="33">
                  <c:v>207.75113458127905</c:v>
                </c:pt>
                <c:pt idx="34">
                  <c:v>215.53049463375149</c:v>
                </c:pt>
                <c:pt idx="35">
                  <c:v>223.30339432263699</c:v>
                </c:pt>
                <c:pt idx="36">
                  <c:v>211.28802543122325</c:v>
                </c:pt>
                <c:pt idx="37">
                  <c:v>216.94422185354449</c:v>
                </c:pt>
                <c:pt idx="38">
                  <c:v>222.59702714000073</c:v>
                </c:pt>
                <c:pt idx="39">
                  <c:v>228.24653971138068</c:v>
                </c:pt>
                <c:pt idx="40">
                  <c:v>233.89285271005079</c:v>
                </c:pt>
                <c:pt idx="41">
                  <c:v>224.95138540725256</c:v>
                </c:pt>
                <c:pt idx="42">
                  <c:v>228.952501957349</c:v>
                </c:pt>
                <c:pt idx="43">
                  <c:v>232.95201893246744</c:v>
                </c:pt>
                <c:pt idx="44">
                  <c:v>236.94996773022407</c:v>
                </c:pt>
                <c:pt idx="45">
                  <c:v>240.9463786000355</c:v>
                </c:pt>
                <c:pt idx="46">
                  <c:v>234.59842131171899</c:v>
                </c:pt>
                <c:pt idx="47">
                  <c:v>237.65532761500836</c:v>
                </c:pt>
                <c:pt idx="48">
                  <c:v>240.71133765275954</c:v>
                </c:pt>
                <c:pt idx="49">
                  <c:v>243.76646443655656</c:v>
                </c:pt>
                <c:pt idx="50">
                  <c:v>246.82072062447375</c:v>
                </c:pt>
                <c:pt idx="51">
                  <c:v>5.3139366398878183E-13</c:v>
                </c:pt>
                <c:pt idx="52">
                  <c:v>5.3139366398878183E-13</c:v>
                </c:pt>
                <c:pt idx="53">
                  <c:v>5.3139366398878183E-13</c:v>
                </c:pt>
                <c:pt idx="54">
                  <c:v>5.3139366398878183E-13</c:v>
                </c:pt>
                <c:pt idx="55">
                  <c:v>5.3139366398878183E-13</c:v>
                </c:pt>
                <c:pt idx="56">
                  <c:v>5.3139366398878183E-13</c:v>
                </c:pt>
                <c:pt idx="57">
                  <c:v>5.3139366398878183E-13</c:v>
                </c:pt>
                <c:pt idx="58">
                  <c:v>5.3139366398878183E-13</c:v>
                </c:pt>
                <c:pt idx="59">
                  <c:v>5.3139366398878183E-13</c:v>
                </c:pt>
                <c:pt idx="60">
                  <c:v>5.3139366398878183E-13</c:v>
                </c:pt>
                <c:pt idx="61">
                  <c:v>5.3139366398878183E-13</c:v>
                </c:pt>
                <c:pt idx="62">
                  <c:v>5.3139366398878183E-13</c:v>
                </c:pt>
                <c:pt idx="63">
                  <c:v>5.3139366398878183E-13</c:v>
                </c:pt>
                <c:pt idx="64">
                  <c:v>5.3139366398878183E-13</c:v>
                </c:pt>
                <c:pt idx="65">
                  <c:v>5.3139366398878183E-13</c:v>
                </c:pt>
                <c:pt idx="66">
                  <c:v>5.3139366398878183E-13</c:v>
                </c:pt>
                <c:pt idx="67">
                  <c:v>5.3139366398878183E-13</c:v>
                </c:pt>
                <c:pt idx="68">
                  <c:v>5.3139366398878183E-13</c:v>
                </c:pt>
                <c:pt idx="69">
                  <c:v>5.3139366398878183E-13</c:v>
                </c:pt>
                <c:pt idx="70">
                  <c:v>5.3139366398878183E-13</c:v>
                </c:pt>
                <c:pt idx="71">
                  <c:v>5.3139366398878183E-13</c:v>
                </c:pt>
                <c:pt idx="72">
                  <c:v>5.3139366398878183E-13</c:v>
                </c:pt>
                <c:pt idx="73">
                  <c:v>5.3139366398878183E-13</c:v>
                </c:pt>
                <c:pt idx="74">
                  <c:v>5.3139366398878183E-13</c:v>
                </c:pt>
                <c:pt idx="75">
                  <c:v>5.3139366398878183E-13</c:v>
                </c:pt>
                <c:pt idx="76">
                  <c:v>5.3139366398878183E-13</c:v>
                </c:pt>
                <c:pt idx="77">
                  <c:v>5.3139366398878183E-13</c:v>
                </c:pt>
                <c:pt idx="78">
                  <c:v>5.3139366398878183E-13</c:v>
                </c:pt>
                <c:pt idx="79">
                  <c:v>5.3139366398878183E-13</c:v>
                </c:pt>
                <c:pt idx="80">
                  <c:v>5.3139366398878183E-13</c:v>
                </c:pt>
                <c:pt idx="81">
                  <c:v>5.3139366398878183E-13</c:v>
                </c:pt>
                <c:pt idx="82">
                  <c:v>5.3139366398878183E-13</c:v>
                </c:pt>
                <c:pt idx="83">
                  <c:v>5.3139366398878183E-13</c:v>
                </c:pt>
                <c:pt idx="84">
                  <c:v>5.3139366398878183E-13</c:v>
                </c:pt>
                <c:pt idx="85">
                  <c:v>5.3139366398878183E-13</c:v>
                </c:pt>
                <c:pt idx="86">
                  <c:v>5.3139366398878183E-13</c:v>
                </c:pt>
                <c:pt idx="87">
                  <c:v>5.3139366398878183E-13</c:v>
                </c:pt>
                <c:pt idx="88">
                  <c:v>5.3139366398878183E-13</c:v>
                </c:pt>
                <c:pt idx="89">
                  <c:v>5.3139366398878183E-13</c:v>
                </c:pt>
                <c:pt idx="90">
                  <c:v>5.3139366398878183E-13</c:v>
                </c:pt>
                <c:pt idx="91">
                  <c:v>5.3139366398878183E-13</c:v>
                </c:pt>
                <c:pt idx="92">
                  <c:v>5.3139366398878183E-13</c:v>
                </c:pt>
                <c:pt idx="93">
                  <c:v>5.3139366398878183E-13</c:v>
                </c:pt>
                <c:pt idx="94">
                  <c:v>5.3139366398878183E-13</c:v>
                </c:pt>
                <c:pt idx="95">
                  <c:v>5.3139366398878183E-13</c:v>
                </c:pt>
                <c:pt idx="96">
                  <c:v>5.3139366398878183E-13</c:v>
                </c:pt>
                <c:pt idx="97">
                  <c:v>5.3139366398878183E-13</c:v>
                </c:pt>
                <c:pt idx="98">
                  <c:v>5.3139366398878183E-13</c:v>
                </c:pt>
                <c:pt idx="99">
                  <c:v>5.3139366398878183E-13</c:v>
                </c:pt>
                <c:pt idx="100">
                  <c:v>5.3139366398878183E-13</c:v>
                </c:pt>
                <c:pt idx="101">
                  <c:v>5.3139366398878183E-13</c:v>
                </c:pt>
                <c:pt idx="102">
                  <c:v>5.3139366398878183E-13</c:v>
                </c:pt>
                <c:pt idx="103">
                  <c:v>5.3139366398878183E-13</c:v>
                </c:pt>
                <c:pt idx="104">
                  <c:v>5.3139366398878183E-13</c:v>
                </c:pt>
                <c:pt idx="105">
                  <c:v>5.3139366398878183E-13</c:v>
                </c:pt>
                <c:pt idx="106">
                  <c:v>5.3139366398878183E-13</c:v>
                </c:pt>
                <c:pt idx="107">
                  <c:v>5.3139366398878183E-13</c:v>
                </c:pt>
                <c:pt idx="108">
                  <c:v>5.3139366398878183E-13</c:v>
                </c:pt>
                <c:pt idx="109">
                  <c:v>5.3139366398878183E-13</c:v>
                </c:pt>
                <c:pt idx="110">
                  <c:v>5.3139366398878183E-13</c:v>
                </c:pt>
                <c:pt idx="111">
                  <c:v>5.3139366398878183E-13</c:v>
                </c:pt>
                <c:pt idx="112">
                  <c:v>5.3139366398878183E-13</c:v>
                </c:pt>
                <c:pt idx="113">
                  <c:v>5.3139366398878183E-13</c:v>
                </c:pt>
                <c:pt idx="114">
                  <c:v>5.3139366398878183E-13</c:v>
                </c:pt>
                <c:pt idx="115">
                  <c:v>5.3139366398878183E-13</c:v>
                </c:pt>
                <c:pt idx="116">
                  <c:v>5.3139366398878183E-13</c:v>
                </c:pt>
                <c:pt idx="117">
                  <c:v>5.3139366398878183E-13</c:v>
                </c:pt>
                <c:pt idx="118">
                  <c:v>5.3139366398878183E-13</c:v>
                </c:pt>
                <c:pt idx="119">
                  <c:v>5.3139366398878183E-13</c:v>
                </c:pt>
                <c:pt idx="120">
                  <c:v>5.3139366398878183E-13</c:v>
                </c:pt>
                <c:pt idx="121">
                  <c:v>5.3139366398878183E-13</c:v>
                </c:pt>
                <c:pt idx="122">
                  <c:v>5.3139366398878183E-13</c:v>
                </c:pt>
                <c:pt idx="123">
                  <c:v>5.3139366398878183E-13</c:v>
                </c:pt>
                <c:pt idx="124">
                  <c:v>5.3139366398878183E-13</c:v>
                </c:pt>
                <c:pt idx="125">
                  <c:v>5.3139366398878183E-13</c:v>
                </c:pt>
                <c:pt idx="126">
                  <c:v>5.3139366398878183E-13</c:v>
                </c:pt>
                <c:pt idx="127">
                  <c:v>5.3139366398878183E-13</c:v>
                </c:pt>
                <c:pt idx="128">
                  <c:v>5.3139366398878183E-13</c:v>
                </c:pt>
                <c:pt idx="129">
                  <c:v>5.3139366398878183E-13</c:v>
                </c:pt>
                <c:pt idx="130">
                  <c:v>5.3139366398878183E-13</c:v>
                </c:pt>
                <c:pt idx="131">
                  <c:v>5.3139366398878183E-13</c:v>
                </c:pt>
                <c:pt idx="132">
                  <c:v>5.3139366398878183E-13</c:v>
                </c:pt>
                <c:pt idx="133">
                  <c:v>5.3139366398878183E-13</c:v>
                </c:pt>
                <c:pt idx="134">
                  <c:v>5.3139366398878183E-13</c:v>
                </c:pt>
                <c:pt idx="135">
                  <c:v>5.3139366398878183E-13</c:v>
                </c:pt>
                <c:pt idx="136">
                  <c:v>5.3139366398878183E-13</c:v>
                </c:pt>
                <c:pt idx="137">
                  <c:v>5.3139366398878183E-13</c:v>
                </c:pt>
                <c:pt idx="138">
                  <c:v>5.3139366398878183E-13</c:v>
                </c:pt>
                <c:pt idx="139">
                  <c:v>5.3139366398878183E-13</c:v>
                </c:pt>
                <c:pt idx="140">
                  <c:v>5.3139366398878183E-13</c:v>
                </c:pt>
                <c:pt idx="141">
                  <c:v>5.3139366398878183E-13</c:v>
                </c:pt>
                <c:pt idx="142">
                  <c:v>5.3139366398878183E-13</c:v>
                </c:pt>
                <c:pt idx="143">
                  <c:v>5.3139366398878183E-13</c:v>
                </c:pt>
                <c:pt idx="144">
                  <c:v>5.3139366398878183E-13</c:v>
                </c:pt>
                <c:pt idx="145">
                  <c:v>5.3139366398878183E-13</c:v>
                </c:pt>
                <c:pt idx="146">
                  <c:v>5.3139366398878183E-13</c:v>
                </c:pt>
                <c:pt idx="147">
                  <c:v>5.3139366398878183E-13</c:v>
                </c:pt>
                <c:pt idx="148">
                  <c:v>5.3139366398878183E-13</c:v>
                </c:pt>
                <c:pt idx="149">
                  <c:v>5.3139366398878183E-13</c:v>
                </c:pt>
                <c:pt idx="150">
                  <c:v>5.3139366398878183E-13</c:v>
                </c:pt>
                <c:pt idx="151">
                  <c:v>5.3139366398878183E-13</c:v>
                </c:pt>
                <c:pt idx="152">
                  <c:v>5.3139366398878183E-13</c:v>
                </c:pt>
                <c:pt idx="153">
                  <c:v>5.3139366398878183E-13</c:v>
                </c:pt>
                <c:pt idx="154">
                  <c:v>5.3139366398878183E-13</c:v>
                </c:pt>
                <c:pt idx="155">
                  <c:v>5.3139366398878183E-13</c:v>
                </c:pt>
                <c:pt idx="156">
                  <c:v>5.3139366398878183E-13</c:v>
                </c:pt>
                <c:pt idx="157">
                  <c:v>5.3139366398878183E-13</c:v>
                </c:pt>
                <c:pt idx="158">
                  <c:v>5.3139366398878183E-13</c:v>
                </c:pt>
                <c:pt idx="159">
                  <c:v>5.3139366398878183E-13</c:v>
                </c:pt>
                <c:pt idx="160">
                  <c:v>5.3139366398878183E-13</c:v>
                </c:pt>
                <c:pt idx="161">
                  <c:v>5.3139366398878183E-13</c:v>
                </c:pt>
                <c:pt idx="162">
                  <c:v>5.3139366398878183E-13</c:v>
                </c:pt>
                <c:pt idx="163">
                  <c:v>5.3139366398878183E-13</c:v>
                </c:pt>
                <c:pt idx="164">
                  <c:v>5.3139366398878183E-13</c:v>
                </c:pt>
                <c:pt idx="165">
                  <c:v>5.3139366398878183E-13</c:v>
                </c:pt>
                <c:pt idx="166">
                  <c:v>5.3139366398878183E-13</c:v>
                </c:pt>
                <c:pt idx="167">
                  <c:v>5.3139366398878183E-13</c:v>
                </c:pt>
                <c:pt idx="168">
                  <c:v>5.3139366398878183E-13</c:v>
                </c:pt>
                <c:pt idx="169">
                  <c:v>5.3139366398878183E-13</c:v>
                </c:pt>
                <c:pt idx="170">
                  <c:v>5.3139366398878183E-13</c:v>
                </c:pt>
                <c:pt idx="171">
                  <c:v>5.3139366398878183E-13</c:v>
                </c:pt>
                <c:pt idx="172">
                  <c:v>5.3139366398878183E-13</c:v>
                </c:pt>
                <c:pt idx="173">
                  <c:v>5.3139366398878183E-13</c:v>
                </c:pt>
                <c:pt idx="174">
                  <c:v>5.3139366398878183E-13</c:v>
                </c:pt>
                <c:pt idx="175">
                  <c:v>5.3139366398878183E-13</c:v>
                </c:pt>
                <c:pt idx="176">
                  <c:v>5.3139366398878183E-13</c:v>
                </c:pt>
                <c:pt idx="177">
                  <c:v>5.3139366398878183E-13</c:v>
                </c:pt>
                <c:pt idx="178">
                  <c:v>5.3139366398878183E-13</c:v>
                </c:pt>
                <c:pt idx="179">
                  <c:v>5.3139366398878183E-13</c:v>
                </c:pt>
                <c:pt idx="180">
                  <c:v>5.3139366398878183E-13</c:v>
                </c:pt>
                <c:pt idx="181">
                  <c:v>5.3139366398878183E-13</c:v>
                </c:pt>
                <c:pt idx="182">
                  <c:v>5.3139366398878183E-13</c:v>
                </c:pt>
                <c:pt idx="183">
                  <c:v>5.3139366398878183E-13</c:v>
                </c:pt>
                <c:pt idx="184">
                  <c:v>5.3139366398878183E-13</c:v>
                </c:pt>
                <c:pt idx="185">
                  <c:v>5.3139366398878183E-13</c:v>
                </c:pt>
                <c:pt idx="186">
                  <c:v>5.3139366398878183E-13</c:v>
                </c:pt>
                <c:pt idx="187">
                  <c:v>5.3139366398878183E-13</c:v>
                </c:pt>
                <c:pt idx="188">
                  <c:v>5.3139366398878183E-13</c:v>
                </c:pt>
                <c:pt idx="189">
                  <c:v>5.3139366398878183E-13</c:v>
                </c:pt>
                <c:pt idx="190">
                  <c:v>5.3139366398878183E-13</c:v>
                </c:pt>
                <c:pt idx="191">
                  <c:v>5.3139366398878183E-13</c:v>
                </c:pt>
                <c:pt idx="192">
                  <c:v>5.3139366398878183E-13</c:v>
                </c:pt>
                <c:pt idx="193">
                  <c:v>5.3139366398878183E-13</c:v>
                </c:pt>
                <c:pt idx="194">
                  <c:v>5.3139366398878183E-13</c:v>
                </c:pt>
                <c:pt idx="195">
                  <c:v>5.3139366398878183E-13</c:v>
                </c:pt>
                <c:pt idx="196">
                  <c:v>5.3139366398878183E-13</c:v>
                </c:pt>
                <c:pt idx="197">
                  <c:v>5.3139366398878183E-13</c:v>
                </c:pt>
                <c:pt idx="198">
                  <c:v>5.3139366398878183E-13</c:v>
                </c:pt>
                <c:pt idx="199">
                  <c:v>5.3139366398878183E-13</c:v>
                </c:pt>
                <c:pt idx="200">
                  <c:v>5.3139366398878183E-13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0.28999999999999998</v>
      </c>
      <c r="D9" s="36">
        <f t="shared" ref="D9:D18" si="0">C9*$C$5</f>
        <v>1.0033999999999998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0.16</v>
      </c>
      <c r="D10" s="36">
        <f t="shared" si="0"/>
        <v>0.55359999999999998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0.41</v>
      </c>
      <c r="D11" s="36">
        <f t="shared" si="0"/>
        <v>1.4185999999999999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81</v>
      </c>
      <c r="C12" s="35">
        <v>0.13</v>
      </c>
      <c r="D12" s="36">
        <f t="shared" si="0"/>
        <v>0.44980000000000003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31</v>
      </c>
      <c r="C13" s="35">
        <v>0.01</v>
      </c>
      <c r="D13" s="36">
        <f t="shared" si="0"/>
        <v>3.4599999999999999E-2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3.4600000000000004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154</v>
      </c>
      <c r="C36" s="63">
        <v>1</v>
      </c>
      <c r="D36" s="63">
        <v>0</v>
      </c>
      <c r="E36" s="54">
        <v>0.3</v>
      </c>
      <c r="F36" s="54">
        <v>0.4</v>
      </c>
      <c r="G36" s="54">
        <v>0.3</v>
      </c>
      <c r="H36" s="54">
        <v>0</v>
      </c>
      <c r="I36" s="52">
        <f>IFERROR(B36/A36,"")</f>
        <v>8.1052631578947363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195</v>
      </c>
      <c r="C37" s="63">
        <v>2</v>
      </c>
      <c r="D37" s="63">
        <v>65</v>
      </c>
      <c r="E37" s="54">
        <v>0.4</v>
      </c>
      <c r="F37" s="54">
        <v>0.3</v>
      </c>
      <c r="G37" s="54">
        <v>0.3</v>
      </c>
      <c r="H37" s="54">
        <v>0</v>
      </c>
      <c r="I37" s="56">
        <f t="shared" ref="I37:I55" si="1">IF(A37&lt;&gt;0,(B37-(B36-D36))/(A37-A36),"")</f>
        <v>20.5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v>282</v>
      </c>
      <c r="C38" s="63">
        <v>3</v>
      </c>
      <c r="D38" s="63">
        <v>68</v>
      </c>
      <c r="E38" s="54">
        <v>0.5</v>
      </c>
      <c r="F38" s="54">
        <v>0.3</v>
      </c>
      <c r="G38" s="54">
        <v>0.2</v>
      </c>
      <c r="H38" s="54">
        <v>0</v>
      </c>
      <c r="I38" s="56">
        <f t="shared" si="1"/>
        <v>21.714285714285715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377</v>
      </c>
      <c r="C39" s="63">
        <v>4</v>
      </c>
      <c r="D39" s="63">
        <v>87</v>
      </c>
      <c r="E39" s="54"/>
      <c r="F39" s="54"/>
      <c r="G39" s="54"/>
      <c r="H39" s="54"/>
      <c r="I39" s="52">
        <f t="shared" si="1"/>
        <v>23.285714285714285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63">
        <v>450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22.857142857142858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49</v>
      </c>
      <c r="B41" s="63">
        <v>504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22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533</v>
      </c>
      <c r="C42" s="63">
        <v>7</v>
      </c>
      <c r="D42" s="63">
        <v>95</v>
      </c>
      <c r="E42" s="54"/>
      <c r="F42" s="54"/>
      <c r="G42" s="54"/>
      <c r="H42" s="54"/>
      <c r="I42" s="56">
        <f t="shared" si="1"/>
        <v>20.285714285714285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63</v>
      </c>
      <c r="B43" s="63">
        <v>569</v>
      </c>
      <c r="C43" s="63">
        <v>8</v>
      </c>
      <c r="D43" s="63">
        <v>99</v>
      </c>
      <c r="E43" s="54"/>
      <c r="F43" s="54"/>
      <c r="G43" s="54"/>
      <c r="H43" s="54"/>
      <c r="I43" s="52">
        <f t="shared" si="1"/>
        <v>18.714285714285715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69</v>
      </c>
      <c r="B44" s="63">
        <v>570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586</v>
      </c>
      <c r="C45" s="63">
        <v>10</v>
      </c>
      <c r="D45" s="63">
        <v>586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87</v>
      </c>
      <c r="C62" s="63">
        <v>1</v>
      </c>
      <c r="D62" s="63">
        <v>21</v>
      </c>
      <c r="E62" s="54"/>
      <c r="F62" s="54"/>
      <c r="G62" s="54"/>
      <c r="H62" s="54">
        <v>1</v>
      </c>
      <c r="I62" s="56">
        <f>IFERROR(B62/A62,"")</f>
        <v>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137</v>
      </c>
      <c r="C63" s="63">
        <v>2</v>
      </c>
      <c r="D63" s="63">
        <v>43</v>
      </c>
      <c r="E63" s="54"/>
      <c r="F63" s="54"/>
      <c r="G63" s="54">
        <v>1</v>
      </c>
      <c r="H63" s="54"/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163</v>
      </c>
      <c r="C64" s="63">
        <v>3</v>
      </c>
      <c r="D64" s="63">
        <v>44</v>
      </c>
      <c r="E64" s="54"/>
      <c r="F64" s="54"/>
      <c r="G64" s="54">
        <v>1</v>
      </c>
      <c r="H64" s="54"/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185</v>
      </c>
      <c r="C65" s="63">
        <v>4</v>
      </c>
      <c r="D65" s="63">
        <v>44</v>
      </c>
      <c r="E65" s="54">
        <v>0.2</v>
      </c>
      <c r="F65" s="54"/>
      <c r="G65" s="54">
        <v>0.8</v>
      </c>
      <c r="H65" s="54"/>
      <c r="I65" s="52">
        <f>IF(A65&lt;&gt;0,(B65-(B64-D64))/(A65-A64),"")</f>
        <v>13.2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201</v>
      </c>
      <c r="C66" s="63">
        <v>5</v>
      </c>
      <c r="D66" s="63">
        <v>42</v>
      </c>
      <c r="E66" s="54"/>
      <c r="F66" s="54"/>
      <c r="G66" s="54"/>
      <c r="H66" s="54"/>
      <c r="I66" s="52">
        <f t="shared" ref="I66:I81" si="2">IF(A66&lt;&gt;0,(B66-(B65-D65))/(A66-A65),"")</f>
        <v>12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214</v>
      </c>
      <c r="C67" s="63">
        <v>6</v>
      </c>
      <c r="D67" s="63">
        <v>39</v>
      </c>
      <c r="E67" s="54"/>
      <c r="F67" s="54"/>
      <c r="G67" s="54"/>
      <c r="H67" s="54"/>
      <c r="I67" s="52">
        <f t="shared" si="2"/>
        <v>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224</v>
      </c>
      <c r="C68" s="63">
        <v>7</v>
      </c>
      <c r="D68" s="63">
        <v>36</v>
      </c>
      <c r="E68" s="54"/>
      <c r="F68" s="54"/>
      <c r="G68" s="54"/>
      <c r="H68" s="54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231</v>
      </c>
      <c r="C69" s="53">
        <v>8</v>
      </c>
      <c r="D69" s="53">
        <v>33</v>
      </c>
      <c r="E69" s="54"/>
      <c r="F69" s="54"/>
      <c r="G69" s="54"/>
      <c r="H69" s="54"/>
      <c r="I69" s="52">
        <f t="shared" si="2"/>
        <v>8.6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237</v>
      </c>
      <c r="C70" s="53">
        <v>9</v>
      </c>
      <c r="D70" s="53">
        <v>29</v>
      </c>
      <c r="E70" s="54"/>
      <c r="F70" s="54"/>
      <c r="G70" s="54"/>
      <c r="H70" s="54"/>
      <c r="I70" s="52">
        <f t="shared" si="2"/>
        <v>7.8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242</v>
      </c>
      <c r="C71" s="53">
        <v>10</v>
      </c>
      <c r="D71" s="53">
        <v>26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246</v>
      </c>
      <c r="C72" s="53">
        <v>11</v>
      </c>
      <c r="D72" s="53">
        <v>23</v>
      </c>
      <c r="E72" s="54"/>
      <c r="F72" s="54"/>
      <c r="G72" s="54"/>
      <c r="H72" s="54"/>
      <c r="I72" s="52">
        <f t="shared" si="2"/>
        <v>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249</v>
      </c>
      <c r="C73" s="53">
        <v>12</v>
      </c>
      <c r="D73" s="53">
        <v>249</v>
      </c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11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v>65</v>
      </c>
      <c r="C89" s="63">
        <v>2</v>
      </c>
      <c r="D89" s="63">
        <v>32</v>
      </c>
      <c r="E89" s="54"/>
      <c r="F89" s="54"/>
      <c r="G89" s="54"/>
      <c r="H89" s="93">
        <v>1</v>
      </c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v>101</v>
      </c>
      <c r="C90" s="63">
        <v>3</v>
      </c>
      <c r="D90" s="63">
        <v>35</v>
      </c>
      <c r="E90" s="93"/>
      <c r="F90" s="93"/>
      <c r="G90" s="93"/>
      <c r="H90" s="93">
        <v>1</v>
      </c>
      <c r="I90" s="56">
        <f t="shared" si="3"/>
        <v>13.6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140</v>
      </c>
      <c r="C91" s="63">
        <v>4</v>
      </c>
      <c r="D91" s="63">
        <v>35</v>
      </c>
      <c r="E91" s="93"/>
      <c r="F91" s="93"/>
      <c r="G91" s="93">
        <v>0.5</v>
      </c>
      <c r="H91" s="93">
        <v>0.5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v>176</v>
      </c>
      <c r="C92" s="63">
        <v>5</v>
      </c>
      <c r="D92" s="63">
        <v>35</v>
      </c>
      <c r="E92" s="93"/>
      <c r="F92" s="93"/>
      <c r="G92" s="93">
        <v>0.5</v>
      </c>
      <c r="H92" s="93">
        <v>0.5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v>206</v>
      </c>
      <c r="C93" s="63">
        <v>6</v>
      </c>
      <c r="D93" s="63">
        <v>35</v>
      </c>
      <c r="E93" s="93"/>
      <c r="F93" s="93"/>
      <c r="G93" s="93"/>
      <c r="H93" s="93"/>
      <c r="I93" s="56">
        <f t="shared" si="3"/>
        <v>13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v>228</v>
      </c>
      <c r="C94" s="63">
        <v>7</v>
      </c>
      <c r="D94" s="63">
        <v>35</v>
      </c>
      <c r="E94" s="93"/>
      <c r="F94" s="93"/>
      <c r="G94" s="93"/>
      <c r="H94" s="93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v>242</v>
      </c>
      <c r="C95" s="63">
        <v>8</v>
      </c>
      <c r="D95" s="63">
        <v>24</v>
      </c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v>260</v>
      </c>
      <c r="C96" s="63">
        <v>9</v>
      </c>
      <c r="D96" s="63">
        <v>19</v>
      </c>
      <c r="E96" s="93"/>
      <c r="F96" s="93"/>
      <c r="G96" s="93"/>
      <c r="H96" s="93"/>
      <c r="I96" s="56">
        <f t="shared" si="3"/>
        <v>8.4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v>278</v>
      </c>
      <c r="C97" s="63">
        <v>10</v>
      </c>
      <c r="D97" s="63">
        <v>16</v>
      </c>
      <c r="E97" s="93"/>
      <c r="F97" s="93"/>
      <c r="G97" s="93"/>
      <c r="H97" s="93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v>294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v>306</v>
      </c>
      <c r="C99" s="63">
        <v>12</v>
      </c>
      <c r="D99" s="63">
        <v>13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v>315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v>323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329</v>
      </c>
      <c r="C102" s="63">
        <v>15</v>
      </c>
      <c r="D102" s="53">
        <v>11</v>
      </c>
      <c r="E102" s="57"/>
      <c r="F102" s="57"/>
      <c r="G102" s="57"/>
      <c r="H102" s="57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Mélèze hybride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34</v>
      </c>
      <c r="C114" s="53">
        <v>1</v>
      </c>
      <c r="D114" s="63">
        <v>5</v>
      </c>
      <c r="E114" s="54"/>
      <c r="F114" s="54"/>
      <c r="G114" s="54"/>
      <c r="H114" s="54">
        <v>1</v>
      </c>
      <c r="I114" s="56">
        <f>IFERROR(B114/A114,"")</f>
        <v>3.4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85</v>
      </c>
      <c r="C115" s="53">
        <v>2</v>
      </c>
      <c r="D115" s="63">
        <v>21</v>
      </c>
      <c r="E115" s="54"/>
      <c r="F115" s="54">
        <v>1</v>
      </c>
      <c r="G115" s="54"/>
      <c r="H115" s="54"/>
      <c r="I115" s="56">
        <f t="shared" ref="I115:I133" si="4">IF(A115&lt;&gt;0,(B115-(B114-D114))/(A115-A114),"")</f>
        <v>11.2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122</v>
      </c>
      <c r="C116" s="53">
        <v>3</v>
      </c>
      <c r="D116" s="63">
        <v>24</v>
      </c>
      <c r="E116" s="54">
        <v>0.2</v>
      </c>
      <c r="F116" s="54">
        <v>0.8</v>
      </c>
      <c r="G116" s="54"/>
      <c r="H116" s="54"/>
      <c r="I116" s="56">
        <f t="shared" si="4"/>
        <v>11.6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151</v>
      </c>
      <c r="C117" s="53">
        <v>4</v>
      </c>
      <c r="D117" s="63">
        <v>22</v>
      </c>
      <c r="E117" s="54">
        <v>0.3</v>
      </c>
      <c r="F117" s="54">
        <v>0.7</v>
      </c>
      <c r="G117" s="54"/>
      <c r="H117" s="54"/>
      <c r="I117" s="56">
        <f t="shared" si="4"/>
        <v>10.6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171</v>
      </c>
      <c r="C118" s="53">
        <v>5</v>
      </c>
      <c r="D118" s="63">
        <v>19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185</v>
      </c>
      <c r="C119" s="53">
        <v>6</v>
      </c>
      <c r="D119" s="63">
        <v>15</v>
      </c>
      <c r="E119" s="54"/>
      <c r="F119" s="54"/>
      <c r="G119" s="54"/>
      <c r="H119" s="54"/>
      <c r="I119" s="56">
        <f t="shared" si="4"/>
        <v>6.6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194</v>
      </c>
      <c r="C120" s="63">
        <v>7</v>
      </c>
      <c r="D120" s="63">
        <v>11</v>
      </c>
      <c r="E120" s="93"/>
      <c r="F120" s="93"/>
      <c r="G120" s="93"/>
      <c r="H120" s="93"/>
      <c r="I120" s="56">
        <f t="shared" si="4"/>
        <v>4.8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200</v>
      </c>
      <c r="C121" s="63">
        <v>8</v>
      </c>
      <c r="D121" s="63">
        <v>8</v>
      </c>
      <c r="E121" s="93"/>
      <c r="F121" s="93"/>
      <c r="G121" s="93"/>
      <c r="H121" s="93"/>
      <c r="I121" s="56">
        <f t="shared" si="4"/>
        <v>3.4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205</v>
      </c>
      <c r="C122" s="63">
        <v>9</v>
      </c>
      <c r="D122" s="63">
        <v>205</v>
      </c>
      <c r="E122" s="93"/>
      <c r="F122" s="93"/>
      <c r="G122" s="93"/>
      <c r="H122" s="93"/>
      <c r="I122" s="56">
        <f t="shared" si="4"/>
        <v>2.6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Orme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Douglas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rouge d'Amérique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Châtaignier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Mélèze hybride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Orme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388.88381485322674</v>
      </c>
      <c r="T3" s="62">
        <f>IF('Données projet'!E9&gt;30,$R$33-$H$33,LOOKUP('Données projet'!$E$9,$A$3:$A$203,R3:R203)-LOOKUP('Données projet'!$E$9,$A$3:$A$203,$H$3:$H$203))</f>
        <v>355.82695155276218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321.62968871874483</v>
      </c>
      <c r="AO3" s="62">
        <f>IF('Données projet'!E10&gt;30,$AM$33-$H$33,LOOKUP('Données projet'!$E$10,$A$3:$A$203,AM3:AM203)-LOOKUP('Données projet'!$E$10,$A$3:$A$203,$H$3:$H$203))</f>
        <v>389.91636841473559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327.81662150328646</v>
      </c>
      <c r="BJ3" s="62">
        <f>IF('Données projet'!E11&gt;30,$BH$33-$H$33,LOOKUP('Données projet'!$E$11,$A$3:$A$203,BH3:BH203)-LOOKUP('Données projet'!$E$11,$A$3:$A$203,$H$3:$H$203))</f>
        <v>320.24200483294322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170.27677128684815</v>
      </c>
      <c r="CE3" s="62">
        <f>IF('Données projet'!E12&gt;30,$CC$33-$H$33,LOOKUP('Données projet'!$E$12,$A$3:$A$203,CC3:CC203)-LOOKUP('Données projet'!$E$12,$A$3:$A$203,$H$3:$H$203))</f>
        <v>243.47439640666289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0</v>
      </c>
      <c r="CZ3" s="62">
        <f>IF('Données projet'!E13&gt;30,$CX$33-$H$33,LOOKUP('Données projet'!$E$13,$A$3:$A$203,CX3:CX203)-LOOKUP('Données projet'!$E$13,$A$3:$A$203,$H$3:$H$203))</f>
        <v>0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8.1052631578947363</v>
      </c>
      <c r="N4" s="14">
        <f>IF('Données projet'!$A$36&gt;35,N3+M4-V3,IF(A4&lt;'Données projet'!$A$36,$K$205^A4,IF(A4='Données projet'!$A$36,'Données projet'!$B$36,N3+M4-V3)))</f>
        <v>1.3035649343705267</v>
      </c>
      <c r="O4" s="14">
        <f>N4*VLOOKUP('Données projet'!$B$9,Paramètres!$A$1:$I$89,3,0)*VLOOKUP('Données projet'!$B$9,Paramètres!$A$1:$I$89,5,0)</f>
        <v>0.72869279831312439</v>
      </c>
      <c r="P4" s="14">
        <f>EXP(-1.0587+0.8836*LN(O4)+0.284)</f>
        <v>0.34841461577858068</v>
      </c>
      <c r="Q4" s="22">
        <f t="shared" ref="Q4:Q34" si="2">(O4+P4)*0.475*44/12</f>
        <v>1.8759620795430532</v>
      </c>
      <c r="R4" s="62">
        <f t="shared" si="0"/>
        <v>259.76485096843192</v>
      </c>
      <c r="S4" s="62">
        <f ca="1">AVERAGE(OFFSET($R$3,0,0,'Données projet'!$E$9+1,1))-AVERAGE(OFFSET($H$3,0,0,'Données projet'!$E$9+1,1))</f>
        <v>388.88381485322674</v>
      </c>
      <c r="T4" s="62">
        <f>$T$3</f>
        <v>355.82695155276218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</v>
      </c>
      <c r="AI4" s="14">
        <f>IF('Données projet'!$A$62&gt;35,AI3+AH4-AQ3,IF(A4&lt;'Données projet'!$A$62,$AF$205^A4,IF(A4='Données projet'!$A$62,'Données projet'!$B$62,AI3+AH4-AQ3)))</f>
        <v>1.3467943429205997</v>
      </c>
      <c r="AJ4" s="14">
        <f>AI4*VLOOKUP('Données projet'!$B$10,Paramètres!$A$1:$I$89,3,0)*VLOOKUP('Données projet'!$B$10,Paramètres!$A$1:$I$89,5,0)</f>
        <v>1.1765595379754361</v>
      </c>
      <c r="AK4" s="14">
        <f>EXP(-1.0587+0.8836*LN(AJ4)+0.284)</f>
        <v>0.53204273185561757</v>
      </c>
      <c r="AL4" s="22">
        <f t="shared" ref="AL4:AL67" si="4">(AJ4+AK4)*0.475*44/12</f>
        <v>2.9758156199557515</v>
      </c>
      <c r="AM4" s="62">
        <f t="shared" ref="AM4:AM67" si="5">AL4+(AD4+AE4)*44/12</f>
        <v>260.86470450884462</v>
      </c>
      <c r="AN4" s="62">
        <f ca="1">AVERAGE(OFFSET($AM$3,0,0,'Données projet'!$E$10+1,1))-AVERAGE(OFFSET($H$3,0,0,'Données projet'!$E$10+1,1))</f>
        <v>321.62968871874483</v>
      </c>
      <c r="AO4" s="62">
        <f>$AO$3</f>
        <v>389.91636841473559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0.93188372027207511</v>
      </c>
      <c r="BF4" s="14">
        <f>EXP(-1.0587+0.8836*LN(BE4)+0.284)</f>
        <v>0.43299221190803017</v>
      </c>
      <c r="BG4" s="22">
        <f t="shared" ref="BG4:BG67" si="7">(BE4+BF4)*0.475*44/12</f>
        <v>2.3771589152136832</v>
      </c>
      <c r="BH4" s="62">
        <f t="shared" ref="BH4:BH67" si="8">BG4+(AY4+AZ4)*44/12</f>
        <v>260.26604780410253</v>
      </c>
      <c r="BI4" s="62">
        <f ca="1">AVERAGE(OFFSET($BH$3,0,0,'Données projet'!$E$11+1,1))-AVERAGE(OFFSET($H$3,0,0,'Données projet'!$E$11+1,1))</f>
        <v>327.81662150328646</v>
      </c>
      <c r="BJ4" s="62">
        <f>$BJ$3</f>
        <v>320.24200483294322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</v>
      </c>
      <c r="BY4" s="13">
        <f>IF('Données projet'!$A$114&gt;35,BY3+BX4-CG3,IF(A4&lt;'Données projet'!$A$114,$BV$205^A4,IF(A4='Données projet'!$A$114,'Données projet'!$B$114,BY3+BX4-CG3)))</f>
        <v>1.4228132198218728</v>
      </c>
      <c r="BZ4" s="14">
        <f>BY4*VLOOKUP('Données projet'!$B$12,Paramètres!$A$1:$I$89,3,0)*VLOOKUP('Données projet'!$B$12,Paramètres!$A$1:$I$89,5,0)</f>
        <v>0.77685601802274251</v>
      </c>
      <c r="CA4" s="14">
        <f>EXP(-1.0587+0.8836*LN(BZ4)+0.284)</f>
        <v>0.36868626697594109</v>
      </c>
      <c r="CB4" s="22">
        <f t="shared" ref="CB4:CB67" si="10">(BZ4+CA4)*0.475*44/12</f>
        <v>1.9951528130393739</v>
      </c>
      <c r="CC4" s="62">
        <f t="shared" ref="CC4:CC67" si="11">CB4+(BT4+BU4)*44/12</f>
        <v>259.88404170192825</v>
      </c>
      <c r="CD4" s="62">
        <f ca="1">AVERAGE(OFFSET($CC$3,0,0,'Données projet'!$E$12+1,1))-AVERAGE(OFFSET($H$3,0,0,'Données projet'!$E$12+1,1))</f>
        <v>170.27677128684815</v>
      </c>
      <c r="CE4" s="62">
        <f>$CE$3</f>
        <v>243.47439640666289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>
        <f>CT4*VLOOKUP('Données projet'!$B$13,Paramètres!$A$1:$I$89,3,0)*VLOOKUP('Données projet'!$B$13,Paramètres!$A$1:$I$89,5,0)</f>
        <v>0</v>
      </c>
      <c r="CV4" s="14" t="e">
        <f>EXP(-1.0587+0.8836*LN(CU4)+0.284)</f>
        <v>#NUM!</v>
      </c>
      <c r="CW4" s="22" t="e">
        <f t="shared" ref="CW4:CW67" si="13">(CU4+CV4)*0.475*44/12</f>
        <v>#NUM!</v>
      </c>
      <c r="CX4" s="62" t="e">
        <f t="shared" ref="CX4:CX67" si="14">CW4+(CO4+CP4)*44/12</f>
        <v>#NUM!</v>
      </c>
      <c r="CY4" s="62">
        <f ca="1">AVERAGE(OFFSET($CX$3,0,0,'Données projet'!$E$13+1,1))-AVERAGE(OFFSET($H$3,0,0,'Données projet'!$E$13+1,1))</f>
        <v>0</v>
      </c>
      <c r="CZ4" s="62">
        <f>$CZ$3</f>
        <v>0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8.1052631578947363</v>
      </c>
      <c r="N5" s="14">
        <f>IF('Données projet'!$A$36&gt;35,N4+M5-V4,IF(A5&lt;'Données projet'!$A$36,$K$205^A5,IF(A5='Données projet'!$A$36,'Données projet'!$B$36,N4+M5-V4)))</f>
        <v>1.6992815381204356</v>
      </c>
      <c r="O5" s="14">
        <f>N5*VLOOKUP('Données projet'!$B$9,Paramètres!$A$1:$I$89,3,0)*VLOOKUP('Données projet'!$B$9,Paramètres!$A$1:$I$89,5,0)</f>
        <v>0.94989837980932357</v>
      </c>
      <c r="P5" s="14">
        <f t="shared" ref="P5:P68" si="33">EXP(-1.0587+0.8836*LN(O5)+0.284)</f>
        <v>0.44038000483312834</v>
      </c>
      <c r="Q5" s="22">
        <f t="shared" si="2"/>
        <v>2.4214015199189372</v>
      </c>
      <c r="R5" s="62">
        <f t="shared" si="0"/>
        <v>261.5325126310301</v>
      </c>
      <c r="S5" s="62">
        <f ca="1">AVERAGE(OFFSET($R$3,0,0,'Données projet'!$E$9+1,1))-AVERAGE(OFFSET($H$3,0,0,'Données projet'!$E$9+1,1))</f>
        <v>388.88381485322674</v>
      </c>
      <c r="T5" s="62">
        <f t="shared" ref="T5:T68" si="34">$T$3</f>
        <v>355.82695155276218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</v>
      </c>
      <c r="AI5" s="14">
        <f>IF('Données projet'!$A$62&gt;35,AI4+AH5-AQ4,IF(A5&lt;'Données projet'!$A$62,$AF$205^A5,IF(A5='Données projet'!$A$62,'Données projet'!$B$62,AI4+AH5-AQ4)))</f>
        <v>1.81385500212293</v>
      </c>
      <c r="AJ5" s="14">
        <f>AI5*VLOOKUP('Données projet'!$B$10,Paramètres!$A$1:$I$89,3,0)*VLOOKUP('Données projet'!$B$10,Paramètres!$A$1:$I$89,5,0)</f>
        <v>1.5845837298545919</v>
      </c>
      <c r="AK5" s="14">
        <f t="shared" ref="AK5:AK68" si="35">EXP(-1.0587+0.8836*LN(AJ5)+0.284)</f>
        <v>0.69214506839939893</v>
      </c>
      <c r="AL5" s="22">
        <f t="shared" si="4"/>
        <v>3.9653026569590337</v>
      </c>
      <c r="AM5" s="62">
        <f t="shared" si="5"/>
        <v>263.07641376807015</v>
      </c>
      <c r="AN5" s="62">
        <f ca="1">AVERAGE(OFFSET($AM$3,0,0,'Données projet'!$E$10+1,1))-AVERAGE(OFFSET($H$3,0,0,'Données projet'!$E$10+1,1))</f>
        <v>321.62968871874483</v>
      </c>
      <c r="AO5" s="62">
        <f t="shared" ref="AO5:AO68" si="36">$AO$3</f>
        <v>389.91636841473559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1.1844070759794372</v>
      </c>
      <c r="BF5" s="14">
        <f t="shared" ref="BF5:BF68" si="37">EXP(-1.0587+0.8836*LN(BE5)+0.284)</f>
        <v>0.53517712549257934</v>
      </c>
      <c r="BG5" s="22">
        <f t="shared" si="7"/>
        <v>2.9949424842304286</v>
      </c>
      <c r="BH5" s="62">
        <f t="shared" si="8"/>
        <v>262.10605359534156</v>
      </c>
      <c r="BI5" s="62">
        <f ca="1">AVERAGE(OFFSET($BH$3,0,0,'Données projet'!$E$11+1,1))-AVERAGE(OFFSET($H$3,0,0,'Données projet'!$E$11+1,1))</f>
        <v>327.81662150328646</v>
      </c>
      <c r="BJ5" s="62">
        <f t="shared" ref="BJ5:BJ68" si="38">$BJ$3</f>
        <v>320.24200483294322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</v>
      </c>
      <c r="BY5" s="13">
        <f>IF('Données projet'!$A$114&gt;35,BY4+BX5-CG4,IF(A5&lt;'Données projet'!$A$114,$BV$205^A5,IF(A5='Données projet'!$A$114,'Données projet'!$B$114,BY4+BX5-CG4)))</f>
        <v>2.0243974584998852</v>
      </c>
      <c r="BZ5" s="14">
        <f>BY5*VLOOKUP('Données projet'!$B$12,Paramètres!$A$1:$I$89,3,0)*VLOOKUP('Données projet'!$B$12,Paramètres!$A$1:$I$89,5,0)</f>
        <v>1.1053210123409374</v>
      </c>
      <c r="CA5" s="14">
        <f t="shared" ref="CA5:CA68" si="39">EXP(-1.0587+0.8836*LN(BZ5)+0.284)</f>
        <v>0.50347561165148746</v>
      </c>
      <c r="CB5" s="22">
        <f t="shared" si="10"/>
        <v>2.801987453453473</v>
      </c>
      <c r="CC5" s="62">
        <f t="shared" si="11"/>
        <v>261.91309856456462</v>
      </c>
      <c r="CD5" s="62">
        <f ca="1">AVERAGE(OFFSET($CC$3,0,0,'Données projet'!$E$12+1,1))-AVERAGE(OFFSET($H$3,0,0,'Données projet'!$E$12+1,1))</f>
        <v>170.27677128684815</v>
      </c>
      <c r="CE5" s="62">
        <f t="shared" ref="CE5:CE68" si="40">$CE$3</f>
        <v>243.47439640666289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>
        <f>CT5*VLOOKUP('Données projet'!$B$13,Paramètres!$A$1:$I$89,3,0)*VLOOKUP('Données projet'!$B$13,Paramètres!$A$1:$I$89,5,0)</f>
        <v>0</v>
      </c>
      <c r="CV5" s="14" t="e">
        <f t="shared" ref="CV5:CV68" si="41">EXP(-1.0587+0.8836*LN(CU5)+0.284)</f>
        <v>#NUM!</v>
      </c>
      <c r="CW5" s="22" t="e">
        <f t="shared" si="13"/>
        <v>#NUM!</v>
      </c>
      <c r="CX5" s="62" t="e">
        <f t="shared" si="14"/>
        <v>#NUM!</v>
      </c>
      <c r="CY5" s="62">
        <f ca="1">AVERAGE(OFFSET($CX$3,0,0,'Données projet'!$E$13+1,1))-AVERAGE(OFFSET($H$3,0,0,'Données projet'!$E$13+1,1))</f>
        <v>0</v>
      </c>
      <c r="CZ5" s="62">
        <f t="shared" ref="CZ5:CZ68" si="42">$CZ$3</f>
        <v>0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8.1052631578947363</v>
      </c>
      <c r="N6" s="14">
        <f>IF('Données projet'!$A$36&gt;35,N5+M6-V5,IF(A6&lt;'Données projet'!$A$36,$K$205^A6,IF(A6='Données projet'!$A$36,'Données projet'!$B$36,N5+M6-V5)))</f>
        <v>2.2151238267170132</v>
      </c>
      <c r="O6" s="14">
        <f>N6*VLOOKUP('Données projet'!$B$9,Paramètres!$A$1:$I$89,3,0)*VLOOKUP('Données projet'!$B$9,Paramètres!$A$1:$I$89,5,0)</f>
        <v>1.2382542191348105</v>
      </c>
      <c r="P6" s="14">
        <f t="shared" si="33"/>
        <v>0.55662001498832792</v>
      </c>
      <c r="Q6" s="22">
        <f t="shared" si="2"/>
        <v>3.1260726244311328</v>
      </c>
      <c r="R6" s="62">
        <f t="shared" si="0"/>
        <v>263.45940595776443</v>
      </c>
      <c r="S6" s="62">
        <f ca="1">AVERAGE(OFFSET($R$3,0,0,'Données projet'!$E$9+1,1))-AVERAGE(OFFSET($H$3,0,0,'Données projet'!$E$9+1,1))</f>
        <v>388.88381485322674</v>
      </c>
      <c r="T6" s="62">
        <f t="shared" si="34"/>
        <v>355.82695155276218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</v>
      </c>
      <c r="AI6" s="14">
        <f>IF('Données projet'!$A$62&gt;35,AI5+AH6-AQ5,IF(A6&lt;'Données projet'!$A$62,$AF$205^A6,IF(A6='Données projet'!$A$62,'Données projet'!$B$62,AI5+AH6-AQ5)))</f>
        <v>2.4428896557373947</v>
      </c>
      <c r="AJ6" s="14">
        <f>AI6*VLOOKUP('Données projet'!$B$10,Paramètres!$A$1:$I$89,3,0)*VLOOKUP('Données projet'!$B$10,Paramètres!$A$1:$I$89,5,0)</f>
        <v>2.1341084032521884</v>
      </c>
      <c r="AK6" s="14">
        <f t="shared" si="35"/>
        <v>0.90042541139273424</v>
      </c>
      <c r="AL6" s="22">
        <f t="shared" si="4"/>
        <v>5.2851463938399075</v>
      </c>
      <c r="AM6" s="62">
        <f t="shared" si="5"/>
        <v>265.61847972717322</v>
      </c>
      <c r="AN6" s="62">
        <f ca="1">AVERAGE(OFFSET($AM$3,0,0,'Données projet'!$E$10+1,1))-AVERAGE(OFFSET($H$3,0,0,'Données projet'!$E$10+1,1))</f>
        <v>321.62968871874483</v>
      </c>
      <c r="AO6" s="62">
        <f t="shared" si="36"/>
        <v>389.91636841473559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1.5053596184946649</v>
      </c>
      <c r="BF6" s="14">
        <f t="shared" si="37"/>
        <v>0.66147738405820555</v>
      </c>
      <c r="BG6" s="22">
        <f t="shared" si="7"/>
        <v>3.7739077794462492</v>
      </c>
      <c r="BH6" s="62">
        <f t="shared" si="8"/>
        <v>264.10724111277955</v>
      </c>
      <c r="BI6" s="62">
        <f ca="1">AVERAGE(OFFSET($BH$3,0,0,'Données projet'!$E$11+1,1))-AVERAGE(OFFSET($H$3,0,0,'Données projet'!$E$11+1,1))</f>
        <v>327.81662150328646</v>
      </c>
      <c r="BJ6" s="62">
        <f t="shared" si="38"/>
        <v>320.24200483294322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</v>
      </c>
      <c r="BY6" s="13">
        <f>IF('Données projet'!$A$114&gt;35,BY5+BX6-CG5,IF(A6&lt;'Données projet'!$A$114,$BV$205^A6,IF(A6='Données projet'!$A$114,'Données projet'!$B$114,BY5+BX6-CG5)))</f>
        <v>2.8803394661274377</v>
      </c>
      <c r="BZ6" s="14">
        <f>BY6*VLOOKUP('Données projet'!$B$12,Paramètres!$A$1:$I$89,3,0)*VLOOKUP('Données projet'!$B$12,Paramètres!$A$1:$I$89,5,0)</f>
        <v>1.572665348505581</v>
      </c>
      <c r="CA6" s="14">
        <f t="shared" si="39"/>
        <v>0.68754307993896846</v>
      </c>
      <c r="CB6" s="22">
        <f t="shared" si="10"/>
        <v>3.9365296795409237</v>
      </c>
      <c r="CC6" s="62">
        <f t="shared" si="11"/>
        <v>264.26986301287423</v>
      </c>
      <c r="CD6" s="62">
        <f ca="1">AVERAGE(OFFSET($CC$3,0,0,'Données projet'!$E$12+1,1))-AVERAGE(OFFSET($H$3,0,0,'Données projet'!$E$12+1,1))</f>
        <v>170.27677128684815</v>
      </c>
      <c r="CE6" s="62">
        <f t="shared" si="40"/>
        <v>243.47439640666289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>
        <f>CT6*VLOOKUP('Données projet'!$B$13,Paramètres!$A$1:$I$89,3,0)*VLOOKUP('Données projet'!$B$13,Paramètres!$A$1:$I$89,5,0)</f>
        <v>0</v>
      </c>
      <c r="CV6" s="14" t="e">
        <f t="shared" si="41"/>
        <v>#NUM!</v>
      </c>
      <c r="CW6" s="22" t="e">
        <f t="shared" si="13"/>
        <v>#NUM!</v>
      </c>
      <c r="CX6" s="62" t="e">
        <f t="shared" si="14"/>
        <v>#NUM!</v>
      </c>
      <c r="CY6" s="62">
        <f ca="1">AVERAGE(OFFSET($CX$3,0,0,'Données projet'!$E$13+1,1))-AVERAGE(OFFSET($H$3,0,0,'Données projet'!$E$13+1,1))</f>
        <v>0</v>
      </c>
      <c r="CZ6" s="62">
        <f t="shared" si="42"/>
        <v>0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8.1052631578947363</v>
      </c>
      <c r="N7" s="14">
        <f>IF('Données projet'!$A$36&gt;35,N6+M7-V6,IF(A7&lt;'Données projet'!$A$36,$K$205^A7,IF(A7='Données projet'!$A$36,'Données projet'!$B$36,N6+M7-V6)))</f>
        <v>2.8875577457969532</v>
      </c>
      <c r="O7" s="14">
        <f>N7*VLOOKUP('Données projet'!$B$9,Paramètres!$A$1:$I$89,3,0)*VLOOKUP('Données projet'!$B$9,Paramètres!$A$1:$I$89,5,0)</f>
        <v>1.6141447799004971</v>
      </c>
      <c r="P7" s="14">
        <f t="shared" si="33"/>
        <v>0.70354202662540888</v>
      </c>
      <c r="Q7" s="22">
        <f t="shared" si="2"/>
        <v>4.0366378546992854</v>
      </c>
      <c r="R7" s="62">
        <f t="shared" si="0"/>
        <v>265.59219341025482</v>
      </c>
      <c r="S7" s="62">
        <f ca="1">AVERAGE(OFFSET($R$3,0,0,'Données projet'!$E$9+1,1))-AVERAGE(OFFSET($H$3,0,0,'Données projet'!$E$9+1,1))</f>
        <v>388.88381485322674</v>
      </c>
      <c r="T7" s="62">
        <f t="shared" si="34"/>
        <v>355.82695155276218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</v>
      </c>
      <c r="AI7" s="14">
        <f>IF('Données projet'!$A$62&gt;35,AI6+AH7-AQ6,IF(A7&lt;'Données projet'!$A$62,$AF$205^A7,IF(A7='Données projet'!$A$62,'Données projet'!$B$62,AI6+AH7-AQ6)))</f>
        <v>3.2900699687263746</v>
      </c>
      <c r="AJ7" s="14">
        <f>AI7*VLOOKUP('Données projet'!$B$10,Paramètres!$A$1:$I$89,3,0)*VLOOKUP('Données projet'!$B$10,Paramètres!$A$1:$I$89,5,0)</f>
        <v>2.874205124679361</v>
      </c>
      <c r="AK7" s="14">
        <f t="shared" si="35"/>
        <v>1.1713814899478936</v>
      </c>
      <c r="AL7" s="22">
        <f t="shared" si="4"/>
        <v>7.0460633538091342</v>
      </c>
      <c r="AM7" s="62">
        <f t="shared" si="5"/>
        <v>268.60161890936467</v>
      </c>
      <c r="AN7" s="62">
        <f ca="1">AVERAGE(OFFSET($AM$3,0,0,'Données projet'!$E$10+1,1))-AVERAGE(OFFSET($H$3,0,0,'Données projet'!$E$10+1,1))</f>
        <v>321.62968871874483</v>
      </c>
      <c r="AO7" s="62">
        <f t="shared" si="36"/>
        <v>389.91636841473559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1.9132843993864705</v>
      </c>
      <c r="BF7" s="14">
        <f t="shared" si="37"/>
        <v>0.81758413948982178</v>
      </c>
      <c r="BG7" s="22">
        <f t="shared" si="7"/>
        <v>4.7562627052095419</v>
      </c>
      <c r="BH7" s="62">
        <f t="shared" si="8"/>
        <v>266.31181826076511</v>
      </c>
      <c r="BI7" s="62">
        <f ca="1">AVERAGE(OFFSET($BH$3,0,0,'Données projet'!$E$11+1,1))-AVERAGE(OFFSET($H$3,0,0,'Données projet'!$E$11+1,1))</f>
        <v>327.81662150328646</v>
      </c>
      <c r="BJ7" s="62">
        <f t="shared" si="38"/>
        <v>320.24200483294322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</v>
      </c>
      <c r="BY7" s="13">
        <f>IF('Données projet'!$A$114&gt;35,BY6+BX7-CG6,IF(A7&lt;'Données projet'!$A$114,$BV$205^A7,IF(A7='Données projet'!$A$114,'Données projet'!$B$114,BY6+BX7-CG6)))</f>
        <v>4.0981850699807945</v>
      </c>
      <c r="BZ7" s="14">
        <f>BY7*VLOOKUP('Données projet'!$B$12,Paramètres!$A$1:$I$89,3,0)*VLOOKUP('Données projet'!$B$12,Paramètres!$A$1:$I$89,5,0)</f>
        <v>2.2376090482095137</v>
      </c>
      <c r="CA7" s="14">
        <f t="shared" si="39"/>
        <v>0.93890443912739685</v>
      </c>
      <c r="CB7" s="22">
        <f t="shared" si="10"/>
        <v>5.5324276571117856</v>
      </c>
      <c r="CC7" s="62">
        <f t="shared" si="11"/>
        <v>267.08798321266733</v>
      </c>
      <c r="CD7" s="62">
        <f ca="1">AVERAGE(OFFSET($CC$3,0,0,'Données projet'!$E$12+1,1))-AVERAGE(OFFSET($H$3,0,0,'Données projet'!$E$12+1,1))</f>
        <v>170.27677128684815</v>
      </c>
      <c r="CE7" s="62">
        <f t="shared" si="40"/>
        <v>243.47439640666289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>
        <f>CT7*VLOOKUP('Données projet'!$B$13,Paramètres!$A$1:$I$89,3,0)*VLOOKUP('Données projet'!$B$13,Paramètres!$A$1:$I$89,5,0)</f>
        <v>0</v>
      </c>
      <c r="CV7" s="14" t="e">
        <f t="shared" si="41"/>
        <v>#NUM!</v>
      </c>
      <c r="CW7" s="22" t="e">
        <f t="shared" si="13"/>
        <v>#NUM!</v>
      </c>
      <c r="CX7" s="62" t="e">
        <f t="shared" si="14"/>
        <v>#NUM!</v>
      </c>
      <c r="CY7" s="62">
        <f ca="1">AVERAGE(OFFSET($CX$3,0,0,'Données projet'!$E$13+1,1))-AVERAGE(OFFSET($H$3,0,0,'Données projet'!$E$13+1,1))</f>
        <v>0</v>
      </c>
      <c r="CZ7" s="62">
        <f t="shared" si="42"/>
        <v>0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8.1052631578947363</v>
      </c>
      <c r="N8" s="14">
        <f>IF('Données projet'!$A$36&gt;35,N7+M8-V7,IF(A8&lt;'Données projet'!$A$36,$K$205^A8,IF(A8='Données projet'!$A$36,'Données projet'!$B$36,N7+M8-V7)))</f>
        <v>3.7641190233909114</v>
      </c>
      <c r="O8" s="14">
        <f>N8*VLOOKUP('Données projet'!$B$9,Paramètres!$A$1:$I$89,3,0)*VLOOKUP('Données projet'!$B$9,Paramètres!$A$1:$I$89,5,0)</f>
        <v>2.1041425340755198</v>
      </c>
      <c r="P8" s="14">
        <f t="shared" si="33"/>
        <v>0.88924467302629573</v>
      </c>
      <c r="Q8" s="22">
        <f t="shared" si="2"/>
        <v>5.2134827190356612</v>
      </c>
      <c r="R8" s="62">
        <f t="shared" si="0"/>
        <v>267.99126049681342</v>
      </c>
      <c r="S8" s="62">
        <f ca="1">AVERAGE(OFFSET($R$3,0,0,'Données projet'!$E$9+1,1))-AVERAGE(OFFSET($H$3,0,0,'Données projet'!$E$9+1,1))</f>
        <v>388.88381485322674</v>
      </c>
      <c r="T8" s="62">
        <f t="shared" si="34"/>
        <v>355.82695155276218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</v>
      </c>
      <c r="AI8" s="14">
        <f>IF('Données projet'!$A$62&gt;35,AI7+AH8-AQ7,IF(A8&lt;'Données projet'!$A$62,$AF$205^A8,IF(A8='Données projet'!$A$62,'Données projet'!$B$62,AI7+AH8-AQ7)))</f>
        <v>4.4310476216936356</v>
      </c>
      <c r="AJ8" s="14">
        <f>AI8*VLOOKUP('Données projet'!$B$10,Paramètres!$A$1:$I$89,3,0)*VLOOKUP('Données projet'!$B$10,Paramètres!$A$1:$I$89,5,0)</f>
        <v>3.8709632023115605</v>
      </c>
      <c r="AK8" s="14">
        <f t="shared" si="35"/>
        <v>1.5238736908481918</v>
      </c>
      <c r="AL8" s="22">
        <f t="shared" si="4"/>
        <v>9.3960075889199022</v>
      </c>
      <c r="AM8" s="62">
        <f t="shared" si="5"/>
        <v>272.1737853666977</v>
      </c>
      <c r="AN8" s="62">
        <f ca="1">AVERAGE(OFFSET($AM$3,0,0,'Données projet'!$E$10+1,1))-AVERAGE(OFFSET($H$3,0,0,'Données projet'!$E$10+1,1))</f>
        <v>321.62968871874483</v>
      </c>
      <c r="AO8" s="62">
        <f t="shared" si="36"/>
        <v>389.91636841473559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2.4317492962885807</v>
      </c>
      <c r="BF8" s="14">
        <f t="shared" si="37"/>
        <v>1.010531639108154</v>
      </c>
      <c r="BG8" s="22">
        <f t="shared" si="7"/>
        <v>5.9953059624826457</v>
      </c>
      <c r="BH8" s="62">
        <f t="shared" si="8"/>
        <v>268.7730837402604</v>
      </c>
      <c r="BI8" s="62">
        <f ca="1">AVERAGE(OFFSET($BH$3,0,0,'Données projet'!$E$11+1,1))-AVERAGE(OFFSET($H$3,0,0,'Données projet'!$E$11+1,1))</f>
        <v>327.81662150328646</v>
      </c>
      <c r="BJ8" s="62">
        <f t="shared" si="38"/>
        <v>320.24200483294322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</v>
      </c>
      <c r="BY8" s="13">
        <f>IF('Données projet'!$A$114&gt;35,BY7+BX8-CG7,IF(A8&lt;'Données projet'!$A$114,$BV$205^A8,IF(A8='Données projet'!$A$114,'Données projet'!$B$114,BY7+BX8-CG7)))</f>
        <v>5.8309518948453016</v>
      </c>
      <c r="BZ8" s="14">
        <f>BY8*VLOOKUP('Données projet'!$B$12,Paramètres!$A$1:$I$89,3,0)*VLOOKUP('Données projet'!$B$12,Paramètres!$A$1:$I$89,5,0)</f>
        <v>3.1836997345855345</v>
      </c>
      <c r="CA8" s="14">
        <f t="shared" si="39"/>
        <v>1.282161905973054</v>
      </c>
      <c r="CB8" s="22">
        <f t="shared" si="10"/>
        <v>7.7780423573062087</v>
      </c>
      <c r="CC8" s="62">
        <f t="shared" si="11"/>
        <v>270.55582013508399</v>
      </c>
      <c r="CD8" s="62">
        <f ca="1">AVERAGE(OFFSET($CC$3,0,0,'Données projet'!$E$12+1,1))-AVERAGE(OFFSET($H$3,0,0,'Données projet'!$E$12+1,1))</f>
        <v>170.27677128684815</v>
      </c>
      <c r="CE8" s="62">
        <f t="shared" si="40"/>
        <v>243.47439640666289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>
        <f>CT8*VLOOKUP('Données projet'!$B$13,Paramètres!$A$1:$I$89,3,0)*VLOOKUP('Données projet'!$B$13,Paramètres!$A$1:$I$89,5,0)</f>
        <v>0</v>
      </c>
      <c r="CV8" s="14" t="e">
        <f t="shared" si="41"/>
        <v>#NUM!</v>
      </c>
      <c r="CW8" s="22" t="e">
        <f t="shared" si="13"/>
        <v>#NUM!</v>
      </c>
      <c r="CX8" s="62" t="e">
        <f t="shared" si="14"/>
        <v>#NUM!</v>
      </c>
      <c r="CY8" s="62">
        <f ca="1">AVERAGE(OFFSET($CX$3,0,0,'Données projet'!$E$13+1,1))-AVERAGE(OFFSET($H$3,0,0,'Données projet'!$E$13+1,1))</f>
        <v>0</v>
      </c>
      <c r="CZ8" s="62">
        <f t="shared" si="42"/>
        <v>0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8.1052631578947363</v>
      </c>
      <c r="N9" s="14">
        <f>IF('Données projet'!$A$36&gt;35,N8+M9-V8,IF(A9&lt;'Données projet'!$A$36,$K$205^A9,IF(A9='Données projet'!$A$36,'Données projet'!$B$36,N8+M9-V8)))</f>
        <v>4.9067735676894246</v>
      </c>
      <c r="O9" s="14">
        <f>N9*VLOOKUP('Données projet'!$B$9,Paramètres!$A$1:$I$89,3,0)*VLOOKUP('Données projet'!$B$9,Paramètres!$A$1:$I$89,5,0)</f>
        <v>2.7428864243383888</v>
      </c>
      <c r="P9" s="14">
        <f t="shared" si="33"/>
        <v>1.1239642531357557</v>
      </c>
      <c r="Q9" s="22">
        <f t="shared" si="2"/>
        <v>6.7347649299341343</v>
      </c>
      <c r="R9" s="62">
        <f t="shared" si="0"/>
        <v>270.73476492993416</v>
      </c>
      <c r="S9" s="62">
        <f ca="1">AVERAGE(OFFSET($R$3,0,0,'Données projet'!$E$9+1,1))-AVERAGE(OFFSET($H$3,0,0,'Données projet'!$E$9+1,1))</f>
        <v>388.88381485322674</v>
      </c>
      <c r="T9" s="62">
        <f t="shared" si="34"/>
        <v>355.82695155276218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</v>
      </c>
      <c r="AI9" s="14">
        <f>IF('Données projet'!$A$62&gt;35,AI8+AH9-AQ8,IF(A9&lt;'Données projet'!$A$62,$AF$205^A9,IF(A9='Données projet'!$A$62,'Données projet'!$B$62,AI8+AH9-AQ8)))</f>
        <v>5.9677098701087665</v>
      </c>
      <c r="AJ9" s="14">
        <f>AI9*VLOOKUP('Données projet'!$B$10,Paramètres!$A$1:$I$89,3,0)*VLOOKUP('Données projet'!$B$10,Paramètres!$A$1:$I$89,5,0)</f>
        <v>5.2133913425270189</v>
      </c>
      <c r="AK9" s="14">
        <f t="shared" si="35"/>
        <v>1.9824378698032765</v>
      </c>
      <c r="AL9" s="22">
        <f t="shared" si="4"/>
        <v>12.53273587814193</v>
      </c>
      <c r="AM9" s="62">
        <f t="shared" si="5"/>
        <v>276.53273587814192</v>
      </c>
      <c r="AN9" s="62">
        <f ca="1">AVERAGE(OFFSET($AM$3,0,0,'Données projet'!$E$10+1,1))-AVERAGE(OFFSET($H$3,0,0,'Données projet'!$E$10+1,1))</f>
        <v>321.62968871874483</v>
      </c>
      <c r="AO9" s="62">
        <f t="shared" si="36"/>
        <v>389.91636841473559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3.0907086483829831</v>
      </c>
      <c r="BF9" s="14">
        <f t="shared" si="37"/>
        <v>1.2490141923201104</v>
      </c>
      <c r="BG9" s="22">
        <f t="shared" si="7"/>
        <v>7.5583506142245538</v>
      </c>
      <c r="BH9" s="62">
        <f t="shared" si="8"/>
        <v>271.55835061422454</v>
      </c>
      <c r="BI9" s="62">
        <f ca="1">AVERAGE(OFFSET($BH$3,0,0,'Données projet'!$E$11+1,1))-AVERAGE(OFFSET($H$3,0,0,'Données projet'!$E$11+1,1))</f>
        <v>327.81662150328646</v>
      </c>
      <c r="BJ9" s="62">
        <f t="shared" si="38"/>
        <v>320.24200483294322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</v>
      </c>
      <c r="BY9" s="13">
        <f>IF('Données projet'!$A$114&gt;35,BY8+BX9-CG8,IF(A9&lt;'Données projet'!$A$114,$BV$205^A9,IF(A9='Données projet'!$A$114,'Données projet'!$B$114,BY8+BX9-CG8)))</f>
        <v>8.2963554401312951</v>
      </c>
      <c r="BZ9" s="14">
        <f>BY9*VLOOKUP('Données projet'!$B$12,Paramètres!$A$1:$I$89,3,0)*VLOOKUP('Données projet'!$B$12,Paramètres!$A$1:$I$89,5,0)</f>
        <v>4.5298100703116866</v>
      </c>
      <c r="CA9" s="14">
        <f t="shared" si="39"/>
        <v>1.750912110561865</v>
      </c>
      <c r="CB9" s="22">
        <f t="shared" si="10"/>
        <v>10.938924465021435</v>
      </c>
      <c r="CC9" s="62">
        <f t="shared" si="11"/>
        <v>274.93892446502144</v>
      </c>
      <c r="CD9" s="62">
        <f ca="1">AVERAGE(OFFSET($CC$3,0,0,'Données projet'!$E$12+1,1))-AVERAGE(OFFSET($H$3,0,0,'Données projet'!$E$12+1,1))</f>
        <v>170.27677128684815</v>
      </c>
      <c r="CE9" s="62">
        <f t="shared" si="40"/>
        <v>243.47439640666289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>
        <f>CT9*VLOOKUP('Données projet'!$B$13,Paramètres!$A$1:$I$89,3,0)*VLOOKUP('Données projet'!$B$13,Paramètres!$A$1:$I$89,5,0)</f>
        <v>0</v>
      </c>
      <c r="CV9" s="14" t="e">
        <f t="shared" si="41"/>
        <v>#NUM!</v>
      </c>
      <c r="CW9" s="22" t="e">
        <f t="shared" si="13"/>
        <v>#NUM!</v>
      </c>
      <c r="CX9" s="62" t="e">
        <f t="shared" si="14"/>
        <v>#NUM!</v>
      </c>
      <c r="CY9" s="62">
        <f ca="1">AVERAGE(OFFSET($CX$3,0,0,'Données projet'!$E$13+1,1))-AVERAGE(OFFSET($H$3,0,0,'Données projet'!$E$13+1,1))</f>
        <v>0</v>
      </c>
      <c r="CZ9" s="62">
        <f t="shared" si="42"/>
        <v>0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8.1052631578947363</v>
      </c>
      <c r="N10" s="14">
        <f>IF('Données projet'!$A$36&gt;35,N9+M10-V9,IF(A10&lt;'Données projet'!$A$36,$K$205^A10,IF(A10='Données projet'!$A$36,'Données projet'!$B$36,N9+M10-V9)))</f>
        <v>6.3962979637360995</v>
      </c>
      <c r="O10" s="14">
        <f>N10*VLOOKUP('Données projet'!$B$9,Paramètres!$A$1:$I$89,3,0)*VLOOKUP('Données projet'!$B$9,Paramètres!$A$1:$I$89,5,0)</f>
        <v>3.5755305617284794</v>
      </c>
      <c r="P10" s="14">
        <f t="shared" si="33"/>
        <v>1.4206389767033889</v>
      </c>
      <c r="Q10" s="22">
        <f t="shared" si="2"/>
        <v>8.7016619461021705</v>
      </c>
      <c r="R10" s="62">
        <f t="shared" si="0"/>
        <v>273.92388416832438</v>
      </c>
      <c r="S10" s="62">
        <f ca="1">AVERAGE(OFFSET($R$3,0,0,'Données projet'!$E$9+1,1))-AVERAGE(OFFSET($H$3,0,0,'Données projet'!$E$9+1,1))</f>
        <v>388.88381485322674</v>
      </c>
      <c r="T10" s="62">
        <f t="shared" si="34"/>
        <v>355.82695155276218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</v>
      </c>
      <c r="AI10" s="14">
        <f>IF('Données projet'!$A$62&gt;35,AI9+AH10-AQ9,IF(A10&lt;'Données projet'!$A$62,$AF$205^A10,IF(A10='Données projet'!$A$62,'Données projet'!$B$62,AI9+AH10-AQ9)))</f>
        <v>8.0372778932539148</v>
      </c>
      <c r="AJ10" s="14">
        <f>AI10*VLOOKUP('Données projet'!$B$10,Paramètres!$A$1:$I$89,3,0)*VLOOKUP('Données projet'!$B$10,Paramètres!$A$1:$I$89,5,0)</f>
        <v>7.0213659675466209</v>
      </c>
      <c r="AK10" s="14">
        <f t="shared" si="35"/>
        <v>2.5789932139603198</v>
      </c>
      <c r="AL10" s="22">
        <f t="shared" si="4"/>
        <v>16.72062557445792</v>
      </c>
      <c r="AM10" s="62">
        <f t="shared" si="5"/>
        <v>281.94284779668016</v>
      </c>
      <c r="AN10" s="62">
        <f ca="1">AVERAGE(OFFSET($AM$3,0,0,'Données projet'!$E$10+1,1))-AVERAGE(OFFSET($H$3,0,0,'Données projet'!$E$10+1,1))</f>
        <v>321.62968871874483</v>
      </c>
      <c r="AO10" s="62">
        <f t="shared" si="36"/>
        <v>389.91636841473559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3.9282338700657551</v>
      </c>
      <c r="BF10" s="14">
        <f t="shared" si="37"/>
        <v>1.5437779404847436</v>
      </c>
      <c r="BG10" s="22">
        <f t="shared" si="7"/>
        <v>9.5304205700421178</v>
      </c>
      <c r="BH10" s="62">
        <f t="shared" si="8"/>
        <v>274.75264279226434</v>
      </c>
      <c r="BI10" s="62">
        <f ca="1">AVERAGE(OFFSET($BH$3,0,0,'Données projet'!$E$11+1,1))-AVERAGE(OFFSET($H$3,0,0,'Données projet'!$E$11+1,1))</f>
        <v>327.81662150328646</v>
      </c>
      <c r="BJ10" s="62">
        <f t="shared" si="38"/>
        <v>320.24200483294322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</v>
      </c>
      <c r="BY10" s="13">
        <f>IF('Données projet'!$A$114&gt;35,BY9+BX10-CG9,IF(A10&lt;'Données projet'!$A$114,$BV$205^A10,IF(A10='Données projet'!$A$114,'Données projet'!$B$114,BY9+BX10-CG9)))</f>
        <v>11.804164196559917</v>
      </c>
      <c r="BZ10" s="14">
        <f>BY10*VLOOKUP('Données projet'!$B$12,Paramètres!$A$1:$I$89,3,0)*VLOOKUP('Données projet'!$B$12,Paramètres!$A$1:$I$89,5,0)</f>
        <v>6.4450736513217146</v>
      </c>
      <c r="CA10" s="14">
        <f t="shared" si="39"/>
        <v>2.391034396381944</v>
      </c>
      <c r="CB10" s="22">
        <f t="shared" si="10"/>
        <v>15.389554849750539</v>
      </c>
      <c r="CC10" s="62">
        <f t="shared" si="11"/>
        <v>280.61177707197277</v>
      </c>
      <c r="CD10" s="62">
        <f ca="1">AVERAGE(OFFSET($CC$3,0,0,'Données projet'!$E$12+1,1))-AVERAGE(OFFSET($H$3,0,0,'Données projet'!$E$12+1,1))</f>
        <v>170.27677128684815</v>
      </c>
      <c r="CE10" s="62">
        <f t="shared" si="40"/>
        <v>243.47439640666289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>
        <f>CT10*VLOOKUP('Données projet'!$B$13,Paramètres!$A$1:$I$89,3,0)*VLOOKUP('Données projet'!$B$13,Paramètres!$A$1:$I$89,5,0)</f>
        <v>0</v>
      </c>
      <c r="CV10" s="14" t="e">
        <f t="shared" si="41"/>
        <v>#NUM!</v>
      </c>
      <c r="CW10" s="22" t="e">
        <f t="shared" si="13"/>
        <v>#NUM!</v>
      </c>
      <c r="CX10" s="62" t="e">
        <f t="shared" si="14"/>
        <v>#NUM!</v>
      </c>
      <c r="CY10" s="62">
        <f ca="1">AVERAGE(OFFSET($CX$3,0,0,'Données projet'!$E$13+1,1))-AVERAGE(OFFSET($H$3,0,0,'Données projet'!$E$13+1,1))</f>
        <v>0</v>
      </c>
      <c r="CZ10" s="62">
        <f t="shared" si="42"/>
        <v>0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8.1052631578947363</v>
      </c>
      <c r="N11" s="14">
        <f>IF('Données projet'!$A$36&gt;35,N10+M11-V10,IF(A11&lt;'Données projet'!$A$36,$K$205^A11,IF(A11='Données projet'!$A$36,'Données projet'!$B$36,N10+M11-V10)))</f>
        <v>8.3379897353119823</v>
      </c>
      <c r="O11" s="14">
        <f>N11*VLOOKUP('Données projet'!$B$9,Paramètres!$A$1:$I$89,3,0)*VLOOKUP('Données projet'!$B$9,Paramètres!$A$1:$I$89,5,0)</f>
        <v>4.6609362620393986</v>
      </c>
      <c r="P11" s="14">
        <f t="shared" si="33"/>
        <v>1.7956221441191047</v>
      </c>
      <c r="Q11" s="22">
        <f t="shared" si="2"/>
        <v>11.245172557392728</v>
      </c>
      <c r="R11" s="62">
        <f t="shared" si="0"/>
        <v>277.68961700183718</v>
      </c>
      <c r="S11" s="62">
        <f ca="1">AVERAGE(OFFSET($R$3,0,0,'Données projet'!$E$9+1,1))-AVERAGE(OFFSET($H$3,0,0,'Données projet'!$E$9+1,1))</f>
        <v>388.88381485322674</v>
      </c>
      <c r="T11" s="62">
        <f t="shared" si="34"/>
        <v>355.82695155276218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</v>
      </c>
      <c r="AI11" s="14">
        <f>IF('Données projet'!$A$62&gt;35,AI10+AH11-AQ10,IF(A11&lt;'Données projet'!$A$62,$AF$205^A11,IF(A11='Données projet'!$A$62,'Données projet'!$B$62,AI10+AH11-AQ10)))</f>
        <v>10.824560399115168</v>
      </c>
      <c r="AJ11" s="14">
        <f>AI11*VLOOKUP('Données projet'!$B$10,Paramètres!$A$1:$I$89,3,0)*VLOOKUP('Données projet'!$B$10,Paramètres!$A$1:$I$89,5,0)</f>
        <v>9.4563359646670122</v>
      </c>
      <c r="AK11" s="14">
        <f t="shared" si="35"/>
        <v>3.3550640345230081</v>
      </c>
      <c r="AL11" s="22">
        <f t="shared" si="4"/>
        <v>22.313188331922618</v>
      </c>
      <c r="AM11" s="62">
        <f t="shared" si="5"/>
        <v>288.75763277636707</v>
      </c>
      <c r="AN11" s="62">
        <f ca="1">AVERAGE(OFFSET($AM$3,0,0,'Données projet'!$E$10+1,1))-AVERAGE(OFFSET($H$3,0,0,'Données projet'!$E$10+1,1))</f>
        <v>321.62968871874483</v>
      </c>
      <c r="AO11" s="62">
        <f t="shared" si="36"/>
        <v>389.91636841473559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4.9927130290993551</v>
      </c>
      <c r="BF11" s="14">
        <f t="shared" si="37"/>
        <v>1.9081050833380053</v>
      </c>
      <c r="BG11" s="22">
        <f t="shared" si="7"/>
        <v>12.018924879161736</v>
      </c>
      <c r="BH11" s="62">
        <f t="shared" si="8"/>
        <v>278.46336932360617</v>
      </c>
      <c r="BI11" s="62">
        <f ca="1">AVERAGE(OFFSET($BH$3,0,0,'Données projet'!$E$11+1,1))-AVERAGE(OFFSET($H$3,0,0,'Données projet'!$E$11+1,1))</f>
        <v>327.81662150328646</v>
      </c>
      <c r="BJ11" s="62">
        <f t="shared" si="38"/>
        <v>320.24200483294322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</v>
      </c>
      <c r="BY11" s="13">
        <f>IF('Données projet'!$A$114&gt;35,BY10+BX11-CG10,IF(A11&lt;'Données projet'!$A$114,$BV$205^A11,IF(A11='Données projet'!$A$114,'Données projet'!$B$114,BY10+BX11-CG10)))</f>
        <v>16.795120867813488</v>
      </c>
      <c r="BZ11" s="14">
        <f>BY11*VLOOKUP('Données projet'!$B$12,Paramètres!$A$1:$I$89,3,0)*VLOOKUP('Données projet'!$B$12,Paramètres!$A$1:$I$89,5,0)</f>
        <v>9.1701359938261628</v>
      </c>
      <c r="CA11" s="14">
        <f t="shared" si="39"/>
        <v>3.2651813019026847</v>
      </c>
      <c r="CB11" s="22">
        <f t="shared" si="10"/>
        <v>21.658177623394408</v>
      </c>
      <c r="CC11" s="62">
        <f t="shared" si="11"/>
        <v>288.10262206783887</v>
      </c>
      <c r="CD11" s="62">
        <f ca="1">AVERAGE(OFFSET($CC$3,0,0,'Données projet'!$E$12+1,1))-AVERAGE(OFFSET($H$3,0,0,'Données projet'!$E$12+1,1))</f>
        <v>170.27677128684815</v>
      </c>
      <c r="CE11" s="62">
        <f t="shared" si="40"/>
        <v>243.47439640666289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>
        <f>CT11*VLOOKUP('Données projet'!$B$13,Paramètres!$A$1:$I$89,3,0)*VLOOKUP('Données projet'!$B$13,Paramètres!$A$1:$I$89,5,0)</f>
        <v>0</v>
      </c>
      <c r="CV11" s="14" t="e">
        <f t="shared" si="41"/>
        <v>#NUM!</v>
      </c>
      <c r="CW11" s="22" t="e">
        <f t="shared" si="13"/>
        <v>#NUM!</v>
      </c>
      <c r="CX11" s="62" t="e">
        <f t="shared" si="14"/>
        <v>#NUM!</v>
      </c>
      <c r="CY11" s="62">
        <f ca="1">AVERAGE(OFFSET($CX$3,0,0,'Données projet'!$E$13+1,1))-AVERAGE(OFFSET($H$3,0,0,'Données projet'!$E$13+1,1))</f>
        <v>0</v>
      </c>
      <c r="CZ11" s="62">
        <f t="shared" si="42"/>
        <v>0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8.1052631578947363</v>
      </c>
      <c r="N12" s="14">
        <f>IF('Données projet'!$A$36&gt;35,N11+M12-V11,IF(A12&lt;'Données projet'!$A$36,$K$205^A12,IF(A12='Données projet'!$A$36,'Données projet'!$B$36,N11+M12-V11)))</f>
        <v>10.869111042094088</v>
      </c>
      <c r="O12" s="14">
        <f>N12*VLOOKUP('Données projet'!$B$9,Paramètres!$A$1:$I$89,3,0)*VLOOKUP('Données projet'!$B$9,Paramètres!$A$1:$I$89,5,0)</f>
        <v>6.0758330725305951</v>
      </c>
      <c r="P12" s="14">
        <f t="shared" si="33"/>
        <v>2.2695835728320102</v>
      </c>
      <c r="Q12" s="22">
        <f t="shared" si="2"/>
        <v>14.534933990673203</v>
      </c>
      <c r="R12" s="62">
        <f t="shared" si="0"/>
        <v>282.2016006573399</v>
      </c>
      <c r="S12" s="62">
        <f ca="1">AVERAGE(OFFSET($R$3,0,0,'Données projet'!$E$9+1,1))-AVERAGE(OFFSET($H$3,0,0,'Données projet'!$E$9+1,1))</f>
        <v>388.88381485322674</v>
      </c>
      <c r="T12" s="62">
        <f t="shared" si="34"/>
        <v>355.82695155276218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</v>
      </c>
      <c r="AI12" s="14">
        <f>IF('Données projet'!$A$62&gt;35,AI11+AH12-AQ11,IF(A12&lt;'Données projet'!$A$62,$AF$205^A12,IF(A12='Données projet'!$A$62,'Données projet'!$B$62,AI11+AH12-AQ11)))</f>
        <v>14.578456710130657</v>
      </c>
      <c r="AJ12" s="14">
        <f>AI12*VLOOKUP('Données projet'!$B$10,Paramètres!$A$1:$I$89,3,0)*VLOOKUP('Données projet'!$B$10,Paramètres!$A$1:$I$89,5,0)</f>
        <v>12.735739781970144</v>
      </c>
      <c r="AK12" s="14">
        <f t="shared" si="35"/>
        <v>4.364670141362768</v>
      </c>
      <c r="AL12" s="22">
        <f t="shared" si="4"/>
        <v>29.783213949804821</v>
      </c>
      <c r="AM12" s="62">
        <f t="shared" si="5"/>
        <v>297.44988061647149</v>
      </c>
      <c r="AN12" s="62">
        <f ca="1">AVERAGE(OFFSET($AM$3,0,0,'Données projet'!$E$10+1,1))-AVERAGE(OFFSET($H$3,0,0,'Données projet'!$E$10+1,1))</f>
        <v>321.62968871874483</v>
      </c>
      <c r="AO12" s="62">
        <f t="shared" si="36"/>
        <v>389.91636841473559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6.3456464700054127</v>
      </c>
      <c r="BF12" s="14">
        <f t="shared" si="37"/>
        <v>2.3584123814576028</v>
      </c>
      <c r="BG12" s="22">
        <f t="shared" si="7"/>
        <v>15.159569166298086</v>
      </c>
      <c r="BH12" s="62">
        <f t="shared" si="8"/>
        <v>282.82623583296476</v>
      </c>
      <c r="BI12" s="62">
        <f ca="1">AVERAGE(OFFSET($BH$3,0,0,'Données projet'!$E$11+1,1))-AVERAGE(OFFSET($H$3,0,0,'Données projet'!$E$11+1,1))</f>
        <v>327.81662150328646</v>
      </c>
      <c r="BJ12" s="62">
        <f t="shared" si="38"/>
        <v>320.24200483294322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</v>
      </c>
      <c r="BY12" s="13">
        <f>IF('Données projet'!$A$114&gt;35,BY11+BX12-CG11,IF(A12&lt;'Données projet'!$A$114,$BV$205^A12,IF(A12='Données projet'!$A$114,'Données projet'!$B$114,BY11+BX12-CG11)))</f>
        <v>23.896319999231235</v>
      </c>
      <c r="BZ12" s="14">
        <f>BY12*VLOOKUP('Données projet'!$B$12,Paramètres!$A$1:$I$89,3,0)*VLOOKUP('Données projet'!$B$12,Paramètres!$A$1:$I$89,5,0)</f>
        <v>13.047390719580255</v>
      </c>
      <c r="CA12" s="14">
        <f t="shared" si="39"/>
        <v>4.4589107335417264</v>
      </c>
      <c r="CB12" s="22">
        <f t="shared" si="10"/>
        <v>30.490141697520784</v>
      </c>
      <c r="CC12" s="62">
        <f t="shared" si="11"/>
        <v>298.15680836418744</v>
      </c>
      <c r="CD12" s="62">
        <f ca="1">AVERAGE(OFFSET($CC$3,0,0,'Données projet'!$E$12+1,1))-AVERAGE(OFFSET($H$3,0,0,'Données projet'!$E$12+1,1))</f>
        <v>170.27677128684815</v>
      </c>
      <c r="CE12" s="62">
        <f t="shared" si="40"/>
        <v>243.47439640666289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>
        <f>CT12*VLOOKUP('Données projet'!$B$13,Paramètres!$A$1:$I$89,3,0)*VLOOKUP('Données projet'!$B$13,Paramètres!$A$1:$I$89,5,0)</f>
        <v>0</v>
      </c>
      <c r="CV12" s="14" t="e">
        <f t="shared" si="41"/>
        <v>#NUM!</v>
      </c>
      <c r="CW12" s="22" t="e">
        <f t="shared" si="13"/>
        <v>#NUM!</v>
      </c>
      <c r="CX12" s="62" t="e">
        <f t="shared" si="14"/>
        <v>#NUM!</v>
      </c>
      <c r="CY12" s="62">
        <f ca="1">AVERAGE(OFFSET($CX$3,0,0,'Données projet'!$E$13+1,1))-AVERAGE(OFFSET($H$3,0,0,'Données projet'!$E$13+1,1))</f>
        <v>0</v>
      </c>
      <c r="CZ12" s="62">
        <f t="shared" si="42"/>
        <v>0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8.1052631578947363</v>
      </c>
      <c r="N13" s="14">
        <f>IF('Données projet'!$A$36&gt;35,N12+M13-V12,IF(A13&lt;'Données projet'!$A$36,$K$205^A13,IF(A13='Données projet'!$A$36,'Données projet'!$B$36,N12+M13-V12)))</f>
        <v>14.16859202225335</v>
      </c>
      <c r="O13" s="14">
        <f>N13*VLOOKUP('Données projet'!$B$9,Paramètres!$A$1:$I$89,3,0)*VLOOKUP('Données projet'!$B$9,Paramètres!$A$1:$I$89,5,0)</f>
        <v>7.9202429404396222</v>
      </c>
      <c r="P13" s="14">
        <f t="shared" si="33"/>
        <v>2.8686489587684911</v>
      </c>
      <c r="Q13" s="22">
        <f t="shared" si="2"/>
        <v>18.790653391120799</v>
      </c>
      <c r="R13" s="62">
        <f t="shared" si="0"/>
        <v>287.67954228000963</v>
      </c>
      <c r="S13" s="62">
        <f ca="1">AVERAGE(OFFSET($R$3,0,0,'Données projet'!$E$9+1,1))-AVERAGE(OFFSET($H$3,0,0,'Données projet'!$E$9+1,1))</f>
        <v>388.88381485322674</v>
      </c>
      <c r="T13" s="62">
        <f t="shared" si="34"/>
        <v>355.82695155276218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5.8</v>
      </c>
      <c r="AI13" s="14">
        <f>IF('Données projet'!$A$62&gt;35,AI12+AH13-AQ12,IF(A13&lt;'Données projet'!$A$62,$AF$205^A13,IF(A13='Données projet'!$A$62,'Données projet'!$B$62,AI12+AH13-AQ12)))</f>
        <v>19.634183025716826</v>
      </c>
      <c r="AJ13" s="14">
        <f>AI13*VLOOKUP('Données projet'!$B$10,Paramètres!$A$1:$I$89,3,0)*VLOOKUP('Données projet'!$B$10,Paramètres!$A$1:$I$89,5,0)</f>
        <v>17.152422291266223</v>
      </c>
      <c r="AK13" s="14">
        <f t="shared" si="35"/>
        <v>5.678086989362658</v>
      </c>
      <c r="AL13" s="22">
        <f t="shared" si="4"/>
        <v>39.763136997095295</v>
      </c>
      <c r="AM13" s="62">
        <f t="shared" si="5"/>
        <v>308.65202588598413</v>
      </c>
      <c r="AN13" s="62">
        <f ca="1">AVERAGE(OFFSET($AM$3,0,0,'Données projet'!$E$10+1,1))-AVERAGE(OFFSET($H$3,0,0,'Données projet'!$E$10+1,1))</f>
        <v>321.62968871874483</v>
      </c>
      <c r="AO13" s="62">
        <f t="shared" si="36"/>
        <v>389.91636841473559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8.0652000000000008</v>
      </c>
      <c r="BF13" s="14">
        <f t="shared" si="37"/>
        <v>2.9149909035839161</v>
      </c>
      <c r="BG13" s="22">
        <f t="shared" si="7"/>
        <v>19.123832490408656</v>
      </c>
      <c r="BH13" s="62">
        <f t="shared" si="8"/>
        <v>288.01272137929749</v>
      </c>
      <c r="BI13" s="62">
        <f ca="1">AVERAGE(OFFSET($BH$3,0,0,'Données projet'!$E$11+1,1))-AVERAGE(OFFSET($H$3,0,0,'Données projet'!$E$11+1,1))</f>
        <v>327.81662150328646</v>
      </c>
      <c r="BJ13" s="62">
        <f t="shared" si="38"/>
        <v>320.24200483294322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34</v>
      </c>
      <c r="BW13" s="13">
        <f>VLOOKUP(A13,'Données projet'!$A$113:$I$133,9,0)</f>
        <v>3.4</v>
      </c>
      <c r="BX13" s="13">
        <f t="array" ref="BX13">INDEX(BW:BW,MIN(IF(ISNUMBER(BW13:BW209),ROW(BW13:BW209),"")))</f>
        <v>3.4</v>
      </c>
      <c r="BY13" s="13">
        <f>IF('Données projet'!$A$114&gt;35,BY12+BX13-CG12,IF(A13&lt;'Données projet'!$A$114,$BV$205^A13,IF(A13='Données projet'!$A$114,'Données projet'!$B$114,BY12+BX13-CG12)))</f>
        <v>34</v>
      </c>
      <c r="BZ13" s="14">
        <f>BY13*VLOOKUP('Données projet'!$B$12,Paramètres!$A$1:$I$89,3,0)*VLOOKUP('Données projet'!$B$12,Paramètres!$A$1:$I$89,5,0)</f>
        <v>18.564</v>
      </c>
      <c r="CA13" s="14">
        <f t="shared" si="39"/>
        <v>6.0890600219069162</v>
      </c>
      <c r="CB13" s="22">
        <f t="shared" si="10"/>
        <v>42.937412871487879</v>
      </c>
      <c r="CC13" s="62">
        <f t="shared" si="11"/>
        <v>311.82630176037674</v>
      </c>
      <c r="CD13" s="62">
        <f ca="1">AVERAGE(OFFSET($CC$3,0,0,'Données projet'!$E$12+1,1))-AVERAGE(OFFSET($H$3,0,0,'Données projet'!$E$12+1,1))</f>
        <v>170.27677128684815</v>
      </c>
      <c r="CE13" s="62">
        <f t="shared" si="40"/>
        <v>243.47439640666289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5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>
        <f>CT13*VLOOKUP('Données projet'!$B$13,Paramètres!$A$1:$I$89,3,0)*VLOOKUP('Données projet'!$B$13,Paramètres!$A$1:$I$89,5,0)</f>
        <v>0</v>
      </c>
      <c r="CV13" s="14" t="e">
        <f t="shared" si="41"/>
        <v>#NUM!</v>
      </c>
      <c r="CW13" s="22" t="e">
        <f t="shared" si="13"/>
        <v>#NUM!</v>
      </c>
      <c r="CX13" s="62" t="e">
        <f t="shared" si="14"/>
        <v>#NUM!</v>
      </c>
      <c r="CY13" s="62">
        <f ca="1">AVERAGE(OFFSET($CX$3,0,0,'Données projet'!$E$13+1,1))-AVERAGE(OFFSET($H$3,0,0,'Données projet'!$E$13+1,1))</f>
        <v>0</v>
      </c>
      <c r="CZ13" s="62">
        <f t="shared" si="42"/>
        <v>0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8.1052631578947363</v>
      </c>
      <c r="N14" s="14">
        <f>IF('Données projet'!$A$36&gt;35,N13+M14-V13,IF(A14&lt;'Données projet'!$A$36,$K$205^A14,IF(A14='Données projet'!$A$36,'Données projet'!$B$36,N13+M14-V13)))</f>
        <v>18.469679729611453</v>
      </c>
      <c r="O14" s="14">
        <f>N14*VLOOKUP('Données projet'!$B$9,Paramètres!$A$1:$I$89,3,0)*VLOOKUP('Données projet'!$B$9,Paramètres!$A$1:$I$89,5,0)</f>
        <v>10.324550968852803</v>
      </c>
      <c r="P14" s="14">
        <f t="shared" si="33"/>
        <v>3.6258399766152398</v>
      </c>
      <c r="Q14" s="22">
        <f t="shared" si="2"/>
        <v>24.296930896690171</v>
      </c>
      <c r="R14" s="62">
        <f t="shared" si="0"/>
        <v>294.40804200780133</v>
      </c>
      <c r="S14" s="62">
        <f ca="1">AVERAGE(OFFSET($R$3,0,0,'Données projet'!$E$9+1,1))-AVERAGE(OFFSET($H$3,0,0,'Données projet'!$E$9+1,1))</f>
        <v>388.88381485322674</v>
      </c>
      <c r="T14" s="62">
        <f t="shared" si="34"/>
        <v>355.82695155276218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</v>
      </c>
      <c r="AI14" s="14">
        <f>IF('Données projet'!$A$62&gt;35,AI13+AH14-AQ13,IF(A14&lt;'Données projet'!$A$62,$AF$205^A14,IF(A14='Données projet'!$A$62,'Données projet'!$B$62,AI13+AH14-AQ13)))</f>
        <v>26.443206626903088</v>
      </c>
      <c r="AJ14" s="14">
        <f>AI14*VLOOKUP('Données projet'!$B$10,Paramètres!$A$1:$I$89,3,0)*VLOOKUP('Données projet'!$B$10,Paramètres!$A$1:$I$89,5,0)</f>
        <v>23.100785309262541</v>
      </c>
      <c r="AK14" s="14">
        <f t="shared" si="35"/>
        <v>7.3867373282653306</v>
      </c>
      <c r="AL14" s="22">
        <f t="shared" si="4"/>
        <v>53.099101927027704</v>
      </c>
      <c r="AM14" s="62">
        <f t="shared" si="5"/>
        <v>323.21021303813882</v>
      </c>
      <c r="AN14" s="62">
        <f ca="1">AVERAGE(OFFSET($AM$3,0,0,'Données projet'!$E$10+1,1))-AVERAGE(OFFSET($H$3,0,0,'Données projet'!$E$10+1,1))</f>
        <v>321.62968871874483</v>
      </c>
      <c r="AO14" s="62">
        <f t="shared" si="36"/>
        <v>389.91636841473559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15.983760000000002</v>
      </c>
      <c r="BF14" s="14">
        <f t="shared" si="37"/>
        <v>5.3348570279475842</v>
      </c>
      <c r="BG14" s="22">
        <f t="shared" si="7"/>
        <v>37.129924657008708</v>
      </c>
      <c r="BH14" s="62">
        <f t="shared" si="8"/>
        <v>307.24103576811984</v>
      </c>
      <c r="BI14" s="62">
        <f ca="1">AVERAGE(OFFSET($BH$3,0,0,'Données projet'!$E$11+1,1))-AVERAGE(OFFSET($H$3,0,0,'Données projet'!$E$11+1,1))</f>
        <v>327.81662150328646</v>
      </c>
      <c r="BJ14" s="62">
        <f t="shared" si="38"/>
        <v>320.24200483294322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11.2</v>
      </c>
      <c r="BY14" s="13">
        <f>IF('Données projet'!$A$114&gt;35,BY13+BX14-CG13,IF(A14&lt;'Données projet'!$A$114,$BV$205^A14,IF(A14='Données projet'!$A$114,'Données projet'!$B$114,BY13+BX14-CG13)))</f>
        <v>40.200000000000003</v>
      </c>
      <c r="BZ14" s="14">
        <f>BY14*VLOOKUP('Données projet'!$B$12,Paramètres!$A$1:$I$89,3,0)*VLOOKUP('Données projet'!$B$12,Paramètres!$A$1:$I$89,5,0)</f>
        <v>21.949200000000001</v>
      </c>
      <c r="CA14" s="14">
        <f t="shared" si="39"/>
        <v>7.0604051729439155</v>
      </c>
      <c r="CB14" s="22">
        <f t="shared" si="10"/>
        <v>50.525062342877327</v>
      </c>
      <c r="CC14" s="62">
        <f t="shared" si="11"/>
        <v>320.63617345398848</v>
      </c>
      <c r="CD14" s="62">
        <f ca="1">AVERAGE(OFFSET($CC$3,0,0,'Données projet'!$E$12+1,1))-AVERAGE(OFFSET($H$3,0,0,'Données projet'!$E$12+1,1))</f>
        <v>170.27677128684815</v>
      </c>
      <c r="CE14" s="62">
        <f t="shared" si="40"/>
        <v>243.47439640666289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>
        <f>CT14*VLOOKUP('Données projet'!$B$13,Paramètres!$A$1:$I$89,3,0)*VLOOKUP('Données projet'!$B$13,Paramètres!$A$1:$I$89,5,0)</f>
        <v>0</v>
      </c>
      <c r="CV14" s="14" t="e">
        <f t="shared" si="41"/>
        <v>#NUM!</v>
      </c>
      <c r="CW14" s="22" t="e">
        <f t="shared" si="13"/>
        <v>#NUM!</v>
      </c>
      <c r="CX14" s="62" t="e">
        <f t="shared" si="14"/>
        <v>#NUM!</v>
      </c>
      <c r="CY14" s="62">
        <f ca="1">AVERAGE(OFFSET($CX$3,0,0,'Données projet'!$E$13+1,1))-AVERAGE(OFFSET($H$3,0,0,'Données projet'!$E$13+1,1))</f>
        <v>0</v>
      </c>
      <c r="CZ14" s="62">
        <f t="shared" si="42"/>
        <v>0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8.1052631578947363</v>
      </c>
      <c r="N15" s="14">
        <f>IF('Données projet'!$A$36&gt;35,N14+M15-V14,IF(A15&lt;'Données projet'!$A$36,$K$205^A15,IF(A15='Données projet'!$A$36,'Données projet'!$B$36,N14+M15-V14)))</f>
        <v>24.076426844575604</v>
      </c>
      <c r="O15" s="14">
        <f>N15*VLOOKUP('Données projet'!$B$9,Paramètres!$A$1:$I$89,3,0)*VLOOKUP('Données projet'!$B$9,Paramètres!$A$1:$I$89,5,0)</f>
        <v>13.458722606117764</v>
      </c>
      <c r="P15" s="14">
        <f t="shared" si="33"/>
        <v>4.5828945001569927</v>
      </c>
      <c r="Q15" s="22">
        <f t="shared" si="2"/>
        <v>31.422483126761865</v>
      </c>
      <c r="R15" s="62">
        <f t="shared" si="0"/>
        <v>302.75581646009516</v>
      </c>
      <c r="S15" s="62">
        <f ca="1">AVERAGE(OFFSET($R$3,0,0,'Données projet'!$E$9+1,1))-AVERAGE(OFFSET($H$3,0,0,'Données projet'!$E$9+1,1))</f>
        <v>388.88381485322674</v>
      </c>
      <c r="T15" s="62">
        <f t="shared" si="34"/>
        <v>355.82695155276218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</v>
      </c>
      <c r="AI15" s="14">
        <f>IF('Données projet'!$A$62&gt;35,AI14+AH15-AQ14,IF(A15&lt;'Données projet'!$A$62,$AF$205^A15,IF(A15='Données projet'!$A$62,'Données projet'!$B$62,AI14+AH15-AQ14)))</f>
        <v>35.613561093793592</v>
      </c>
      <c r="AJ15" s="14">
        <f>AI15*VLOOKUP('Données projet'!$B$10,Paramètres!$A$1:$I$89,3,0)*VLOOKUP('Données projet'!$B$10,Paramètres!$A$1:$I$89,5,0)</f>
        <v>31.112006971538086</v>
      </c>
      <c r="AK15" s="14">
        <f t="shared" si="35"/>
        <v>9.6095548481396289</v>
      </c>
      <c r="AL15" s="22">
        <f t="shared" si="4"/>
        <v>70.9233868359387</v>
      </c>
      <c r="AM15" s="62">
        <f t="shared" si="5"/>
        <v>342.256720169272</v>
      </c>
      <c r="AN15" s="62">
        <f ca="1">AVERAGE(OFFSET($AM$3,0,0,'Données projet'!$E$10+1,1))-AVERAGE(OFFSET($H$3,0,0,'Données projet'!$E$10+1,1))</f>
        <v>321.62968871874483</v>
      </c>
      <c r="AO15" s="62">
        <f t="shared" si="36"/>
        <v>389.91636841473559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23.90232</v>
      </c>
      <c r="BF15" s="14">
        <f t="shared" si="37"/>
        <v>7.6127522913266521</v>
      </c>
      <c r="BG15" s="22">
        <f t="shared" si="7"/>
        <v>54.88875090739392</v>
      </c>
      <c r="BH15" s="62">
        <f t="shared" si="8"/>
        <v>326.22208424072721</v>
      </c>
      <c r="BI15" s="62">
        <f ca="1">AVERAGE(OFFSET($BH$3,0,0,'Données projet'!$E$11+1,1))-AVERAGE(OFFSET($H$3,0,0,'Données projet'!$E$11+1,1))</f>
        <v>327.81662150328646</v>
      </c>
      <c r="BJ15" s="62">
        <f t="shared" si="38"/>
        <v>320.24200483294322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11.2</v>
      </c>
      <c r="BY15" s="13">
        <f>IF('Données projet'!$A$114&gt;35,BY14+BX15-CG14,IF(A15&lt;'Données projet'!$A$114,$BV$205^A15,IF(A15='Données projet'!$A$114,'Données projet'!$B$114,BY14+BX15-CG14)))</f>
        <v>51.400000000000006</v>
      </c>
      <c r="BZ15" s="14">
        <f>BY15*VLOOKUP('Données projet'!$B$12,Paramètres!$A$1:$I$89,3,0)*VLOOKUP('Données projet'!$B$12,Paramètres!$A$1:$I$89,5,0)</f>
        <v>28.064400000000003</v>
      </c>
      <c r="CA15" s="14">
        <f t="shared" si="39"/>
        <v>8.7728862017683937</v>
      </c>
      <c r="CB15" s="22">
        <f t="shared" si="10"/>
        <v>64.158273468079955</v>
      </c>
      <c r="CC15" s="62">
        <f t="shared" si="11"/>
        <v>335.49160680141324</v>
      </c>
      <c r="CD15" s="62">
        <f ca="1">AVERAGE(OFFSET($CC$3,0,0,'Données projet'!$E$12+1,1))-AVERAGE(OFFSET($H$3,0,0,'Données projet'!$E$12+1,1))</f>
        <v>170.27677128684815</v>
      </c>
      <c r="CE15" s="62">
        <f t="shared" si="40"/>
        <v>243.47439640666289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>
        <f>CT15*VLOOKUP('Données projet'!$B$13,Paramètres!$A$1:$I$89,3,0)*VLOOKUP('Données projet'!$B$13,Paramètres!$A$1:$I$89,5,0)</f>
        <v>0</v>
      </c>
      <c r="CV15" s="14" t="e">
        <f t="shared" si="41"/>
        <v>#NUM!</v>
      </c>
      <c r="CW15" s="22" t="e">
        <f t="shared" si="13"/>
        <v>#NUM!</v>
      </c>
      <c r="CX15" s="62" t="e">
        <f t="shared" si="14"/>
        <v>#NUM!</v>
      </c>
      <c r="CY15" s="62">
        <f ca="1">AVERAGE(OFFSET($CX$3,0,0,'Données projet'!$E$13+1,1))-AVERAGE(OFFSET($H$3,0,0,'Données projet'!$E$13+1,1))</f>
        <v>0</v>
      </c>
      <c r="CZ15" s="62">
        <f t="shared" si="42"/>
        <v>0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8.1052631578947363</v>
      </c>
      <c r="N16" s="14">
        <f>IF('Données projet'!$A$36&gt;35,N15+M16-V15,IF(A16&lt;'Données projet'!$A$36,$K$205^A16,IF(A16='Données projet'!$A$36,'Données projet'!$B$36,N15+M16-V15)))</f>
        <v>31.385185779525983</v>
      </c>
      <c r="O16" s="14">
        <f>N16*VLOOKUP('Données projet'!$B$9,Paramètres!$A$1:$I$89,3,0)*VLOOKUP('Données projet'!$B$9,Paramètres!$A$1:$I$89,5,0)</f>
        <v>17.544318850755026</v>
      </c>
      <c r="P16" s="14">
        <f t="shared" si="33"/>
        <v>5.7925672768315755</v>
      </c>
      <c r="Q16" s="22">
        <f t="shared" si="2"/>
        <v>40.645076672213328</v>
      </c>
      <c r="R16" s="62">
        <f t="shared" si="0"/>
        <v>313.20063222776889</v>
      </c>
      <c r="S16" s="62">
        <f ca="1">AVERAGE(OFFSET($R$3,0,0,'Données projet'!$E$9+1,1))-AVERAGE(OFFSET($H$3,0,0,'Données projet'!$E$9+1,1))</f>
        <v>388.88381485322674</v>
      </c>
      <c r="T16" s="62">
        <f t="shared" si="34"/>
        <v>355.82695155276218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</v>
      </c>
      <c r="AI16" s="14">
        <f>IF('Données projet'!$A$62&gt;35,AI15+AH16-AQ15,IF(A16&lt;'Données projet'!$A$62,$AF$205^A16,IF(A16='Données projet'!$A$62,'Données projet'!$B$62,AI15+AH16-AQ15)))</f>
        <v>47.964142612378375</v>
      </c>
      <c r="AJ16" s="14">
        <f>AI16*VLOOKUP('Données projet'!$B$10,Paramètres!$A$1:$I$89,3,0)*VLOOKUP('Données projet'!$B$10,Paramètres!$A$1:$I$89,5,0)</f>
        <v>41.901474986173753</v>
      </c>
      <c r="AK16" s="14">
        <f t="shared" si="35"/>
        <v>12.501262773491545</v>
      </c>
      <c r="AL16" s="22">
        <f t="shared" si="4"/>
        <v>94.751434931417066</v>
      </c>
      <c r="AM16" s="62">
        <f t="shared" si="5"/>
        <v>367.30699048697261</v>
      </c>
      <c r="AN16" s="62">
        <f ca="1">AVERAGE(OFFSET($AM$3,0,0,'Données projet'!$E$10+1,1))-AVERAGE(OFFSET($H$3,0,0,'Données projet'!$E$10+1,1))</f>
        <v>321.62968871874483</v>
      </c>
      <c r="AO16" s="62">
        <f t="shared" si="36"/>
        <v>389.91636841473559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31.820880000000006</v>
      </c>
      <c r="BF16" s="14">
        <f t="shared" si="37"/>
        <v>9.8027641140385384</v>
      </c>
      <c r="BG16" s="22">
        <f t="shared" si="7"/>
        <v>72.494513498617124</v>
      </c>
      <c r="BH16" s="62">
        <f t="shared" si="8"/>
        <v>345.0500690541727</v>
      </c>
      <c r="BI16" s="62">
        <f ca="1">AVERAGE(OFFSET($BH$3,0,0,'Données projet'!$E$11+1,1))-AVERAGE(OFFSET($H$3,0,0,'Données projet'!$E$11+1,1))</f>
        <v>327.81662150328646</v>
      </c>
      <c r="BJ16" s="62">
        <f t="shared" si="38"/>
        <v>320.24200483294322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11.2</v>
      </c>
      <c r="BY16" s="13">
        <f>IF('Données projet'!$A$114&gt;35,BY15+BX16-CG15,IF(A16&lt;'Données projet'!$A$114,$BV$205^A16,IF(A16='Données projet'!$A$114,'Données projet'!$B$114,BY15+BX16-CG15)))</f>
        <v>62.600000000000009</v>
      </c>
      <c r="BZ16" s="14">
        <f>BY16*VLOOKUP('Données projet'!$B$12,Paramètres!$A$1:$I$89,3,0)*VLOOKUP('Données projet'!$B$12,Paramètres!$A$1:$I$89,5,0)</f>
        <v>34.179600000000001</v>
      </c>
      <c r="CA16" s="14">
        <f t="shared" si="39"/>
        <v>10.442117235140335</v>
      </c>
      <c r="CB16" s="22">
        <f t="shared" si="10"/>
        <v>77.716157517869419</v>
      </c>
      <c r="CC16" s="62">
        <f t="shared" si="11"/>
        <v>350.27171307342496</v>
      </c>
      <c r="CD16" s="62">
        <f ca="1">AVERAGE(OFFSET($CC$3,0,0,'Données projet'!$E$12+1,1))-AVERAGE(OFFSET($H$3,0,0,'Données projet'!$E$12+1,1))</f>
        <v>170.27677128684815</v>
      </c>
      <c r="CE16" s="62">
        <f t="shared" si="40"/>
        <v>243.47439640666289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>
        <f>CT16*VLOOKUP('Données projet'!$B$13,Paramètres!$A$1:$I$89,3,0)*VLOOKUP('Données projet'!$B$13,Paramètres!$A$1:$I$89,5,0)</f>
        <v>0</v>
      </c>
      <c r="CV16" s="14" t="e">
        <f t="shared" si="41"/>
        <v>#NUM!</v>
      </c>
      <c r="CW16" s="22" t="e">
        <f t="shared" si="13"/>
        <v>#NUM!</v>
      </c>
      <c r="CX16" s="62" t="e">
        <f t="shared" si="14"/>
        <v>#NUM!</v>
      </c>
      <c r="CY16" s="62">
        <f ca="1">AVERAGE(OFFSET($CX$3,0,0,'Données projet'!$E$13+1,1))-AVERAGE(OFFSET($H$3,0,0,'Données projet'!$E$13+1,1))</f>
        <v>0</v>
      </c>
      <c r="CZ16" s="62">
        <f t="shared" si="42"/>
        <v>0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8.1052631578947363</v>
      </c>
      <c r="N17" s="14">
        <f>IF('Données projet'!$A$36&gt;35,N16+M17-V16,IF(A17&lt;'Données projet'!$A$36,$K$205^A17,IF(A17='Données projet'!$A$36,'Données projet'!$B$36,N16+M17-V16)))</f>
        <v>40.912627640894577</v>
      </c>
      <c r="O17" s="14">
        <f>N17*VLOOKUP('Données projet'!$B$9,Paramètres!$A$1:$I$89,3,0)*VLOOKUP('Données projet'!$B$9,Paramètres!$A$1:$I$89,5,0)</f>
        <v>22.870158851260069</v>
      </c>
      <c r="P17" s="14">
        <f t="shared" si="33"/>
        <v>7.3215378742562285</v>
      </c>
      <c r="Q17" s="22">
        <f t="shared" si="2"/>
        <v>52.583871796940883</v>
      </c>
      <c r="R17" s="62">
        <f t="shared" si="0"/>
        <v>326.36164957471863</v>
      </c>
      <c r="S17" s="62">
        <f ca="1">AVERAGE(OFFSET($R$3,0,0,'Données projet'!$E$9+1,1))-AVERAGE(OFFSET($H$3,0,0,'Données projet'!$E$9+1,1))</f>
        <v>388.88381485322674</v>
      </c>
      <c r="T17" s="62">
        <f t="shared" si="34"/>
        <v>355.82695155276218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</v>
      </c>
      <c r="AI17" s="14">
        <f>IF('Données projet'!$A$62&gt;35,AI16+AH17-AQ16,IF(A17&lt;'Données projet'!$A$62,$AF$205^A17,IF(A17='Données projet'!$A$62,'Données projet'!$B$62,AI16+AH17-AQ16)))</f>
        <v>64.597835933388069</v>
      </c>
      <c r="AJ17" s="14">
        <f>AI17*VLOOKUP('Données projet'!$B$10,Paramètres!$A$1:$I$89,3,0)*VLOOKUP('Données projet'!$B$10,Paramètres!$A$1:$I$89,5,0)</f>
        <v>56.432669471407827</v>
      </c>
      <c r="AK17" s="14">
        <f t="shared" si="35"/>
        <v>16.263143652501352</v>
      </c>
      <c r="AL17" s="22">
        <f t="shared" si="4"/>
        <v>126.61187452414181</v>
      </c>
      <c r="AM17" s="62">
        <f t="shared" si="5"/>
        <v>400.38965230191957</v>
      </c>
      <c r="AN17" s="62">
        <f ca="1">AVERAGE(OFFSET($AM$3,0,0,'Données projet'!$E$10+1,1))-AVERAGE(OFFSET($H$3,0,0,'Données projet'!$E$10+1,1))</f>
        <v>321.62968871874483</v>
      </c>
      <c r="AO17" s="62">
        <f t="shared" si="36"/>
        <v>389.91636841473559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39.739440000000002</v>
      </c>
      <c r="BF17" s="14">
        <f t="shared" si="37"/>
        <v>11.929559204083212</v>
      </c>
      <c r="BG17" s="22">
        <f t="shared" si="7"/>
        <v>89.990173613778268</v>
      </c>
      <c r="BH17" s="62">
        <f t="shared" si="8"/>
        <v>363.76795139155604</v>
      </c>
      <c r="BI17" s="62">
        <f ca="1">AVERAGE(OFFSET($BH$3,0,0,'Données projet'!$E$11+1,1))-AVERAGE(OFFSET($H$3,0,0,'Données projet'!$E$11+1,1))</f>
        <v>327.81662150328646</v>
      </c>
      <c r="BJ17" s="62">
        <f t="shared" si="38"/>
        <v>320.24200483294322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11.2</v>
      </c>
      <c r="BY17" s="13">
        <f>IF('Données projet'!$A$114&gt;35,BY16+BX17-CG16,IF(A17&lt;'Données projet'!$A$114,$BV$205^A17,IF(A17='Données projet'!$A$114,'Données projet'!$B$114,BY16+BX17-CG16)))</f>
        <v>73.800000000000011</v>
      </c>
      <c r="BZ17" s="14">
        <f>BY17*VLOOKUP('Données projet'!$B$12,Paramètres!$A$1:$I$89,3,0)*VLOOKUP('Données projet'!$B$12,Paramètres!$A$1:$I$89,5,0)</f>
        <v>40.294800000000002</v>
      </c>
      <c r="CA17" s="14">
        <f t="shared" si="39"/>
        <v>12.076750255219567</v>
      </c>
      <c r="CB17" s="22">
        <f t="shared" si="10"/>
        <v>91.21378336117408</v>
      </c>
      <c r="CC17" s="62">
        <f t="shared" si="11"/>
        <v>364.99156113895185</v>
      </c>
      <c r="CD17" s="62">
        <f ca="1">AVERAGE(OFFSET($CC$3,0,0,'Données projet'!$E$12+1,1))-AVERAGE(OFFSET($H$3,0,0,'Données projet'!$E$12+1,1))</f>
        <v>170.27677128684815</v>
      </c>
      <c r="CE17" s="62">
        <f t="shared" si="40"/>
        <v>243.47439640666289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>
        <f>CT17*VLOOKUP('Données projet'!$B$13,Paramètres!$A$1:$I$89,3,0)*VLOOKUP('Données projet'!$B$13,Paramètres!$A$1:$I$89,5,0)</f>
        <v>0</v>
      </c>
      <c r="CV17" s="14" t="e">
        <f t="shared" si="41"/>
        <v>#NUM!</v>
      </c>
      <c r="CW17" s="22" t="e">
        <f t="shared" si="13"/>
        <v>#NUM!</v>
      </c>
      <c r="CX17" s="62" t="e">
        <f t="shared" si="14"/>
        <v>#NUM!</v>
      </c>
      <c r="CY17" s="62">
        <f ca="1">AVERAGE(OFFSET($CX$3,0,0,'Données projet'!$E$13+1,1))-AVERAGE(OFFSET($H$3,0,0,'Données projet'!$E$13+1,1))</f>
        <v>0</v>
      </c>
      <c r="CZ17" s="62">
        <f t="shared" si="42"/>
        <v>0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8.1052631578947363</v>
      </c>
      <c r="N18" s="14">
        <f>IF('Données projet'!$A$36&gt;35,N17+M18-V17,IF(A18&lt;'Données projet'!$A$36,$K$205^A18,IF(A18='Données projet'!$A$36,'Données projet'!$B$36,N17+M18-V17)))</f>
        <v>53.332266765628532</v>
      </c>
      <c r="O18" s="14">
        <f>N18*VLOOKUP('Données projet'!$B$9,Paramètres!$A$1:$I$89,3,0)*VLOOKUP('Données projet'!$B$9,Paramètres!$A$1:$I$89,5,0)</f>
        <v>29.812737121986348</v>
      </c>
      <c r="P18" s="14">
        <f t="shared" si="33"/>
        <v>9.2540861905171141</v>
      </c>
      <c r="Q18" s="22">
        <f t="shared" si="2"/>
        <v>68.041383935943529</v>
      </c>
      <c r="R18" s="62">
        <f t="shared" si="0"/>
        <v>343.04138393594354</v>
      </c>
      <c r="S18" s="62">
        <f ca="1">AVERAGE(OFFSET($R$3,0,0,'Données projet'!$E$9+1,1))-AVERAGE(OFFSET($H$3,0,0,'Données projet'!$E$9+1,1))</f>
        <v>388.88381485322674</v>
      </c>
      <c r="T18" s="62">
        <f t="shared" si="34"/>
        <v>355.82695155276218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87</v>
      </c>
      <c r="AG18" s="13">
        <f>VLOOKUP(A18,'Données projet'!$A$61:$I$81,9,0)</f>
        <v>5.8</v>
      </c>
      <c r="AH18" s="13">
        <f t="array" ref="AH18">INDEX(AG:AG,MIN(IF(ISNUMBER(AG18:AG214),ROW(AG18:AG214),"")))</f>
        <v>5.8</v>
      </c>
      <c r="AI18" s="14">
        <f>IF('Données projet'!$A$62&gt;35,AI17+AH18-AQ17,IF(A18&lt;'Données projet'!$A$62,$AF$205^A18,IF(A18='Données projet'!$A$62,'Données projet'!$B$62,AI17+AH18-AQ17)))</f>
        <v>87</v>
      </c>
      <c r="AJ18" s="14">
        <f>AI18*VLOOKUP('Données projet'!$B$10,Paramètres!$A$1:$I$89,3,0)*VLOOKUP('Données projet'!$B$10,Paramètres!$A$1:$I$89,5,0)</f>
        <v>76.003200000000007</v>
      </c>
      <c r="AK18" s="14">
        <f t="shared" si="35"/>
        <v>21.157049992000456</v>
      </c>
      <c r="AL18" s="22">
        <f t="shared" si="4"/>
        <v>169.22076873606747</v>
      </c>
      <c r="AM18" s="62">
        <f t="shared" si="5"/>
        <v>444.2207687360675</v>
      </c>
      <c r="AN18" s="62">
        <f ca="1">AVERAGE(OFFSET($AM$3,0,0,'Données projet'!$E$10+1,1))-AVERAGE(OFFSET($H$3,0,0,'Données projet'!$E$10+1,1))</f>
        <v>321.62968871874483</v>
      </c>
      <c r="AO18" s="62">
        <f t="shared" si="36"/>
        <v>389.91636841473559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21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47.657999999999994</v>
      </c>
      <c r="BF18" s="14">
        <f t="shared" si="37"/>
        <v>14.007249652087213</v>
      </c>
      <c r="BG18" s="22">
        <f t="shared" si="7"/>
        <v>107.40030981071855</v>
      </c>
      <c r="BH18" s="62">
        <f t="shared" si="8"/>
        <v>382.40030981071857</v>
      </c>
      <c r="BI18" s="62">
        <f ca="1">AVERAGE(OFFSET($BH$3,0,0,'Données projet'!$E$11+1,1))-AVERAGE(OFFSET($H$3,0,0,'Données projet'!$E$11+1,1))</f>
        <v>327.81662150328646</v>
      </c>
      <c r="BJ18" s="62">
        <f t="shared" si="38"/>
        <v>320.24200483294322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32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85</v>
      </c>
      <c r="BW18" s="13">
        <f>VLOOKUP(A18,'Données projet'!$A$113:$I$133,9,0)</f>
        <v>11.2</v>
      </c>
      <c r="BX18" s="13">
        <f t="array" ref="BX18">INDEX(BW:BW,MIN(IF(ISNUMBER(BW18:BW214),ROW(BW18:BW214),"")))</f>
        <v>11.2</v>
      </c>
      <c r="BY18" s="13">
        <f>IF('Données projet'!$A$114&gt;35,BY17+BX18-CG17,IF(A18&lt;'Données projet'!$A$114,$BV$205^A18,IF(A18='Données projet'!$A$114,'Données projet'!$B$114,BY17+BX18-CG17)))</f>
        <v>85.000000000000014</v>
      </c>
      <c r="BZ18" s="14">
        <f>BY18*VLOOKUP('Données projet'!$B$12,Paramètres!$A$1:$I$89,3,0)*VLOOKUP('Données projet'!$B$12,Paramètres!$A$1:$I$89,5,0)</f>
        <v>46.410000000000004</v>
      </c>
      <c r="CA18" s="14">
        <f t="shared" si="39"/>
        <v>13.682644606433925</v>
      </c>
      <c r="CB18" s="22">
        <f t="shared" si="10"/>
        <v>104.66135602287243</v>
      </c>
      <c r="CC18" s="62">
        <f t="shared" si="11"/>
        <v>379.66135602287244</v>
      </c>
      <c r="CD18" s="62">
        <f ca="1">AVERAGE(OFFSET($CC$3,0,0,'Données projet'!$E$12+1,1))-AVERAGE(OFFSET($H$3,0,0,'Données projet'!$E$12+1,1))</f>
        <v>170.27677128684815</v>
      </c>
      <c r="CE18" s="62">
        <f t="shared" si="40"/>
        <v>243.47439640666289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21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0.6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9.0902993716321081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9.0902993716321081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>
        <f>CT18*VLOOKUP('Données projet'!$B$13,Paramètres!$A$1:$I$89,3,0)*VLOOKUP('Données projet'!$B$13,Paramètres!$A$1:$I$89,5,0)</f>
        <v>0</v>
      </c>
      <c r="CV18" s="14" t="e">
        <f t="shared" si="41"/>
        <v>#NUM!</v>
      </c>
      <c r="CW18" s="22" t="e">
        <f t="shared" si="13"/>
        <v>#NUM!</v>
      </c>
      <c r="CX18" s="62" t="e">
        <f t="shared" si="14"/>
        <v>#NUM!</v>
      </c>
      <c r="CY18" s="62">
        <f ca="1">AVERAGE(OFFSET($CX$3,0,0,'Données projet'!$E$13+1,1))-AVERAGE(OFFSET($H$3,0,0,'Données projet'!$E$13+1,1))</f>
        <v>0</v>
      </c>
      <c r="CZ18" s="62">
        <f t="shared" si="42"/>
        <v>0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8.1052631578947363</v>
      </c>
      <c r="N19" s="14">
        <f>IF('Données projet'!$A$36&gt;35,N18+M19-V18,IF(A19&lt;'Données projet'!$A$36,$K$205^A19,IF(A19='Données projet'!$A$36,'Données projet'!$B$36,N18+M19-V18)))</f>
        <v>69.522072826167985</v>
      </c>
      <c r="O19" s="14">
        <f>N19*VLOOKUP('Données projet'!$B$9,Paramètres!$A$1:$I$89,3,0)*VLOOKUP('Données projet'!$B$9,Paramètres!$A$1:$I$89,5,0)</f>
        <v>38.862838709827905</v>
      </c>
      <c r="P19" s="14">
        <f t="shared" si="33"/>
        <v>11.69673812965411</v>
      </c>
      <c r="Q19" s="22">
        <f t="shared" si="2"/>
        <v>88.057929662097834</v>
      </c>
      <c r="R19" s="62">
        <f t="shared" si="0"/>
        <v>364.28015188432005</v>
      </c>
      <c r="S19" s="62">
        <f ca="1">AVERAGE(OFFSET($R$3,0,0,'Données projet'!$E$9+1,1))-AVERAGE(OFFSET($H$3,0,0,'Données projet'!$E$9+1,1))</f>
        <v>388.88381485322674</v>
      </c>
      <c r="T19" s="62">
        <f t="shared" si="34"/>
        <v>355.82695155276218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14.2</v>
      </c>
      <c r="AI19" s="14">
        <f>IF('Données projet'!$A$62&gt;35,AI18+AH19-AQ18,IF(A19&lt;'Données projet'!$A$62,$AF$205^A19,IF(A19='Données projet'!$A$62,'Données projet'!$B$62,AI18+AH19-AQ18)))</f>
        <v>80.2</v>
      </c>
      <c r="AJ19" s="14">
        <f>AI19*VLOOKUP('Données projet'!$B$10,Paramètres!$A$1:$I$89,3,0)*VLOOKUP('Données projet'!$B$10,Paramètres!$A$1:$I$89,5,0)</f>
        <v>70.062720000000013</v>
      </c>
      <c r="AK19" s="14">
        <f t="shared" si="35"/>
        <v>19.689032345957123</v>
      </c>
      <c r="AL19" s="22">
        <f t="shared" si="4"/>
        <v>156.31763533587534</v>
      </c>
      <c r="AM19" s="62">
        <f t="shared" si="5"/>
        <v>432.53985755809754</v>
      </c>
      <c r="AN19" s="62">
        <f ca="1">AVERAGE(OFFSET($AM$3,0,0,'Données projet'!$E$10+1,1))-AVERAGE(OFFSET($H$3,0,0,'Données projet'!$E$10+1,1))</f>
        <v>321.62968871874483</v>
      </c>
      <c r="AO19" s="62">
        <f t="shared" si="36"/>
        <v>389.91636841473559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13.6</v>
      </c>
      <c r="BD19" s="13">
        <f>IF('Données projet'!$A$88&gt;35,BD18+BC19-BL18,IF(A19&lt;'Données projet'!$A$88,$BA$205^A19,IF(A19='Données projet'!$A$88,'Données projet'!$B$88,BD18+BC19-BL18)))</f>
        <v>46.599999999999994</v>
      </c>
      <c r="BE19" s="14">
        <f>BD19*VLOOKUP('Données projet'!$B$11,Paramètres!$A$1:$I$89,3,0)*VLOOKUP('Données projet'!$B$11,Paramètres!$A$1:$I$89,5,0)</f>
        <v>34.167119999999997</v>
      </c>
      <c r="BF19" s="14">
        <f t="shared" si="37"/>
        <v>10.438748234359947</v>
      </c>
      <c r="BG19" s="22">
        <f t="shared" si="7"/>
        <v>77.688553841510227</v>
      </c>
      <c r="BH19" s="62">
        <f t="shared" si="8"/>
        <v>353.91077606373244</v>
      </c>
      <c r="BI19" s="62">
        <f ca="1">AVERAGE(OFFSET($BH$3,0,0,'Données projet'!$E$11+1,1))-AVERAGE(OFFSET($H$3,0,0,'Données projet'!$E$11+1,1))</f>
        <v>327.81662150328646</v>
      </c>
      <c r="BJ19" s="62">
        <f t="shared" si="38"/>
        <v>320.24200483294322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75.600000000000009</v>
      </c>
      <c r="BZ19" s="14">
        <f>BY19*VLOOKUP('Données projet'!$B$12,Paramètres!$A$1:$I$89,3,0)*VLOOKUP('Données projet'!$B$12,Paramètres!$A$1:$I$89,5,0)</f>
        <v>41.277600000000007</v>
      </c>
      <c r="CA19" s="14">
        <f t="shared" si="39"/>
        <v>12.33665280707495</v>
      </c>
      <c r="CB19" s="22">
        <f t="shared" si="10"/>
        <v>93.378156972322202</v>
      </c>
      <c r="CC19" s="62">
        <f t="shared" si="11"/>
        <v>369.60037919454442</v>
      </c>
      <c r="CD19" s="62">
        <f ca="1">AVERAGE(OFFSET($CC$3,0,0,'Données projet'!$E$12+1,1))-AVERAGE(OFFSET($H$3,0,0,'Données projet'!$E$12+1,1))</f>
        <v>170.27677128684815</v>
      </c>
      <c r="CE19" s="62">
        <f t="shared" si="40"/>
        <v>243.47439640666289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8.8417246572767603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8.8417246572767603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>
        <f>CT19*VLOOKUP('Données projet'!$B$13,Paramètres!$A$1:$I$89,3,0)*VLOOKUP('Données projet'!$B$13,Paramètres!$A$1:$I$89,5,0)</f>
        <v>0</v>
      </c>
      <c r="CV19" s="14" t="e">
        <f t="shared" si="41"/>
        <v>#NUM!</v>
      </c>
      <c r="CW19" s="22" t="e">
        <f t="shared" si="13"/>
        <v>#NUM!</v>
      </c>
      <c r="CX19" s="62" t="e">
        <f t="shared" si="14"/>
        <v>#NUM!</v>
      </c>
      <c r="CY19" s="62">
        <f ca="1">AVERAGE(OFFSET($CX$3,0,0,'Données projet'!$E$13+1,1))-AVERAGE(OFFSET($H$3,0,0,'Données projet'!$E$13+1,1))</f>
        <v>0</v>
      </c>
      <c r="CZ19" s="62">
        <f t="shared" si="42"/>
        <v>0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8.1052631578947363</v>
      </c>
      <c r="N20" s="14">
        <f>IF('Données projet'!$A$36&gt;35,N19+M20-V19,IF(A20&lt;'Données projet'!$A$36,$K$205^A20,IF(A20='Données projet'!$A$36,'Données projet'!$B$36,N19+M20-V19)))</f>
        <v>90.62653630094664</v>
      </c>
      <c r="O20" s="14">
        <f>N20*VLOOKUP('Données projet'!$B$9,Paramètres!$A$1:$I$89,3,0)*VLOOKUP('Données projet'!$B$9,Paramètres!$A$1:$I$89,5,0)</f>
        <v>50.660233792229178</v>
      </c>
      <c r="P20" s="14">
        <f t="shared" si="33"/>
        <v>14.784137521206649</v>
      </c>
      <c r="Q20" s="22">
        <f t="shared" si="2"/>
        <v>113.98228003756738</v>
      </c>
      <c r="R20" s="62">
        <f t="shared" si="0"/>
        <v>391.42672448201182</v>
      </c>
      <c r="S20" s="62">
        <f ca="1">AVERAGE(OFFSET($R$3,0,0,'Données projet'!$E$9+1,1))-AVERAGE(OFFSET($H$3,0,0,'Données projet'!$E$9+1,1))</f>
        <v>388.88381485322674</v>
      </c>
      <c r="T20" s="62">
        <f t="shared" si="34"/>
        <v>355.82695155276218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14.2</v>
      </c>
      <c r="AI20" s="14">
        <f>IF('Données projet'!$A$62&gt;35,AI19+AH20-AQ19,IF(A20&lt;'Données projet'!$A$62,$AF$205^A20,IF(A20='Données projet'!$A$62,'Données projet'!$B$62,AI19+AH20-AQ19)))</f>
        <v>94.4</v>
      </c>
      <c r="AJ20" s="14">
        <f>AI20*VLOOKUP('Données projet'!$B$10,Paramètres!$A$1:$I$89,3,0)*VLOOKUP('Données projet'!$B$10,Paramètres!$A$1:$I$89,5,0)</f>
        <v>82.467840000000024</v>
      </c>
      <c r="AK20" s="14">
        <f t="shared" si="35"/>
        <v>22.739512759227473</v>
      </c>
      <c r="AL20" s="22">
        <f t="shared" si="4"/>
        <v>183.23613938898788</v>
      </c>
      <c r="AM20" s="62">
        <f t="shared" si="5"/>
        <v>460.68058383343237</v>
      </c>
      <c r="AN20" s="62">
        <f ca="1">AVERAGE(OFFSET($AM$3,0,0,'Données projet'!$E$10+1,1))-AVERAGE(OFFSET($H$3,0,0,'Données projet'!$E$10+1,1))</f>
        <v>321.62968871874483</v>
      </c>
      <c r="AO20" s="62">
        <f t="shared" si="36"/>
        <v>389.91636841473559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13.6</v>
      </c>
      <c r="BD20" s="13">
        <f>IF('Données projet'!$A$88&gt;35,BD19+BC20-BL19,IF(A20&lt;'Données projet'!$A$88,$BA$205^A20,IF(A20='Données projet'!$A$88,'Données projet'!$B$88,BD19+BC20-BL19)))</f>
        <v>60.199999999999996</v>
      </c>
      <c r="BE20" s="14">
        <f>BD20*VLOOKUP('Données projet'!$B$11,Paramètres!$A$1:$I$89,3,0)*VLOOKUP('Données projet'!$B$11,Paramètres!$A$1:$I$89,5,0)</f>
        <v>44.138639999999995</v>
      </c>
      <c r="BF20" s="14">
        <f t="shared" si="37"/>
        <v>13.089229634046784</v>
      </c>
      <c r="BG20" s="22">
        <f t="shared" si="7"/>
        <v>99.671872945964807</v>
      </c>
      <c r="BH20" s="62">
        <f t="shared" si="8"/>
        <v>377.11631739040928</v>
      </c>
      <c r="BI20" s="62">
        <f ca="1">AVERAGE(OFFSET($BH$3,0,0,'Données projet'!$E$11+1,1))-AVERAGE(OFFSET($H$3,0,0,'Données projet'!$E$11+1,1))</f>
        <v>327.81662150328646</v>
      </c>
      <c r="BJ20" s="62">
        <f t="shared" si="38"/>
        <v>320.24200483294322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87.2</v>
      </c>
      <c r="BZ20" s="14">
        <f>BY20*VLOOKUP('Données projet'!$B$12,Paramètres!$A$1:$I$89,3,0)*VLOOKUP('Données projet'!$B$12,Paramètres!$A$1:$I$89,5,0)</f>
        <v>47.611200000000004</v>
      </c>
      <c r="CA20" s="14">
        <f t="shared" si="39"/>
        <v>13.995094974431229</v>
      </c>
      <c r="CB20" s="22">
        <f t="shared" si="10"/>
        <v>107.29763041380107</v>
      </c>
      <c r="CC20" s="62">
        <f t="shared" si="11"/>
        <v>384.74207485824553</v>
      </c>
      <c r="CD20" s="62">
        <f ca="1">AVERAGE(OFFSET($CC$3,0,0,'Données projet'!$E$12+1,1))-AVERAGE(OFFSET($H$3,0,0,'Données projet'!$E$12+1,1))</f>
        <v>170.27677128684815</v>
      </c>
      <c r="CE20" s="62">
        <f t="shared" si="40"/>
        <v>243.47439640666289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8.5999472315574348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8.5999472315574348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>
        <f>CT20*VLOOKUP('Données projet'!$B$13,Paramètres!$A$1:$I$89,3,0)*VLOOKUP('Données projet'!$B$13,Paramètres!$A$1:$I$89,5,0)</f>
        <v>0</v>
      </c>
      <c r="CV20" s="14" t="e">
        <f t="shared" si="41"/>
        <v>#NUM!</v>
      </c>
      <c r="CW20" s="22" t="e">
        <f t="shared" si="13"/>
        <v>#NUM!</v>
      </c>
      <c r="CX20" s="62" t="e">
        <f t="shared" si="14"/>
        <v>#NUM!</v>
      </c>
      <c r="CY20" s="62">
        <f ca="1">AVERAGE(OFFSET($CX$3,0,0,'Données projet'!$E$13+1,1))-AVERAGE(OFFSET($H$3,0,0,'Données projet'!$E$13+1,1))</f>
        <v>0</v>
      </c>
      <c r="CZ20" s="62">
        <f t="shared" si="42"/>
        <v>0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8.1052631578947363</v>
      </c>
      <c r="N21" s="14">
        <f>IF('Données projet'!$A$36&gt;35,N20+M21-V20,IF(A21&lt;'Données projet'!$A$36,$K$205^A21,IF(A21='Données projet'!$A$36,'Données projet'!$B$36,N20+M21-V20)))</f>
        <v>118.13757484537167</v>
      </c>
      <c r="O21" s="14">
        <f>N21*VLOOKUP('Données projet'!$B$9,Paramètres!$A$1:$I$89,3,0)*VLOOKUP('Données projet'!$B$9,Paramètres!$A$1:$I$89,5,0)</f>
        <v>66.038904338562773</v>
      </c>
      <c r="P21" s="14">
        <f t="shared" si="33"/>
        <v>18.686467955696113</v>
      </c>
      <c r="Q21" s="22">
        <f t="shared" si="2"/>
        <v>147.56335674583423</v>
      </c>
      <c r="R21" s="62">
        <f t="shared" si="0"/>
        <v>426.23002341250094</v>
      </c>
      <c r="S21" s="62">
        <f ca="1">AVERAGE(OFFSET($R$3,0,0,'Données projet'!$E$9+1,1))-AVERAGE(OFFSET($H$3,0,0,'Données projet'!$E$9+1,1))</f>
        <v>388.88381485322674</v>
      </c>
      <c r="T21" s="62">
        <f t="shared" si="34"/>
        <v>355.82695155276218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14.2</v>
      </c>
      <c r="AI21" s="14">
        <f>IF('Données projet'!$A$62&gt;35,AI20+AH21-AQ20,IF(A21&lt;'Données projet'!$A$62,$AF$205^A21,IF(A21='Données projet'!$A$62,'Données projet'!$B$62,AI20+AH21-AQ20)))</f>
        <v>108.60000000000001</v>
      </c>
      <c r="AJ21" s="14">
        <f>AI21*VLOOKUP('Données projet'!$B$10,Paramètres!$A$1:$I$89,3,0)*VLOOKUP('Données projet'!$B$10,Paramètres!$A$1:$I$89,5,0)</f>
        <v>94.87296000000002</v>
      </c>
      <c r="AK21" s="14">
        <f t="shared" si="35"/>
        <v>25.736834760472274</v>
      </c>
      <c r="AL21" s="22">
        <f t="shared" si="4"/>
        <v>210.06205920782259</v>
      </c>
      <c r="AM21" s="62">
        <f t="shared" si="5"/>
        <v>488.72872587448927</v>
      </c>
      <c r="AN21" s="62">
        <f ca="1">AVERAGE(OFFSET($AM$3,0,0,'Données projet'!$E$10+1,1))-AVERAGE(OFFSET($H$3,0,0,'Données projet'!$E$10+1,1))</f>
        <v>321.62968871874483</v>
      </c>
      <c r="AO21" s="62">
        <f t="shared" si="36"/>
        <v>389.91636841473559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13.6</v>
      </c>
      <c r="BD21" s="13">
        <f>IF('Données projet'!$A$88&gt;35,BD20+BC21-BL20,IF(A21&lt;'Données projet'!$A$88,$BA$205^A21,IF(A21='Données projet'!$A$88,'Données projet'!$B$88,BD20+BC21-BL20)))</f>
        <v>73.8</v>
      </c>
      <c r="BE21" s="14">
        <f>BD21*VLOOKUP('Données projet'!$B$11,Paramètres!$A$1:$I$89,3,0)*VLOOKUP('Données projet'!$B$11,Paramètres!$A$1:$I$89,5,0)</f>
        <v>54.11016</v>
      </c>
      <c r="BF21" s="14">
        <f t="shared" si="37"/>
        <v>15.670297028888184</v>
      </c>
      <c r="BG21" s="22">
        <f t="shared" si="7"/>
        <v>121.53429599198023</v>
      </c>
      <c r="BH21" s="62">
        <f t="shared" si="8"/>
        <v>400.20096265864692</v>
      </c>
      <c r="BI21" s="62">
        <f ca="1">AVERAGE(OFFSET($BH$3,0,0,'Données projet'!$E$11+1,1))-AVERAGE(OFFSET($H$3,0,0,'Données projet'!$E$11+1,1))</f>
        <v>327.81662150328646</v>
      </c>
      <c r="BJ21" s="62">
        <f t="shared" si="38"/>
        <v>320.24200483294322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98.8</v>
      </c>
      <c r="BZ21" s="14">
        <f>BY21*VLOOKUP('Données projet'!$B$12,Paramètres!$A$1:$I$89,3,0)*VLOOKUP('Données projet'!$B$12,Paramètres!$A$1:$I$89,5,0)</f>
        <v>53.944799999999994</v>
      </c>
      <c r="CA21" s="14">
        <f t="shared" si="39"/>
        <v>15.627975445731314</v>
      </c>
      <c r="CB21" s="22">
        <f t="shared" si="10"/>
        <v>121.17258390131535</v>
      </c>
      <c r="CC21" s="62">
        <f t="shared" si="11"/>
        <v>399.83925056798205</v>
      </c>
      <c r="CD21" s="62">
        <f ca="1">AVERAGE(OFFSET($CC$3,0,0,'Données projet'!$E$12+1,1))-AVERAGE(OFFSET($H$3,0,0,'Données projet'!$E$12+1,1))</f>
        <v>170.27677128684815</v>
      </c>
      <c r="CE21" s="62">
        <f t="shared" si="40"/>
        <v>243.47439640666289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8.3647812222589266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8.3647812222589266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>
        <f>CT21*VLOOKUP('Données projet'!$B$13,Paramètres!$A$1:$I$89,3,0)*VLOOKUP('Données projet'!$B$13,Paramètres!$A$1:$I$89,5,0)</f>
        <v>0</v>
      </c>
      <c r="CV21" s="14" t="e">
        <f t="shared" si="41"/>
        <v>#NUM!</v>
      </c>
      <c r="CW21" s="22" t="e">
        <f t="shared" si="13"/>
        <v>#NUM!</v>
      </c>
      <c r="CX21" s="62" t="e">
        <f t="shared" si="14"/>
        <v>#NUM!</v>
      </c>
      <c r="CY21" s="62">
        <f ca="1">AVERAGE(OFFSET($CX$3,0,0,'Données projet'!$E$13+1,1))-AVERAGE(OFFSET($H$3,0,0,'Données projet'!$E$13+1,1))</f>
        <v>0</v>
      </c>
      <c r="CZ21" s="62">
        <f t="shared" si="42"/>
        <v>0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154</v>
      </c>
      <c r="L22" s="13">
        <f>VLOOKUP(A22,'Données projet'!$A$35:$I$55,9,0)</f>
        <v>8.1052631578947363</v>
      </c>
      <c r="M22" s="13">
        <f t="array" ref="M22">INDEX(L:L,MIN(IF(ISNUMBER(L22:L218),ROW(L22:L218),"")))</f>
        <v>8.1052631578947363</v>
      </c>
      <c r="N22" s="14">
        <f>IF('Données projet'!$A$36&gt;35,N21+M22-V21,IF(A22&lt;'Données projet'!$A$36,$K$205^A22,IF(A22='Données projet'!$A$36,'Données projet'!$B$36,N21+M22-V21)))</f>
        <v>154</v>
      </c>
      <c r="O22" s="14">
        <f>N22*VLOOKUP('Données projet'!$B$9,Paramètres!$A$1:$I$89,3,0)*VLOOKUP('Données projet'!$B$9,Paramètres!$A$1:$I$89,5,0)</f>
        <v>86.085999999999999</v>
      </c>
      <c r="P22" s="14">
        <f t="shared" si="33"/>
        <v>23.618833642367079</v>
      </c>
      <c r="Q22" s="22">
        <f t="shared" si="2"/>
        <v>191.06925192712265</v>
      </c>
      <c r="R22" s="62">
        <f t="shared" si="0"/>
        <v>470.95814081601151</v>
      </c>
      <c r="S22" s="62">
        <f ca="1">AVERAGE(OFFSET($R$3,0,0,'Données projet'!$E$9+1,1))-AVERAGE(OFFSET($H$3,0,0,'Données projet'!$E$9+1,1))</f>
        <v>388.88381485322674</v>
      </c>
      <c r="T22" s="62">
        <f t="shared" si="34"/>
        <v>355.82695155276218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0.16500000000000001</v>
      </c>
      <c r="X22" s="17">
        <f>IF(ISNA(VLOOKUP(A22,'Données projet'!$A$35:$I$55,6,0)),0%,VLOOKUP(A22,'Données projet'!$A$35:$I$55,6,0)*VLOOKUP('Données projet'!$B$9,Paramètres!$A$1:$I$89,7,0))</f>
        <v>0.22000000000000003</v>
      </c>
      <c r="Y22" s="17">
        <f>IF(ISNA(VLOOKUP(A22,'Données projet'!$A$35:$I$55,7,0)),0%,VLOOKUP(A22,'Données projet'!$A$35:$I$55,7,0))</f>
        <v>0.3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14.2</v>
      </c>
      <c r="AI22" s="14">
        <f>IF('Données projet'!$A$62&gt;35,AI21+AH22-AQ21,IF(A22&lt;'Données projet'!$A$62,$AF$205^A22,IF(A22='Données projet'!$A$62,'Données projet'!$B$62,AI21+AH22-AQ21)))</f>
        <v>122.80000000000001</v>
      </c>
      <c r="AJ22" s="14">
        <f>AI22*VLOOKUP('Données projet'!$B$10,Paramètres!$A$1:$I$89,3,0)*VLOOKUP('Données projet'!$B$10,Paramètres!$A$1:$I$89,5,0)</f>
        <v>107.27808000000003</v>
      </c>
      <c r="AK22" s="14">
        <f t="shared" si="35"/>
        <v>28.688746800886673</v>
      </c>
      <c r="AL22" s="22">
        <f t="shared" si="4"/>
        <v>236.80889001154432</v>
      </c>
      <c r="AM22" s="62">
        <f t="shared" si="5"/>
        <v>516.69777890043315</v>
      </c>
      <c r="AN22" s="62">
        <f ca="1">AVERAGE(OFFSET($AM$3,0,0,'Données projet'!$E$10+1,1))-AVERAGE(OFFSET($H$3,0,0,'Données projet'!$E$10+1,1))</f>
        <v>321.62968871874483</v>
      </c>
      <c r="AO22" s="62">
        <f t="shared" si="36"/>
        <v>389.91636841473559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13.6</v>
      </c>
      <c r="BD22" s="13">
        <f>IF('Données projet'!$A$88&gt;35,BD21+BC22-BL21,IF(A22&lt;'Données projet'!$A$88,$BA$205^A22,IF(A22='Données projet'!$A$88,'Données projet'!$B$88,BD21+BC22-BL21)))</f>
        <v>87.399999999999991</v>
      </c>
      <c r="BE22" s="14">
        <f>BD22*VLOOKUP('Données projet'!$B$11,Paramètres!$A$1:$I$89,3,0)*VLOOKUP('Données projet'!$B$11,Paramètres!$A$1:$I$89,5,0)</f>
        <v>64.081679999999992</v>
      </c>
      <c r="BF22" s="14">
        <f t="shared" si="37"/>
        <v>18.196259808900503</v>
      </c>
      <c r="BG22" s="22">
        <f t="shared" si="7"/>
        <v>143.30074516716834</v>
      </c>
      <c r="BH22" s="62">
        <f t="shared" si="8"/>
        <v>423.18963405605723</v>
      </c>
      <c r="BI22" s="62">
        <f ca="1">AVERAGE(OFFSET($BH$3,0,0,'Données projet'!$E$11+1,1))-AVERAGE(OFFSET($H$3,0,0,'Données projet'!$E$11+1,1))</f>
        <v>327.81662150328646</v>
      </c>
      <c r="BJ22" s="62">
        <f t="shared" si="38"/>
        <v>320.24200483294322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110.39999999999999</v>
      </c>
      <c r="BZ22" s="14">
        <f>BY22*VLOOKUP('Données projet'!$B$12,Paramètres!$A$1:$I$89,3,0)*VLOOKUP('Données projet'!$B$12,Paramètres!$A$1:$I$89,5,0)</f>
        <v>60.278399999999998</v>
      </c>
      <c r="CA22" s="14">
        <f t="shared" si="39"/>
        <v>17.238638291828391</v>
      </c>
      <c r="CB22" s="22">
        <f t="shared" si="10"/>
        <v>135.00884169160111</v>
      </c>
      <c r="CC22" s="62">
        <f t="shared" si="11"/>
        <v>414.89773058048996</v>
      </c>
      <c r="CD22" s="62">
        <f ca="1">AVERAGE(OFFSET($CC$3,0,0,'Données projet'!$E$12+1,1))-AVERAGE(OFFSET($H$3,0,0,'Données projet'!$E$12+1,1))</f>
        <v>170.27677128684815</v>
      </c>
      <c r="CE22" s="62">
        <f t="shared" si="40"/>
        <v>243.47439640666289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8.1360458398515298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8.1360458398515298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0</v>
      </c>
      <c r="CZ22" s="62">
        <f t="shared" si="42"/>
        <v>0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174.5</v>
      </c>
      <c r="O23" s="14">
        <f>N23*VLOOKUP('Données projet'!$B$9,Paramètres!$A$1:$I$89,3,0)*VLOOKUP('Données projet'!$B$9,Paramètres!$A$1:$I$89,5,0)</f>
        <v>97.545500000000004</v>
      </c>
      <c r="P23" s="14">
        <f t="shared" si="33"/>
        <v>26.376403711958911</v>
      </c>
      <c r="Q23" s="22">
        <f t="shared" si="2"/>
        <v>215.83064896499511</v>
      </c>
      <c r="R23" s="62">
        <f t="shared" si="0"/>
        <v>496.94176007610622</v>
      </c>
      <c r="S23" s="62">
        <f ca="1">AVERAGE(OFFSET($R$3,0,0,'Données projet'!$E$9+1,1))-AVERAGE(OFFSET($H$3,0,0,'Données projet'!$E$9+1,1))</f>
        <v>388.88381485322674</v>
      </c>
      <c r="T23" s="62">
        <f t="shared" si="34"/>
        <v>355.82695155276218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137</v>
      </c>
      <c r="AG23" s="13">
        <f>VLOOKUP(A23,'Données projet'!$A$61:$I$81,9,0)</f>
        <v>14.2</v>
      </c>
      <c r="AH23" s="13">
        <f t="array" ref="AH23">INDEX(AG:AG,MIN(IF(ISNUMBER(AG23:AG219),ROW(AG23:AG219),"")))</f>
        <v>14.2</v>
      </c>
      <c r="AI23" s="14">
        <f>IF('Données projet'!$A$62&gt;35,AI22+AH23-AQ22,IF(A23&lt;'Données projet'!$A$62,$AF$205^A23,IF(A23='Données projet'!$A$62,'Données projet'!$B$62,AI22+AH23-AQ22)))</f>
        <v>137</v>
      </c>
      <c r="AJ23" s="14">
        <f>AI23*VLOOKUP('Données projet'!$B$10,Paramètres!$A$1:$I$89,3,0)*VLOOKUP('Données projet'!$B$10,Paramètres!$A$1:$I$89,5,0)</f>
        <v>119.68320000000003</v>
      </c>
      <c r="AK23" s="14">
        <f t="shared" si="35"/>
        <v>31.601099532596194</v>
      </c>
      <c r="AL23" s="22">
        <f t="shared" si="4"/>
        <v>263.48682168593842</v>
      </c>
      <c r="AM23" s="62">
        <f t="shared" si="5"/>
        <v>544.59793279704957</v>
      </c>
      <c r="AN23" s="62">
        <f ca="1">AVERAGE(OFFSET($AM$3,0,0,'Données projet'!$E$10+1,1))-AVERAGE(OFFSET($H$3,0,0,'Données projet'!$E$10+1,1))</f>
        <v>321.62968871874483</v>
      </c>
      <c r="AO23" s="62">
        <f t="shared" si="36"/>
        <v>389.91636841473559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35.443399841768489</v>
      </c>
      <c r="AX23" s="23">
        <f t="shared" si="6"/>
        <v>35.443399841768489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101</v>
      </c>
      <c r="BB23" s="13">
        <f>VLOOKUP(A23,'Données projet'!$A$87:$I$107,9,0)</f>
        <v>13.6</v>
      </c>
      <c r="BC23" s="13">
        <f t="array" ref="BC23">INDEX(BB:BB,MIN(IF(ISNUMBER(BB23:BB219),ROW(BB23:BB219),"")))</f>
        <v>13.6</v>
      </c>
      <c r="BD23" s="13">
        <f>IF('Données projet'!$A$88&gt;35,BD22+BC23-BL22,IF(A23&lt;'Données projet'!$A$88,$BA$205^A23,IF(A23='Données projet'!$A$88,'Données projet'!$B$88,BD22+BC23-BL22)))</f>
        <v>100.99999999999999</v>
      </c>
      <c r="BE23" s="14">
        <f>BD23*VLOOKUP('Données projet'!$B$11,Paramètres!$A$1:$I$89,3,0)*VLOOKUP('Données projet'!$B$11,Paramètres!$A$1:$I$89,5,0)</f>
        <v>74.05319999999999</v>
      </c>
      <c r="BF23" s="14">
        <f t="shared" si="37"/>
        <v>20.676688885050559</v>
      </c>
      <c r="BG23" s="22">
        <f t="shared" si="7"/>
        <v>164.98788980812969</v>
      </c>
      <c r="BH23" s="62">
        <f t="shared" si="8"/>
        <v>446.09900091924084</v>
      </c>
      <c r="BI23" s="62">
        <f ca="1">AVERAGE(OFFSET($BH$3,0,0,'Données projet'!$E$11+1,1))-AVERAGE(OFFSET($H$3,0,0,'Données projet'!$E$11+1,1))</f>
        <v>327.81662150328646</v>
      </c>
      <c r="BJ23" s="62">
        <f t="shared" si="38"/>
        <v>320.24200483294322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122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121.99999999999999</v>
      </c>
      <c r="BZ23" s="14">
        <f>BY23*VLOOKUP('Données projet'!$B$12,Paramètres!$A$1:$I$89,3,0)*VLOOKUP('Données projet'!$B$12,Paramètres!$A$1:$I$89,5,0)</f>
        <v>66.611999999999995</v>
      </c>
      <c r="CA23" s="14">
        <f t="shared" si="39"/>
        <v>18.829683939536395</v>
      </c>
      <c r="CB23" s="22">
        <f t="shared" si="10"/>
        <v>148.81093286135922</v>
      </c>
      <c r="CC23" s="62">
        <f t="shared" si="11"/>
        <v>429.92204397247036</v>
      </c>
      <c r="CD23" s="62">
        <f ca="1">AVERAGE(OFFSET($CC$3,0,0,'Données projet'!$E$12+1,1))-AVERAGE(OFFSET($H$3,0,0,'Données projet'!$E$12+1,1))</f>
        <v>170.27677128684815</v>
      </c>
      <c r="CE23" s="62">
        <f t="shared" si="40"/>
        <v>243.47439640666289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24</v>
      </c>
      <c r="CH23" s="17">
        <f>IF(ISNA(VLOOKUP(A23,'Données projet'!$A$113:$I$133,5,0)),0%,VLOOKUP(A23,'Données projet'!$A$113:$I$133,5,0)*VLOOKUP('Données projet'!$B$12,Paramètres!$A$1:$I$89,7,0))</f>
        <v>0.12</v>
      </c>
      <c r="CI23" s="17">
        <f>IF(ISNA(VLOOKUP(A23,'Données projet'!$A$113:$I$133,6,0)),0%,VLOOKUP(A23,'Données projet'!$A$113:$I$133,6,0)*VLOOKUP('Données projet'!$B$12,Paramètres!$A$1:$I$89,7,0))</f>
        <v>0.48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2.0859960748895681</v>
      </c>
      <c r="CL23" s="23">
        <f>EXP(-LN(2)/25)*CL22+(1-EXP(-LN(2)/25))/(LN(2)/25)*Calculateur!CG23*Calculateur!CI23*VLOOKUP('Données projet'!$B$12,Paramètres!$A$1:$I$89,3,0)*0.475*44/12</f>
        <v>16.224696092568372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18.31069216745794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0</v>
      </c>
      <c r="CZ23" s="62">
        <f t="shared" si="42"/>
        <v>0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195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195</v>
      </c>
      <c r="O24" s="14">
        <f>N24*VLOOKUP('Données projet'!$B$9,Paramètres!$A$1:$I$89,3,0)*VLOOKUP('Données projet'!$B$9,Paramètres!$A$1:$I$89,5,0)</f>
        <v>109.005</v>
      </c>
      <c r="P24" s="14">
        <f t="shared" si="33"/>
        <v>29.09643097993688</v>
      </c>
      <c r="Q24" s="22">
        <f t="shared" si="2"/>
        <v>240.52665895672337</v>
      </c>
      <c r="R24" s="62">
        <f t="shared" si="0"/>
        <v>522.85999229005665</v>
      </c>
      <c r="S24" s="62">
        <f ca="1">AVERAGE(OFFSET($R$3,0,0,'Données projet'!$E$9+1,1))-AVERAGE(OFFSET($H$3,0,0,'Données projet'!$E$9+1,1))</f>
        <v>388.88381485322674</v>
      </c>
      <c r="T24" s="62">
        <f t="shared" si="34"/>
        <v>355.82695155276218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65</v>
      </c>
      <c r="W24" s="17">
        <f>IF(ISNA(VLOOKUP(A24,'Données projet'!$A$35:$I$55,5,0)),0%,VLOOKUP(A24,'Données projet'!$A$35:$I$55,5,0)*VLOOKUP('Données projet'!$B$9,Paramètres!$A$1:$I$89,7,0))</f>
        <v>0.22000000000000003</v>
      </c>
      <c r="X24" s="17">
        <f>IF(ISNA(VLOOKUP(A24,'Données projet'!$A$35:$I$55,6,0)),0%,VLOOKUP(A24,'Données projet'!$A$35:$I$55,6,0)*VLOOKUP('Données projet'!$B$9,Paramètres!$A$1:$I$89,7,0))</f>
        <v>0.16500000000000001</v>
      </c>
      <c r="Y24" s="17">
        <f>IF(ISNA(VLOOKUP(A24,'Données projet'!$A$35:$I$55,7,0)),0%,VLOOKUP(A24,'Données projet'!$A$35:$I$55,7,0))</f>
        <v>0.3</v>
      </c>
      <c r="Z24" s="23">
        <f>EXP(-LN(2)/35)*Z23+(1-EXP(-LN(2)/35))/(LN(2)/35)*V24*W24*VLOOKUP('Données projet'!$B$9,Paramètres!$A$1:$I$89,3,0)*0.475*44/12</f>
        <v>10.604158287447055</v>
      </c>
      <c r="AA24" s="23">
        <f>EXP(-LN(2)/25)*AA23+(1-EXP(-LN(2)/25))/(LN(2)/25)*Calculateur!V24*Calculateur!X24*VLOOKUP('Données projet'!$B$9,Paramètres!$A$1:$I$89,3,0)*0.475*44/12</f>
        <v>7.9218042568262215</v>
      </c>
      <c r="AB24" s="23">
        <f>EXP(-LN(2)/2)*AB23+(1-EXP(-LN(2)/2))/(LN(2)/2)*V24*Y24*VLOOKUP('Données projet'!$B$9,Paramètres!$A$1:$I$89,3,0)*0.475*44/12</f>
        <v>12.341898159187243</v>
      </c>
      <c r="AC24" s="24">
        <f t="shared" si="3"/>
        <v>30.867860703460522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13.8</v>
      </c>
      <c r="AI24" s="14">
        <f>IF('Données projet'!$A$62&gt;35,AI23+AH24-AQ23,IF(A24&lt;'Données projet'!$A$62,$AF$205^A24,IF(A24='Données projet'!$A$62,'Données projet'!$B$62,AI23+AH24-AQ23)))</f>
        <v>107.80000000000001</v>
      </c>
      <c r="AJ24" s="14">
        <f>AI24*VLOOKUP('Données projet'!$B$10,Paramètres!$A$1:$I$89,3,0)*VLOOKUP('Données projet'!$B$10,Paramètres!$A$1:$I$89,5,0)</f>
        <v>94.174080000000018</v>
      </c>
      <c r="AK24" s="14">
        <f t="shared" si="35"/>
        <v>25.569241067746205</v>
      </c>
      <c r="AL24" s="22">
        <f t="shared" si="4"/>
        <v>208.55295085965801</v>
      </c>
      <c r="AM24" s="62">
        <f t="shared" si="5"/>
        <v>490.8862841929913</v>
      </c>
      <c r="AN24" s="62">
        <f ca="1">AVERAGE(OFFSET($AM$3,0,0,'Données projet'!$E$10+1,1))-AVERAGE(OFFSET($H$3,0,0,'Données projet'!$E$10+1,1))</f>
        <v>321.62968871874483</v>
      </c>
      <c r="AO24" s="62">
        <f t="shared" si="36"/>
        <v>389.91636841473559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25.062268376420707</v>
      </c>
      <c r="AX24" s="23">
        <f t="shared" si="6"/>
        <v>25.062268376420707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80.799999999999983</v>
      </c>
      <c r="BE24" s="14">
        <f>BD24*VLOOKUP('Données projet'!$B$11,Paramètres!$A$1:$I$89,3,0)*VLOOKUP('Données projet'!$B$11,Paramètres!$A$1:$I$89,5,0)</f>
        <v>59.24255999999999</v>
      </c>
      <c r="BF24" s="14">
        <f t="shared" si="37"/>
        <v>16.976623048740109</v>
      </c>
      <c r="BG24" s="22">
        <f t="shared" si="7"/>
        <v>132.74841047655565</v>
      </c>
      <c r="BH24" s="62">
        <f t="shared" si="8"/>
        <v>415.08174380988896</v>
      </c>
      <c r="BI24" s="62">
        <f ca="1">AVERAGE(OFFSET($BH$3,0,0,'Données projet'!$E$11+1,1))-AVERAGE(OFFSET($H$3,0,0,'Données projet'!$E$11+1,1))</f>
        <v>327.81662150328646</v>
      </c>
      <c r="BJ24" s="62">
        <f t="shared" si="38"/>
        <v>320.24200483294322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108.6</v>
      </c>
      <c r="BZ24" s="14">
        <f>BY24*VLOOKUP('Données projet'!$B$12,Paramètres!$A$1:$I$89,3,0)*VLOOKUP('Données projet'!$B$12,Paramètres!$A$1:$I$89,5,0)</f>
        <v>59.295599999999993</v>
      </c>
      <c r="CA24" s="14">
        <f t="shared" si="39"/>
        <v>16.990052370780411</v>
      </c>
      <c r="CB24" s="22">
        <f t="shared" si="10"/>
        <v>132.86417787910921</v>
      </c>
      <c r="CC24" s="62">
        <f t="shared" si="11"/>
        <v>415.19751121244252</v>
      </c>
      <c r="CD24" s="62">
        <f ca="1">AVERAGE(OFFSET($CC$3,0,0,'Données projet'!$E$12+1,1))-AVERAGE(OFFSET($H$3,0,0,'Données projet'!$E$12+1,1))</f>
        <v>170.27677128684815</v>
      </c>
      <c r="CE24" s="62">
        <f t="shared" si="40"/>
        <v>243.47439640666289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2.0450909641929571</v>
      </c>
      <c r="CL24" s="23">
        <f>EXP(-LN(2)/25)*CL23+(1-EXP(-LN(2)/25))/(LN(2)/25)*Calculateur!CG24*Calculateur!CI24*VLOOKUP('Données projet'!$B$12,Paramètres!$A$1:$I$89,3,0)*0.475*44/12</f>
        <v>15.781030924697404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17.826121888890363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0</v>
      </c>
      <c r="CZ24" s="62">
        <f t="shared" si="42"/>
        <v>0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21.714285714285715</v>
      </c>
      <c r="N25" s="14">
        <f>IF('Données projet'!$A$36&gt;35,N24+M25-V24,IF(A25&lt;'Données projet'!$A$36,$K$205^A25,IF(A25='Données projet'!$A$36,'Données projet'!$B$36,N24+M25-V24)))</f>
        <v>151.71428571428572</v>
      </c>
      <c r="O25" s="14">
        <f>N25*VLOOKUP('Données projet'!$B$9,Paramètres!$A$1:$I$89,3,0)*VLOOKUP('Données projet'!$B$9,Paramètres!$A$1:$I$89,5,0)</f>
        <v>84.808285714285716</v>
      </c>
      <c r="P25" s="14">
        <f t="shared" si="33"/>
        <v>23.308811684868857</v>
      </c>
      <c r="Q25" s="22">
        <f t="shared" si="2"/>
        <v>188.30394463686085</v>
      </c>
      <c r="R25" s="62">
        <f t="shared" si="0"/>
        <v>471.85950019241636</v>
      </c>
      <c r="S25" s="62">
        <f ca="1">AVERAGE(OFFSET($R$3,0,0,'Données projet'!$E$9+1,1))-AVERAGE(OFFSET($H$3,0,0,'Données projet'!$E$9+1,1))</f>
        <v>388.88381485322674</v>
      </c>
      <c r="T25" s="62">
        <f t="shared" si="34"/>
        <v>355.82695155276218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10.396217211328121</v>
      </c>
      <c r="AA25" s="23">
        <f>EXP(-LN(2)/25)*AA24+(1-EXP(-LN(2)/25))/(LN(2)/25)*Calculateur!V25*Calculateur!X25*VLOOKUP('Données projet'!$B$9,Paramètres!$A$1:$I$89,3,0)*0.475*44/12</f>
        <v>7.705182102833728</v>
      </c>
      <c r="AB25" s="23">
        <f>EXP(-LN(2)/2)*AB24+(1-EXP(-LN(2)/2))/(LN(2)/2)*V25*Y25*VLOOKUP('Données projet'!$B$9,Paramètres!$A$1:$I$89,3,0)*0.475*44/12</f>
        <v>8.7270398810750685</v>
      </c>
      <c r="AC25" s="24">
        <f t="shared" si="3"/>
        <v>26.828439195236918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13.8</v>
      </c>
      <c r="AI25" s="14">
        <f>IF('Données projet'!$A$62&gt;35,AI24+AH25-AQ24,IF(A25&lt;'Données projet'!$A$62,$AF$205^A25,IF(A25='Données projet'!$A$62,'Données projet'!$B$62,AI24+AH25-AQ24)))</f>
        <v>121.60000000000001</v>
      </c>
      <c r="AJ25" s="14">
        <f>AI25*VLOOKUP('Données projet'!$B$10,Paramètres!$A$1:$I$89,3,0)*VLOOKUP('Données projet'!$B$10,Paramètres!$A$1:$I$89,5,0)</f>
        <v>106.22976000000003</v>
      </c>
      <c r="AK25" s="14">
        <f t="shared" si="35"/>
        <v>28.440891625171492</v>
      </c>
      <c r="AL25" s="22">
        <f t="shared" si="4"/>
        <v>234.55138491384039</v>
      </c>
      <c r="AM25" s="62">
        <f t="shared" si="5"/>
        <v>518.10694046939591</v>
      </c>
      <c r="AN25" s="62">
        <f ca="1">AVERAGE(OFFSET($AM$3,0,0,'Données projet'!$E$10+1,1))-AVERAGE(OFFSET($H$3,0,0,'Données projet'!$E$10+1,1))</f>
        <v>321.62968871874483</v>
      </c>
      <c r="AO25" s="62">
        <f t="shared" si="36"/>
        <v>389.91636841473559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17.721699920884248</v>
      </c>
      <c r="AX25" s="23">
        <f t="shared" si="6"/>
        <v>17.721699920884248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95.59999999999998</v>
      </c>
      <c r="BE25" s="14">
        <f>BD25*VLOOKUP('Données projet'!$B$11,Paramètres!$A$1:$I$89,3,0)*VLOOKUP('Données projet'!$B$11,Paramètres!$A$1:$I$89,5,0)</f>
        <v>70.093919999999983</v>
      </c>
      <c r="BF25" s="14">
        <f t="shared" si="37"/>
        <v>19.696779397153016</v>
      </c>
      <c r="BG25" s="22">
        <f t="shared" si="7"/>
        <v>156.3854681167081</v>
      </c>
      <c r="BH25" s="62">
        <f t="shared" si="8"/>
        <v>439.94102367226367</v>
      </c>
      <c r="BI25" s="62">
        <f ca="1">AVERAGE(OFFSET($BH$3,0,0,'Données projet'!$E$11+1,1))-AVERAGE(OFFSET($H$3,0,0,'Données projet'!$E$11+1,1))</f>
        <v>327.81662150328646</v>
      </c>
      <c r="BJ25" s="62">
        <f t="shared" si="38"/>
        <v>320.24200483294322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119.19999999999999</v>
      </c>
      <c r="BZ25" s="14">
        <f>BY25*VLOOKUP('Données projet'!$B$12,Paramètres!$A$1:$I$89,3,0)*VLOOKUP('Données projet'!$B$12,Paramètres!$A$1:$I$89,5,0)</f>
        <v>65.083199999999991</v>
      </c>
      <c r="CA25" s="14">
        <f t="shared" si="39"/>
        <v>18.447315830328332</v>
      </c>
      <c r="CB25" s="22">
        <f t="shared" si="10"/>
        <v>145.48231507115517</v>
      </c>
      <c r="CC25" s="62">
        <f t="shared" si="11"/>
        <v>429.03787062671074</v>
      </c>
      <c r="CD25" s="62">
        <f ca="1">AVERAGE(OFFSET($CC$3,0,0,'Données projet'!$E$12+1,1))-AVERAGE(OFFSET($H$3,0,0,'Données projet'!$E$12+1,1))</f>
        <v>170.27677128684815</v>
      </c>
      <c r="CE25" s="62">
        <f t="shared" si="40"/>
        <v>243.47439640666289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2.0049879777674526</v>
      </c>
      <c r="CL25" s="23">
        <f>EXP(-LN(2)/25)*CL24+(1-EXP(-LN(2)/25))/(LN(2)/25)*Calculateur!CG25*Calculateur!CI25*VLOOKUP('Données projet'!$B$12,Paramètres!$A$1:$I$89,3,0)*0.475*44/12</f>
        <v>15.349497804173206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17.35448578194066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0</v>
      </c>
      <c r="CZ25" s="62">
        <f t="shared" si="42"/>
        <v>0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21.714285714285715</v>
      </c>
      <c r="N26" s="14">
        <f>IF('Données projet'!$A$36&gt;35,N25+M26-V25,IF(A26&lt;'Données projet'!$A$36,$K$205^A26,IF(A26='Données projet'!$A$36,'Données projet'!$B$36,N25+M26-V25)))</f>
        <v>173.42857142857144</v>
      </c>
      <c r="O26" s="14">
        <f>N26*VLOOKUP('Données projet'!$B$9,Paramètres!$A$1:$I$89,3,0)*VLOOKUP('Données projet'!$B$9,Paramètres!$A$1:$I$89,5,0)</f>
        <v>96.946571428571445</v>
      </c>
      <c r="P26" s="14">
        <f t="shared" si="33"/>
        <v>26.233252640606789</v>
      </c>
      <c r="Q26" s="22">
        <f t="shared" si="2"/>
        <v>214.53819358715211</v>
      </c>
      <c r="R26" s="62">
        <f t="shared" si="0"/>
        <v>499.31597136492985</v>
      </c>
      <c r="S26" s="62">
        <f ca="1">AVERAGE(OFFSET($R$3,0,0,'Données projet'!$E$9+1,1))-AVERAGE(OFFSET($H$3,0,0,'Données projet'!$E$9+1,1))</f>
        <v>388.88381485322674</v>
      </c>
      <c r="T26" s="62">
        <f t="shared" si="34"/>
        <v>355.82695155276218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10.192353732880347</v>
      </c>
      <c r="AA26" s="23">
        <f>EXP(-LN(2)/25)*AA25+(1-EXP(-LN(2)/25))/(LN(2)/25)*Calculateur!V26*Calculateur!X26*VLOOKUP('Données projet'!$B$9,Paramètres!$A$1:$I$89,3,0)*0.475*44/12</f>
        <v>7.4944834930338233</v>
      </c>
      <c r="AB26" s="23">
        <f>EXP(-LN(2)/2)*AB25+(1-EXP(-LN(2)/2))/(LN(2)/2)*V26*Y26*VLOOKUP('Données projet'!$B$9,Paramètres!$A$1:$I$89,3,0)*0.475*44/12</f>
        <v>6.1709490795936226</v>
      </c>
      <c r="AC26" s="24">
        <f t="shared" si="3"/>
        <v>23.857786305507794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</v>
      </c>
      <c r="AI26" s="14">
        <f>IF('Données projet'!$A$62&gt;35,AI25+AH26-AQ25,IF(A26&lt;'Données projet'!$A$62,$AF$205^A26,IF(A26='Données projet'!$A$62,'Données projet'!$B$62,AI25+AH26-AQ25)))</f>
        <v>135.4</v>
      </c>
      <c r="AJ26" s="14">
        <f>AI26*VLOOKUP('Données projet'!$B$10,Paramètres!$A$1:$I$89,3,0)*VLOOKUP('Données projet'!$B$10,Paramètres!$A$1:$I$89,5,0)</f>
        <v>118.28544000000002</v>
      </c>
      <c r="AK26" s="14">
        <f t="shared" si="35"/>
        <v>31.274772013169596</v>
      </c>
      <c r="AL26" s="22">
        <f t="shared" si="4"/>
        <v>260.48403592293715</v>
      </c>
      <c r="AM26" s="62">
        <f t="shared" si="5"/>
        <v>545.26181370071492</v>
      </c>
      <c r="AN26" s="62">
        <f ca="1">AVERAGE(OFFSET($AM$3,0,0,'Données projet'!$E$10+1,1))-AVERAGE(OFFSET($H$3,0,0,'Données projet'!$E$10+1,1))</f>
        <v>321.62968871874483</v>
      </c>
      <c r="AO26" s="62">
        <f t="shared" si="36"/>
        <v>389.91636841473559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12.531134188210356</v>
      </c>
      <c r="AX26" s="23">
        <f t="shared" si="6"/>
        <v>12.531134188210356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110.39999999999998</v>
      </c>
      <c r="BE26" s="14">
        <f>BD26*VLOOKUP('Données projet'!$B$11,Paramètres!$A$1:$I$89,3,0)*VLOOKUP('Données projet'!$B$11,Paramètres!$A$1:$I$89,5,0)</f>
        <v>80.945279999999983</v>
      </c>
      <c r="BF26" s="14">
        <f t="shared" si="37"/>
        <v>22.368151754215862</v>
      </c>
      <c r="BG26" s="22">
        <f t="shared" si="7"/>
        <v>179.93756030525927</v>
      </c>
      <c r="BH26" s="62">
        <f t="shared" si="8"/>
        <v>464.71533808303707</v>
      </c>
      <c r="BI26" s="62">
        <f ca="1">AVERAGE(OFFSET($BH$3,0,0,'Données projet'!$E$11+1,1))-AVERAGE(OFFSET($H$3,0,0,'Données projet'!$E$11+1,1))</f>
        <v>327.81662150328646</v>
      </c>
      <c r="BJ26" s="62">
        <f t="shared" si="38"/>
        <v>320.24200483294322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129.79999999999998</v>
      </c>
      <c r="BZ26" s="14">
        <f>BY26*VLOOKUP('Données projet'!$B$12,Paramètres!$A$1:$I$89,3,0)*VLOOKUP('Données projet'!$B$12,Paramètres!$A$1:$I$89,5,0)</f>
        <v>70.870799999999988</v>
      </c>
      <c r="CA26" s="14">
        <f t="shared" si="39"/>
        <v>19.889552055326323</v>
      </c>
      <c r="CB26" s="22">
        <f t="shared" si="10"/>
        <v>158.07427982969332</v>
      </c>
      <c r="CC26" s="62">
        <f t="shared" si="11"/>
        <v>442.85205760747112</v>
      </c>
      <c r="CD26" s="62">
        <f ca="1">AVERAGE(OFFSET($CC$3,0,0,'Données projet'!$E$12+1,1))-AVERAGE(OFFSET($H$3,0,0,'Données projet'!$E$12+1,1))</f>
        <v>170.27677128684815</v>
      </c>
      <c r="CE26" s="62">
        <f t="shared" si="40"/>
        <v>243.47439640666289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1.9656713864453459</v>
      </c>
      <c r="CL26" s="23">
        <f>EXP(-LN(2)/25)*CL25+(1-EXP(-LN(2)/25))/(LN(2)/25)*Calculateur!CG26*Calculateur!CI26*VLOOKUP('Données projet'!$B$12,Paramètres!$A$1:$I$89,3,0)*0.475*44/12</f>
        <v>14.929764979523082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16.895436365968429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0</v>
      </c>
      <c r="CZ26" s="62">
        <f t="shared" si="42"/>
        <v>0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21.714285714285715</v>
      </c>
      <c r="N27" s="14">
        <f>IF('Données projet'!$A$36&gt;35,N26+M27-V26,IF(A27&lt;'Données projet'!$A$36,$K$205^A27,IF(A27='Données projet'!$A$36,'Données projet'!$B$36,N26+M27-V26)))</f>
        <v>195.14285714285717</v>
      </c>
      <c r="O27" s="14">
        <f>N27*VLOOKUP('Données projet'!$B$9,Paramètres!$A$1:$I$89,3,0)*VLOOKUP('Données projet'!$B$9,Paramètres!$A$1:$I$89,5,0)</f>
        <v>109.08485714285716</v>
      </c>
      <c r="P27" s="14">
        <f t="shared" si="33"/>
        <v>29.115265053579947</v>
      </c>
      <c r="Q27" s="22">
        <f t="shared" si="2"/>
        <v>240.69854615879464</v>
      </c>
      <c r="R27" s="62">
        <f t="shared" si="0"/>
        <v>526.69854615879467</v>
      </c>
      <c r="S27" s="62">
        <f ca="1">AVERAGE(OFFSET($R$3,0,0,'Données projet'!$E$9+1,1))-AVERAGE(OFFSET($H$3,0,0,'Données projet'!$E$9+1,1))</f>
        <v>388.88381485322674</v>
      </c>
      <c r="T27" s="62">
        <f t="shared" si="34"/>
        <v>355.82695155276218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9.9924878929004901</v>
      </c>
      <c r="AA27" s="23">
        <f>EXP(-LN(2)/25)*AA26+(1-EXP(-LN(2)/25))/(LN(2)/25)*Calculateur!V27*Calculateur!X27*VLOOKUP('Données projet'!$B$9,Paramètres!$A$1:$I$89,3,0)*0.475*44/12</f>
        <v>7.2895464477990553</v>
      </c>
      <c r="AB27" s="23">
        <f>EXP(-LN(2)/2)*AB26+(1-EXP(-LN(2)/2))/(LN(2)/2)*V27*Y27*VLOOKUP('Données projet'!$B$9,Paramètres!$A$1:$I$89,3,0)*0.475*44/12</f>
        <v>4.3635199405375351</v>
      </c>
      <c r="AC27" s="24">
        <f t="shared" si="3"/>
        <v>21.645554281237082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13.8</v>
      </c>
      <c r="AI27" s="14">
        <f>IF('Données projet'!$A$62&gt;35,AI26+AH27-AQ26,IF(A27&lt;'Données projet'!$A$62,$AF$205^A27,IF(A27='Données projet'!$A$62,'Données projet'!$B$62,AI26+AH27-AQ26)))</f>
        <v>149.20000000000002</v>
      </c>
      <c r="AJ27" s="14">
        <f>AI27*VLOOKUP('Données projet'!$B$10,Paramètres!$A$1:$I$89,3,0)*VLOOKUP('Données projet'!$B$10,Paramètres!$A$1:$I$89,5,0)</f>
        <v>130.34112000000005</v>
      </c>
      <c r="AK27" s="14">
        <f t="shared" si="35"/>
        <v>34.075170122989917</v>
      </c>
      <c r="AL27" s="22">
        <f t="shared" si="4"/>
        <v>286.35837196420749</v>
      </c>
      <c r="AM27" s="62">
        <f t="shared" si="5"/>
        <v>572.35837196420744</v>
      </c>
      <c r="AN27" s="62">
        <f ca="1">AVERAGE(OFFSET($AM$3,0,0,'Données projet'!$E$10+1,1))-AVERAGE(OFFSET($H$3,0,0,'Données projet'!$E$10+1,1))</f>
        <v>321.62968871874483</v>
      </c>
      <c r="AO27" s="62">
        <f t="shared" si="36"/>
        <v>389.91636841473559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8.8608499604421258</v>
      </c>
      <c r="AX27" s="23">
        <f t="shared" si="6"/>
        <v>8.8608499604421258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125.19999999999997</v>
      </c>
      <c r="BE27" s="14">
        <f>BD27*VLOOKUP('Données projet'!$B$11,Paramètres!$A$1:$I$89,3,0)*VLOOKUP('Données projet'!$B$11,Paramètres!$A$1:$I$89,5,0)</f>
        <v>91.796639999999982</v>
      </c>
      <c r="BF27" s="14">
        <f t="shared" si="37"/>
        <v>24.99803157268865</v>
      </c>
      <c r="BG27" s="22">
        <f t="shared" si="7"/>
        <v>203.41738632243269</v>
      </c>
      <c r="BH27" s="62">
        <f t="shared" si="8"/>
        <v>489.41738632243266</v>
      </c>
      <c r="BI27" s="62">
        <f ca="1">AVERAGE(OFFSET($BH$3,0,0,'Données projet'!$E$11+1,1))-AVERAGE(OFFSET($H$3,0,0,'Données projet'!$E$11+1,1))</f>
        <v>327.81662150328646</v>
      </c>
      <c r="BJ27" s="62">
        <f t="shared" si="38"/>
        <v>320.24200483294322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140.39999999999998</v>
      </c>
      <c r="BZ27" s="14">
        <f>BY27*VLOOKUP('Données projet'!$B$12,Paramètres!$A$1:$I$89,3,0)*VLOOKUP('Données projet'!$B$12,Paramètres!$A$1:$I$89,5,0)</f>
        <v>76.658399999999986</v>
      </c>
      <c r="CA27" s="14">
        <f t="shared" si="39"/>
        <v>21.318127749842347</v>
      </c>
      <c r="CB27" s="22">
        <f t="shared" si="10"/>
        <v>170.64245249764204</v>
      </c>
      <c r="CC27" s="62">
        <f t="shared" si="11"/>
        <v>456.64245249764201</v>
      </c>
      <c r="CD27" s="62">
        <f ca="1">AVERAGE(OFFSET($CC$3,0,0,'Données projet'!$E$12+1,1))-AVERAGE(OFFSET($H$3,0,0,'Données projet'!$E$12+1,1))</f>
        <v>170.27677128684815</v>
      </c>
      <c r="CE27" s="62">
        <f t="shared" si="40"/>
        <v>243.47439640666289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1.9271257694983128</v>
      </c>
      <c r="CL27" s="23">
        <f>EXP(-LN(2)/25)*CL26+(1-EXP(-LN(2)/25))/(LN(2)/25)*Calculateur!CG27*Calculateur!CI27*VLOOKUP('Données projet'!$B$12,Paramètres!$A$1:$I$89,3,0)*0.475*44/12</f>
        <v>14.521509771035806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16.44863554053412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0</v>
      </c>
      <c r="CZ27" s="62">
        <f t="shared" si="42"/>
        <v>0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21.714285714285715</v>
      </c>
      <c r="N28" s="14">
        <f>IF('Données projet'!$A$36&gt;35,N27+M28-V27,IF(A28&lt;'Données projet'!$A$36,$K$205^A28,IF(A28='Données projet'!$A$36,'Données projet'!$B$36,N27+M28-V27)))</f>
        <v>216.85714285714289</v>
      </c>
      <c r="O28" s="14">
        <f>N28*VLOOKUP('Données projet'!$B$9,Paramètres!$A$1:$I$89,3,0)*VLOOKUP('Données projet'!$B$9,Paramètres!$A$1:$I$89,5,0)</f>
        <v>121.22314285714288</v>
      </c>
      <c r="P28" s="14">
        <f t="shared" si="33"/>
        <v>31.960108683917774</v>
      </c>
      <c r="Q28" s="22">
        <f t="shared" si="2"/>
        <v>266.79416310068058</v>
      </c>
      <c r="R28" s="62">
        <f t="shared" si="0"/>
        <v>554.01638532290281</v>
      </c>
      <c r="S28" s="62">
        <f ca="1">AVERAGE(OFFSET($R$3,0,0,'Données projet'!$E$9+1,1))-AVERAGE(OFFSET($H$3,0,0,'Données projet'!$E$9+1,1))</f>
        <v>388.88381485322674</v>
      </c>
      <c r="T28" s="62">
        <f t="shared" si="34"/>
        <v>355.82695155276218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9.7965413001365125</v>
      </c>
      <c r="AA28" s="23">
        <f>EXP(-LN(2)/25)*AA27+(1-EXP(-LN(2)/25))/(LN(2)/25)*Calculateur!V28*Calculateur!X28*VLOOKUP('Données projet'!$B$9,Paramètres!$A$1:$I$89,3,0)*0.475*44/12</f>
        <v>7.0902134168434028</v>
      </c>
      <c r="AB28" s="23">
        <f>EXP(-LN(2)/2)*AB27+(1-EXP(-LN(2)/2))/(LN(2)/2)*V28*Y28*VLOOKUP('Données projet'!$B$9,Paramètres!$A$1:$I$89,3,0)*0.475*44/12</f>
        <v>3.0854745397968117</v>
      </c>
      <c r="AC28" s="24">
        <f t="shared" si="3"/>
        <v>19.972229256776728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163</v>
      </c>
      <c r="AG28" s="13">
        <f>VLOOKUP(A28,'Données projet'!$A$61:$I$81,9,0)</f>
        <v>13.8</v>
      </c>
      <c r="AH28" s="13">
        <f t="array" ref="AH28">INDEX(AG:AG,MIN(IF(ISNUMBER(AG28:AG224),ROW(AG28:AG224),"")))</f>
        <v>13.8</v>
      </c>
      <c r="AI28" s="14">
        <f>IF('Données projet'!$A$62&gt;35,AI27+AH28-AQ27,IF(A28&lt;'Données projet'!$A$62,$AF$205^A28,IF(A28='Données projet'!$A$62,'Données projet'!$B$62,AI27+AH28-AQ27)))</f>
        <v>163.00000000000003</v>
      </c>
      <c r="AJ28" s="14">
        <f>AI28*VLOOKUP('Données projet'!$B$10,Paramètres!$A$1:$I$89,3,0)*VLOOKUP('Données projet'!$B$10,Paramètres!$A$1:$I$89,5,0)</f>
        <v>142.39680000000004</v>
      </c>
      <c r="AK28" s="14">
        <f t="shared" si="35"/>
        <v>36.845535084476985</v>
      </c>
      <c r="AL28" s="22">
        <f t="shared" si="4"/>
        <v>312.18040027213078</v>
      </c>
      <c r="AM28" s="62">
        <f t="shared" si="5"/>
        <v>599.40262249435295</v>
      </c>
      <c r="AN28" s="62">
        <f ca="1">AVERAGE(OFFSET($AM$3,0,0,'Données projet'!$E$10+1,1))-AVERAGE(OFFSET($H$3,0,0,'Données projet'!$E$10+1,1))</f>
        <v>321.62968871874483</v>
      </c>
      <c r="AO28" s="62">
        <f t="shared" si="36"/>
        <v>389.91636841473559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42.533232048472939</v>
      </c>
      <c r="AX28" s="23">
        <f t="shared" si="6"/>
        <v>42.533232048472939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139.99999999999997</v>
      </c>
      <c r="BE28" s="14">
        <f>BD28*VLOOKUP('Données projet'!$B$11,Paramètres!$A$1:$I$89,3,0)*VLOOKUP('Données projet'!$B$11,Paramètres!$A$1:$I$89,5,0)</f>
        <v>102.64799999999998</v>
      </c>
      <c r="BF28" s="14">
        <f t="shared" si="37"/>
        <v>27.591884256813046</v>
      </c>
      <c r="BG28" s="22">
        <f t="shared" si="7"/>
        <v>226.83446508061596</v>
      </c>
      <c r="BH28" s="62">
        <f t="shared" si="8"/>
        <v>514.05668730283821</v>
      </c>
      <c r="BI28" s="62">
        <f ca="1">AVERAGE(OFFSET($BH$3,0,0,'Données projet'!$E$11+1,1))-AVERAGE(OFFSET($H$3,0,0,'Données projet'!$E$11+1,1))</f>
        <v>327.81662150328646</v>
      </c>
      <c r="BJ28" s="62">
        <f t="shared" si="38"/>
        <v>320.24200483294322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12.106393841301736</v>
      </c>
      <c r="BS28" s="24">
        <f t="shared" si="9"/>
        <v>12.106393841301736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151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150.99999999999997</v>
      </c>
      <c r="BZ28" s="14">
        <f>BY28*VLOOKUP('Données projet'!$B$12,Paramètres!$A$1:$I$89,3,0)*VLOOKUP('Données projet'!$B$12,Paramètres!$A$1:$I$89,5,0)</f>
        <v>82.445999999999984</v>
      </c>
      <c r="CA28" s="14">
        <f t="shared" si="39"/>
        <v>22.734191534864372</v>
      </c>
      <c r="CB28" s="22">
        <f t="shared" si="10"/>
        <v>183.18883358988873</v>
      </c>
      <c r="CC28" s="62">
        <f t="shared" si="11"/>
        <v>470.41105581211093</v>
      </c>
      <c r="CD28" s="62">
        <f ca="1">AVERAGE(OFFSET($CC$3,0,0,'Données projet'!$E$12+1,1))-AVERAGE(OFFSET($H$3,0,0,'Données projet'!$E$12+1,1))</f>
        <v>170.27677128684815</v>
      </c>
      <c r="CE28" s="62">
        <f t="shared" si="40"/>
        <v>243.47439640666289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22</v>
      </c>
      <c r="CH28" s="17">
        <f>IF(ISNA(VLOOKUP(A28,'Données projet'!$A$113:$I$133,5,0)),0%,VLOOKUP(A28,'Données projet'!$A$113:$I$133,5,0)*VLOOKUP('Données projet'!$B$12,Paramètres!$A$1:$I$89,7,0))</f>
        <v>0.18</v>
      </c>
      <c r="CI28" s="17">
        <f>IF(ISNA(VLOOKUP(A28,'Données projet'!$A$113:$I$133,6,0)),0%,VLOOKUP(A28,'Données projet'!$A$113:$I$133,6,0)*VLOOKUP('Données projet'!$B$12,Paramètres!$A$1:$I$89,7,0))</f>
        <v>0.42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4.7575806115622621</v>
      </c>
      <c r="CL28" s="23">
        <f>EXP(-LN(2)/25)*CL27+(1-EXP(-LN(2)/25))/(LN(2)/25)*Calculateur!CG28*Calculateur!CI28*VLOOKUP('Données projet'!$B$12,Paramètres!$A$1:$I$89,3,0)*0.475*44/12</f>
        <v>20.790637861890701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25.548218473452962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0</v>
      </c>
      <c r="CZ28" s="62">
        <f t="shared" si="42"/>
        <v>0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21.714285714285715</v>
      </c>
      <c r="N29" s="14">
        <f>IF('Données projet'!$A$36&gt;35,N28+M29-V28,IF(A29&lt;'Données projet'!$A$36,$K$205^A29,IF(A29='Données projet'!$A$36,'Données projet'!$B$36,N28+M29-V28)))</f>
        <v>238.57142857142861</v>
      </c>
      <c r="O29" s="14">
        <f>N29*VLOOKUP('Données projet'!$B$9,Paramètres!$A$1:$I$89,3,0)*VLOOKUP('Données projet'!$B$9,Paramètres!$A$1:$I$89,5,0)</f>
        <v>133.3614285714286</v>
      </c>
      <c r="P29" s="14">
        <f t="shared" si="33"/>
        <v>34.771928991132334</v>
      </c>
      <c r="Q29" s="22">
        <f t="shared" si="2"/>
        <v>292.83226442146031</v>
      </c>
      <c r="R29" s="62">
        <f t="shared" si="0"/>
        <v>581.27670886590477</v>
      </c>
      <c r="S29" s="62">
        <f ca="1">AVERAGE(OFFSET($R$3,0,0,'Données projet'!$E$9+1,1))-AVERAGE(OFFSET($H$3,0,0,'Données projet'!$E$9+1,1))</f>
        <v>388.88381485322674</v>
      </c>
      <c r="T29" s="62">
        <f t="shared" si="34"/>
        <v>355.82695155276218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9.6044371005410163</v>
      </c>
      <c r="AA29" s="23">
        <f>EXP(-LN(2)/25)*AA28+(1-EXP(-LN(2)/25))/(LN(2)/25)*Calculateur!V29*Calculateur!X29*VLOOKUP('Données projet'!$B$9,Paramètres!$A$1:$I$89,3,0)*0.475*44/12</f>
        <v>6.8963311581017015</v>
      </c>
      <c r="AB29" s="23">
        <f>EXP(-LN(2)/2)*AB28+(1-EXP(-LN(2)/2))/(LN(2)/2)*V29*Y29*VLOOKUP('Données projet'!$B$9,Paramètres!$A$1:$I$89,3,0)*0.475*44/12</f>
        <v>2.1817599702687676</v>
      </c>
      <c r="AC29" s="24">
        <f t="shared" si="3"/>
        <v>18.682528228911487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13.2</v>
      </c>
      <c r="AI29" s="14">
        <f>IF('Données projet'!$A$62&gt;35,AI28+AH29-AQ28,IF(A29&lt;'Données projet'!$A$62,$AF$205^A29,IF(A29='Données projet'!$A$62,'Données projet'!$B$62,AI28+AH29-AQ28)))</f>
        <v>132.20000000000002</v>
      </c>
      <c r="AJ29" s="14">
        <f>AI29*VLOOKUP('Données projet'!$B$10,Paramètres!$A$1:$I$89,3,0)*VLOOKUP('Données projet'!$B$10,Paramètres!$A$1:$I$89,5,0)</f>
        <v>115.48992000000003</v>
      </c>
      <c r="AK29" s="14">
        <f t="shared" si="35"/>
        <v>30.620763442598491</v>
      </c>
      <c r="AL29" s="22">
        <f t="shared" si="4"/>
        <v>254.47610699585906</v>
      </c>
      <c r="AM29" s="62">
        <f t="shared" si="5"/>
        <v>542.92055144030348</v>
      </c>
      <c r="AN29" s="62">
        <f ca="1">AVERAGE(OFFSET($AM$3,0,0,'Données projet'!$E$10+1,1))-AVERAGE(OFFSET($H$3,0,0,'Données projet'!$E$10+1,1))</f>
        <v>321.62968871874483</v>
      </c>
      <c r="AO29" s="62">
        <f t="shared" si="36"/>
        <v>389.91636841473559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30.075536807256206</v>
      </c>
      <c r="AX29" s="23">
        <f t="shared" si="6"/>
        <v>30.075536807256206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119.19999999999996</v>
      </c>
      <c r="BE29" s="14">
        <f>BD29*VLOOKUP('Données projet'!$B$11,Paramètres!$A$1:$I$89,3,0)*VLOOKUP('Données projet'!$B$11,Paramètres!$A$1:$I$89,5,0)</f>
        <v>87.397439999999975</v>
      </c>
      <c r="BF29" s="14">
        <f t="shared" si="37"/>
        <v>23.936482276928594</v>
      </c>
      <c r="BG29" s="22">
        <f t="shared" si="7"/>
        <v>193.90658129898392</v>
      </c>
      <c r="BH29" s="62">
        <f t="shared" si="8"/>
        <v>482.35102574342841</v>
      </c>
      <c r="BI29" s="62">
        <f ca="1">AVERAGE(OFFSET($BH$3,0,0,'Données projet'!$E$11+1,1))-AVERAGE(OFFSET($H$3,0,0,'Données projet'!$E$11+1,1))</f>
        <v>327.81662150328646</v>
      </c>
      <c r="BJ29" s="62">
        <f t="shared" si="38"/>
        <v>320.24200483294322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8.5605131808995143</v>
      </c>
      <c r="BS29" s="24">
        <f t="shared" si="9"/>
        <v>8.5605131808995143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8.4</v>
      </c>
      <c r="BY29" s="13">
        <f>IF('Données projet'!$A$114&gt;35,BY28+BX29-CG28,IF(A29&lt;'Données projet'!$A$114,$BV$205^A29,IF(A29='Données projet'!$A$114,'Données projet'!$B$114,BY28+BX29-CG28)))</f>
        <v>137.39999999999998</v>
      </c>
      <c r="BZ29" s="14">
        <f>BY29*VLOOKUP('Données projet'!$B$12,Paramètres!$A$1:$I$89,3,0)*VLOOKUP('Données projet'!$B$12,Paramètres!$A$1:$I$89,5,0)</f>
        <v>75.020399999999995</v>
      </c>
      <c r="CA29" s="14">
        <f t="shared" si="39"/>
        <v>20.91512964718104</v>
      </c>
      <c r="CB29" s="22">
        <f t="shared" si="10"/>
        <v>167.08771413550696</v>
      </c>
      <c r="CC29" s="62">
        <f t="shared" si="11"/>
        <v>455.53215857995144</v>
      </c>
      <c r="CD29" s="62">
        <f ca="1">AVERAGE(OFFSET($CC$3,0,0,'Données projet'!$E$12+1,1))-AVERAGE(OFFSET($H$3,0,0,'Données projet'!$E$12+1,1))</f>
        <v>170.27677128684815</v>
      </c>
      <c r="CE29" s="62">
        <f t="shared" si="40"/>
        <v>243.47439640666289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4.6642873576071668</v>
      </c>
      <c r="CL29" s="23">
        <f>EXP(-LN(2)/25)*CL28+(1-EXP(-LN(2)/25))/(LN(2)/25)*Calculateur!CG29*Calculateur!CI29*VLOOKUP('Données projet'!$B$12,Paramètres!$A$1:$I$89,3,0)*0.475*44/12</f>
        <v>20.222116776225171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24.886404133832336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0</v>
      </c>
      <c r="CZ29" s="62">
        <f t="shared" si="42"/>
        <v>0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21.714285714285715</v>
      </c>
      <c r="N30" s="14">
        <f>IF('Données projet'!$A$36&gt;35,N29+M30-V29,IF(A30&lt;'Données projet'!$A$36,$K$205^A30,IF(A30='Données projet'!$A$36,'Données projet'!$B$36,N29+M30-V29)))</f>
        <v>260.28571428571433</v>
      </c>
      <c r="O30" s="14">
        <f>N30*VLOOKUP('Données projet'!$B$9,Paramètres!$A$1:$I$89,3,0)*VLOOKUP('Données projet'!$B$9,Paramètres!$A$1:$I$89,5,0)</f>
        <v>145.49971428571433</v>
      </c>
      <c r="P30" s="14">
        <f t="shared" si="33"/>
        <v>37.554073525433814</v>
      </c>
      <c r="Q30" s="22">
        <f t="shared" si="2"/>
        <v>318.81868043774966</v>
      </c>
      <c r="R30" s="62">
        <f t="shared" si="0"/>
        <v>608.48534710441641</v>
      </c>
      <c r="S30" s="62">
        <f ca="1">AVERAGE(OFFSET($R$3,0,0,'Données projet'!$E$9+1,1))-AVERAGE(OFFSET($H$3,0,0,'Données projet'!$E$9+1,1))</f>
        <v>388.88381485322674</v>
      </c>
      <c r="T30" s="62">
        <f t="shared" si="34"/>
        <v>355.82695155276218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9.4160999471275968</v>
      </c>
      <c r="AA30" s="23">
        <f>EXP(-LN(2)/25)*AA29+(1-EXP(-LN(2)/25))/(LN(2)/25)*Calculateur!V30*Calculateur!X30*VLOOKUP('Données projet'!$B$9,Paramètres!$A$1:$I$89,3,0)*0.475*44/12</f>
        <v>6.707750619921117</v>
      </c>
      <c r="AB30" s="23">
        <f>EXP(-LN(2)/2)*AB29+(1-EXP(-LN(2)/2))/(LN(2)/2)*V30*Y30*VLOOKUP('Données projet'!$B$9,Paramètres!$A$1:$I$89,3,0)*0.475*44/12</f>
        <v>1.5427372698984059</v>
      </c>
      <c r="AC30" s="24">
        <f t="shared" si="3"/>
        <v>17.666587836947119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13.2</v>
      </c>
      <c r="AI30" s="14">
        <f>IF('Données projet'!$A$62&gt;35,AI29+AH30-AQ29,IF(A30&lt;'Données projet'!$A$62,$AF$205^A30,IF(A30='Données projet'!$A$62,'Données projet'!$B$62,AI29+AH30-AQ29)))</f>
        <v>145.4</v>
      </c>
      <c r="AJ30" s="14">
        <f>AI30*VLOOKUP('Données projet'!$B$10,Paramètres!$A$1:$I$89,3,0)*VLOOKUP('Données projet'!$B$10,Paramètres!$A$1:$I$89,5,0)</f>
        <v>127.02144000000001</v>
      </c>
      <c r="AK30" s="14">
        <f t="shared" si="35"/>
        <v>33.30717587066443</v>
      </c>
      <c r="AL30" s="22">
        <f t="shared" si="4"/>
        <v>279.23900597474056</v>
      </c>
      <c r="AM30" s="62">
        <f t="shared" si="5"/>
        <v>568.90567264140725</v>
      </c>
      <c r="AN30" s="62">
        <f ca="1">AVERAGE(OFFSET($AM$3,0,0,'Données projet'!$E$10+1,1))-AVERAGE(OFFSET($H$3,0,0,'Données projet'!$E$10+1,1))</f>
        <v>321.62968871874483</v>
      </c>
      <c r="AO30" s="62">
        <f t="shared" si="36"/>
        <v>389.91636841473559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21.266616024236473</v>
      </c>
      <c r="AX30" s="23">
        <f t="shared" si="6"/>
        <v>21.266616024236473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133.39999999999995</v>
      </c>
      <c r="BE30" s="14">
        <f>BD30*VLOOKUP('Données projet'!$B$11,Paramètres!$A$1:$I$89,3,0)*VLOOKUP('Données projet'!$B$11,Paramètres!$A$1:$I$89,5,0)</f>
        <v>97.808879999999959</v>
      </c>
      <c r="BF30" s="14">
        <f t="shared" si="37"/>
        <v>26.439322255227292</v>
      </c>
      <c r="BG30" s="22">
        <f t="shared" si="7"/>
        <v>216.39895226118747</v>
      </c>
      <c r="BH30" s="62">
        <f t="shared" si="8"/>
        <v>506.06561892785419</v>
      </c>
      <c r="BI30" s="62">
        <f ca="1">AVERAGE(OFFSET($BH$3,0,0,'Données projet'!$E$11+1,1))-AVERAGE(OFFSET($H$3,0,0,'Données projet'!$E$11+1,1))</f>
        <v>327.81662150328646</v>
      </c>
      <c r="BJ30" s="62">
        <f t="shared" si="38"/>
        <v>320.24200483294322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6.0531969206508691</v>
      </c>
      <c r="BS30" s="24">
        <f t="shared" si="9"/>
        <v>6.0531969206508691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8.4</v>
      </c>
      <c r="BY30" s="13">
        <f>IF('Données projet'!$A$114&gt;35,BY29+BX30-CG29,IF(A30&lt;'Données projet'!$A$114,$BV$205^A30,IF(A30='Données projet'!$A$114,'Données projet'!$B$114,BY29+BX30-CG29)))</f>
        <v>145.79999999999998</v>
      </c>
      <c r="BZ30" s="14">
        <f>BY30*VLOOKUP('Données projet'!$B$12,Paramètres!$A$1:$I$89,3,0)*VLOOKUP('Données projet'!$B$12,Paramètres!$A$1:$I$89,5,0)</f>
        <v>79.606799999999993</v>
      </c>
      <c r="CA30" s="14">
        <f t="shared" si="39"/>
        <v>22.041017133124218</v>
      </c>
      <c r="CB30" s="22">
        <f t="shared" si="10"/>
        <v>177.03661484019131</v>
      </c>
      <c r="CC30" s="62">
        <f t="shared" si="11"/>
        <v>466.70328150685799</v>
      </c>
      <c r="CD30" s="62">
        <f ca="1">AVERAGE(OFFSET($CC$3,0,0,'Données projet'!$E$12+1,1))-AVERAGE(OFFSET($H$3,0,0,'Données projet'!$E$12+1,1))</f>
        <v>170.27677128684815</v>
      </c>
      <c r="CE30" s="62">
        <f t="shared" si="40"/>
        <v>243.47439640666289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4.5728235274588647</v>
      </c>
      <c r="CL30" s="23">
        <f>EXP(-LN(2)/25)*CL29+(1-EXP(-LN(2)/25))/(LN(2)/25)*Calculateur!CG30*Calculateur!CI30*VLOOKUP('Données projet'!$B$12,Paramètres!$A$1:$I$89,3,0)*0.475*44/12</f>
        <v>19.669141929544391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24.241965457003257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0</v>
      </c>
      <c r="CZ30" s="62">
        <f t="shared" si="42"/>
        <v>0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282</v>
      </c>
      <c r="L31" s="13">
        <f>VLOOKUP(A31,'Données projet'!$A$35:$I$55,9,0)</f>
        <v>21.714285714285715</v>
      </c>
      <c r="M31" s="13">
        <f t="array" ref="M31">INDEX(L:L,MIN(IF(ISNUMBER(L31:L227),ROW(L31:L227),"")))</f>
        <v>21.714285714285715</v>
      </c>
      <c r="N31" s="14">
        <f>IF('Données projet'!$A$36&gt;35,N30+M31-V30,IF(A31&lt;'Données projet'!$A$36,$K$205^A31,IF(A31='Données projet'!$A$36,'Données projet'!$B$36,N30+M31-V30)))</f>
        <v>282.00000000000006</v>
      </c>
      <c r="O31" s="14">
        <f>N31*VLOOKUP('Données projet'!$B$9,Paramètres!$A$1:$I$89,3,0)*VLOOKUP('Données projet'!$B$9,Paramètres!$A$1:$I$89,5,0)</f>
        <v>157.63800000000003</v>
      </c>
      <c r="P31" s="14">
        <f t="shared" si="33"/>
        <v>40.30929944743464</v>
      </c>
      <c r="Q31" s="22">
        <f t="shared" si="2"/>
        <v>344.75821320428196</v>
      </c>
      <c r="R31" s="62">
        <f t="shared" si="0"/>
        <v>635.64710209317082</v>
      </c>
      <c r="S31" s="62">
        <f ca="1">AVERAGE(OFFSET($R$3,0,0,'Données projet'!$E$9+1,1))-AVERAGE(OFFSET($H$3,0,0,'Données projet'!$E$9+1,1))</f>
        <v>388.88381485322674</v>
      </c>
      <c r="T31" s="62">
        <f t="shared" si="34"/>
        <v>355.82695155276218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68</v>
      </c>
      <c r="W31" s="17">
        <f>IF(ISNA(VLOOKUP(A31,'Données projet'!$A$35:$I$55,5,0)),0%,VLOOKUP(A31,'Données projet'!$A$35:$I$55,5,0)*VLOOKUP('Données projet'!$B$9,Paramètres!$A$1:$I$89,7,0))</f>
        <v>0.27500000000000002</v>
      </c>
      <c r="X31" s="17">
        <f>IF(ISNA(VLOOKUP(A31,'Données projet'!$A$35:$I$55,6,0)),0%,VLOOKUP(A31,'Données projet'!$A$35:$I$55,6,0)*VLOOKUP('Données projet'!$B$9,Paramètres!$A$1:$I$89,7,0))</f>
        <v>0.16500000000000001</v>
      </c>
      <c r="Y31" s="17">
        <f>IF(ISNA(VLOOKUP(A31,'Données projet'!$A$35:$I$55,7,0)),0%,VLOOKUP(A31,'Données projet'!$A$35:$I$55,7,0))</f>
        <v>0.2</v>
      </c>
      <c r="Z31" s="23">
        <f>EXP(-LN(2)/35)*Z30+(1-EXP(-LN(2)/35))/(LN(2)/35)*V31*W31*VLOOKUP('Données projet'!$B$9,Paramètres!$A$1:$I$89,3,0)*0.475*44/12</f>
        <v>23.09843219246444</v>
      </c>
      <c r="AA31" s="23">
        <f>EXP(-LN(2)/25)*AA30+(1-EXP(-LN(2)/25))/(LN(2)/25)*Calculateur!V31*Calculateur!X31*VLOOKUP('Données projet'!$B$9,Paramètres!$A$1:$I$89,3,0)*0.475*44/12</f>
        <v>14.811752818230763</v>
      </c>
      <c r="AB31" s="23">
        <f>EXP(-LN(2)/2)*AB30+(1-EXP(-LN(2)/2))/(LN(2)/2)*V31*Y31*VLOOKUP('Données projet'!$B$9,Paramètres!$A$1:$I$89,3,0)*0.475*44/12</f>
        <v>9.6985628038495904</v>
      </c>
      <c r="AC31" s="24">
        <f t="shared" si="3"/>
        <v>47.608747814544792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13.2</v>
      </c>
      <c r="AI31" s="14">
        <f>IF('Données projet'!$A$62&gt;35,AI30+AH31-AQ30,IF(A31&lt;'Données projet'!$A$62,$AF$205^A31,IF(A31='Données projet'!$A$62,'Données projet'!$B$62,AI30+AH31-AQ30)))</f>
        <v>158.6</v>
      </c>
      <c r="AJ31" s="14">
        <f>AI31*VLOOKUP('Données projet'!$B$10,Paramètres!$A$1:$I$89,3,0)*VLOOKUP('Données projet'!$B$10,Paramètres!$A$1:$I$89,5,0)</f>
        <v>138.55296000000001</v>
      </c>
      <c r="AK31" s="14">
        <f t="shared" si="35"/>
        <v>35.965308766301796</v>
      </c>
      <c r="AL31" s="22">
        <f t="shared" si="4"/>
        <v>303.95265143464229</v>
      </c>
      <c r="AM31" s="62">
        <f t="shared" si="5"/>
        <v>594.84154032353115</v>
      </c>
      <c r="AN31" s="62">
        <f ca="1">AVERAGE(OFFSET($AM$3,0,0,'Données projet'!$E$10+1,1))-AVERAGE(OFFSET($H$3,0,0,'Données projet'!$E$10+1,1))</f>
        <v>321.62968871874483</v>
      </c>
      <c r="AO31" s="62">
        <f t="shared" si="36"/>
        <v>389.91636841473559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15.037768403628107</v>
      </c>
      <c r="AX31" s="23">
        <f t="shared" si="6"/>
        <v>15.037768403628107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147.59999999999994</v>
      </c>
      <c r="BE31" s="14">
        <f>BD31*VLOOKUP('Données projet'!$B$11,Paramètres!$A$1:$I$89,3,0)*VLOOKUP('Données projet'!$B$11,Paramètres!$A$1:$I$89,5,0)</f>
        <v>108.22031999999996</v>
      </c>
      <c r="BF31" s="14">
        <f t="shared" si="37"/>
        <v>28.911280861653452</v>
      </c>
      <c r="BG31" s="22">
        <f t="shared" si="7"/>
        <v>238.83753816737965</v>
      </c>
      <c r="BH31" s="62">
        <f t="shared" si="8"/>
        <v>529.72642705626845</v>
      </c>
      <c r="BI31" s="62">
        <f ca="1">AVERAGE(OFFSET($BH$3,0,0,'Données projet'!$E$11+1,1))-AVERAGE(OFFSET($H$3,0,0,'Données projet'!$E$11+1,1))</f>
        <v>327.81662150328646</v>
      </c>
      <c r="BJ31" s="62">
        <f t="shared" si="38"/>
        <v>320.24200483294322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4.280256590449758</v>
      </c>
      <c r="BS31" s="24">
        <f t="shared" si="9"/>
        <v>4.280256590449758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8.4</v>
      </c>
      <c r="BY31" s="13">
        <f>IF('Données projet'!$A$114&gt;35,BY30+BX31-CG30,IF(A31&lt;'Données projet'!$A$114,$BV$205^A31,IF(A31='Données projet'!$A$114,'Données projet'!$B$114,BY30+BX31-CG30)))</f>
        <v>154.19999999999999</v>
      </c>
      <c r="BZ31" s="14">
        <f>BY31*VLOOKUP('Données projet'!$B$12,Paramètres!$A$1:$I$89,3,0)*VLOOKUP('Données projet'!$B$12,Paramètres!$A$1:$I$89,5,0)</f>
        <v>84.193200000000004</v>
      </c>
      <c r="CA31" s="14">
        <f t="shared" si="39"/>
        <v>23.159375086981562</v>
      </c>
      <c r="CB31" s="22">
        <f t="shared" si="10"/>
        <v>186.97240160982622</v>
      </c>
      <c r="CC31" s="62">
        <f t="shared" si="11"/>
        <v>477.86129049871511</v>
      </c>
      <c r="CD31" s="62">
        <f ca="1">AVERAGE(OFFSET($CC$3,0,0,'Données projet'!$E$12+1,1))-AVERAGE(OFFSET($H$3,0,0,'Données projet'!$E$12+1,1))</f>
        <v>170.27677128684815</v>
      </c>
      <c r="CE31" s="62">
        <f t="shared" si="40"/>
        <v>243.47439640666289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4.4831532472323428</v>
      </c>
      <c r="CL31" s="23">
        <f>EXP(-LN(2)/25)*CL30+(1-EXP(-LN(2)/25))/(LN(2)/25)*Calculateur!CG31*Calculateur!CI31*VLOOKUP('Données projet'!$B$12,Paramètres!$A$1:$I$89,3,0)*0.475*44/12</f>
        <v>19.131288209125781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23.614441456358122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0</v>
      </c>
      <c r="CZ31" s="62">
        <f t="shared" si="42"/>
        <v>0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23.285714285714285</v>
      </c>
      <c r="N32" s="14">
        <f>IF('Données projet'!$A$36&gt;35,N31+M32-V31,IF(A32&lt;'Données projet'!$A$36,$K$205^A32,IF(A32='Données projet'!$A$36,'Données projet'!$B$36,N31+M32-V31)))</f>
        <v>237.28571428571433</v>
      </c>
      <c r="O32" s="14">
        <f>N32*VLOOKUP('Données projet'!$B$9,Paramètres!$A$1:$I$89,3,0)*VLOOKUP('Données projet'!$B$9,Paramètres!$A$1:$I$89,5,0)</f>
        <v>132.64271428571433</v>
      </c>
      <c r="P32" s="14">
        <f t="shared" si="33"/>
        <v>34.606295940904367</v>
      </c>
      <c r="Q32" s="22">
        <f t="shared" si="2"/>
        <v>291.29202614469426</v>
      </c>
      <c r="R32" s="62">
        <f t="shared" si="0"/>
        <v>583.4031372558054</v>
      </c>
      <c r="S32" s="62">
        <f ca="1">AVERAGE(OFFSET($R$3,0,0,'Données projet'!$E$9+1,1))-AVERAGE(OFFSET($H$3,0,0,'Données projet'!$E$9+1,1))</f>
        <v>388.88381485322674</v>
      </c>
      <c r="T32" s="62">
        <f t="shared" si="34"/>
        <v>355.82695155276218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22.645486025822709</v>
      </c>
      <c r="AA32" s="23">
        <f>EXP(-LN(2)/25)*AA31+(1-EXP(-LN(2)/25))/(LN(2)/25)*Calculateur!V32*Calculateur!X32*VLOOKUP('Données projet'!$B$9,Paramètres!$A$1:$I$89,3,0)*0.475*44/12</f>
        <v>14.406724658500016</v>
      </c>
      <c r="AB32" s="23">
        <f>EXP(-LN(2)/2)*AB31+(1-EXP(-LN(2)/2))/(LN(2)/2)*V32*Y32*VLOOKUP('Données projet'!$B$9,Paramètres!$A$1:$I$89,3,0)*0.475*44/12</f>
        <v>6.8579195263656612</v>
      </c>
      <c r="AC32" s="24">
        <f t="shared" si="3"/>
        <v>43.910130210688386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13.2</v>
      </c>
      <c r="AI32" s="14">
        <f>IF('Données projet'!$A$62&gt;35,AI31+AH32-AQ31,IF(A32&lt;'Données projet'!$A$62,$AF$205^A32,IF(A32='Données projet'!$A$62,'Données projet'!$B$62,AI31+AH32-AQ31)))</f>
        <v>171.79999999999998</v>
      </c>
      <c r="AJ32" s="14">
        <f>AI32*VLOOKUP('Données projet'!$B$10,Paramètres!$A$1:$I$89,3,0)*VLOOKUP('Données projet'!$B$10,Paramètres!$A$1:$I$89,5,0)</f>
        <v>150.08448000000001</v>
      </c>
      <c r="AK32" s="14">
        <f t="shared" si="35"/>
        <v>38.597783374841299</v>
      </c>
      <c r="AL32" s="22">
        <f t="shared" si="4"/>
        <v>328.62160871118198</v>
      </c>
      <c r="AM32" s="62">
        <f t="shared" si="5"/>
        <v>620.73271982229312</v>
      </c>
      <c r="AN32" s="62">
        <f ca="1">AVERAGE(OFFSET($AM$3,0,0,'Données projet'!$E$10+1,1))-AVERAGE(OFFSET($H$3,0,0,'Données projet'!$E$10+1,1))</f>
        <v>321.62968871874483</v>
      </c>
      <c r="AO32" s="62">
        <f t="shared" si="36"/>
        <v>389.91636841473559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10.633308012118238</v>
      </c>
      <c r="AX32" s="23">
        <f t="shared" si="6"/>
        <v>10.633308012118238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161.79999999999993</v>
      </c>
      <c r="BE32" s="14">
        <f>BD32*VLOOKUP('Données projet'!$B$11,Paramètres!$A$1:$I$89,3,0)*VLOOKUP('Données projet'!$B$11,Paramètres!$A$1:$I$89,5,0)</f>
        <v>118.63175999999994</v>
      </c>
      <c r="BF32" s="14">
        <f t="shared" si="37"/>
        <v>31.355667112617319</v>
      </c>
      <c r="BG32" s="22">
        <f t="shared" si="7"/>
        <v>261.22810222114174</v>
      </c>
      <c r="BH32" s="62">
        <f t="shared" si="8"/>
        <v>553.33921333225294</v>
      </c>
      <c r="BI32" s="62">
        <f ca="1">AVERAGE(OFFSET($BH$3,0,0,'Données projet'!$E$11+1,1))-AVERAGE(OFFSET($H$3,0,0,'Données projet'!$E$11+1,1))</f>
        <v>327.81662150328646</v>
      </c>
      <c r="BJ32" s="62">
        <f t="shared" si="38"/>
        <v>320.24200483294322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3.0265984603254354</v>
      </c>
      <c r="BS32" s="24">
        <f t="shared" si="9"/>
        <v>3.0265984603254354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8.4</v>
      </c>
      <c r="BY32" s="13">
        <f>IF('Données projet'!$A$114&gt;35,BY31+BX32-CG31,IF(A32&lt;'Données projet'!$A$114,$BV$205^A32,IF(A32='Données projet'!$A$114,'Données projet'!$B$114,BY31+BX32-CG31)))</f>
        <v>162.6</v>
      </c>
      <c r="BZ32" s="14">
        <f>BY32*VLOOKUP('Données projet'!$B$12,Paramètres!$A$1:$I$89,3,0)*VLOOKUP('Données projet'!$B$12,Paramètres!$A$1:$I$89,5,0)</f>
        <v>88.779600000000002</v>
      </c>
      <c r="CA32" s="14">
        <f t="shared" si="39"/>
        <v>24.270660436720163</v>
      </c>
      <c r="CB32" s="22">
        <f t="shared" si="10"/>
        <v>196.89587026062097</v>
      </c>
      <c r="CC32" s="62">
        <f t="shared" si="11"/>
        <v>489.00698137173208</v>
      </c>
      <c r="CD32" s="62">
        <f ca="1">AVERAGE(OFFSET($CC$3,0,0,'Données projet'!$E$12+1,1))-AVERAGE(OFFSET($H$3,0,0,'Données projet'!$E$12+1,1))</f>
        <v>170.27677128684815</v>
      </c>
      <c r="CE32" s="62">
        <f t="shared" si="40"/>
        <v>243.47439640666289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4.3952413465075928</v>
      </c>
      <c r="CL32" s="23">
        <f>EXP(-LN(2)/25)*CL31+(1-EXP(-LN(2)/25))/(LN(2)/25)*Calculateur!CG32*Calculateur!CI32*VLOOKUP('Données projet'!$B$12,Paramètres!$A$1:$I$89,3,0)*0.475*44/12</f>
        <v>18.608142126976514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23.003383473484107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0</v>
      </c>
      <c r="CZ32" s="62">
        <f t="shared" si="42"/>
        <v>0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23.285714285714285</v>
      </c>
      <c r="N33" s="14">
        <f>IF('Données projet'!$A$36&gt;35,N32+M33-V32,IF(A33&lt;'Données projet'!$A$36,$K$205^A33,IF(A33='Données projet'!$A$36,'Données projet'!$B$36,N32+M33-V32)))</f>
        <v>260.57142857142861</v>
      </c>
      <c r="O33" s="14">
        <f>N33*VLOOKUP('Données projet'!$B$9,Paramètres!$A$1:$I$89,3,0)*VLOOKUP('Données projet'!$B$9,Paramètres!$A$1:$I$89,5,0)</f>
        <v>145.65942857142858</v>
      </c>
      <c r="P33" s="14">
        <f t="shared" si="33"/>
        <v>37.59049576508562</v>
      </c>
      <c r="Q33" s="22">
        <f t="shared" si="2"/>
        <v>319.16028488609555</v>
      </c>
      <c r="R33" s="62">
        <f t="shared" si="0"/>
        <v>612.49361821942887</v>
      </c>
      <c r="S33" s="62">
        <f ca="1">AVERAGE(OFFSET($R$3,0,0,'Données projet'!$E$9+1,1))-AVERAGE(OFFSET($H$3,0,0,'Données projet'!$E$9+1,1))</f>
        <v>388.88381485322674</v>
      </c>
      <c r="T33" s="62">
        <f t="shared" si="34"/>
        <v>355.82695155276218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22.201421857238941</v>
      </c>
      <c r="AA33" s="23">
        <f>EXP(-LN(2)/25)*AA32+(1-EXP(-LN(2)/25))/(LN(2)/25)*Calculateur!V33*Calculateur!X33*VLOOKUP('Données projet'!$B$9,Paramètres!$A$1:$I$89,3,0)*0.475*44/12</f>
        <v>14.01277201509661</v>
      </c>
      <c r="AB33" s="23">
        <f>EXP(-LN(2)/2)*AB32+(1-EXP(-LN(2)/2))/(LN(2)/2)*V33*Y33*VLOOKUP('Données projet'!$B$9,Paramètres!$A$1:$I$89,3,0)*0.475*44/12</f>
        <v>4.8492814019247952</v>
      </c>
      <c r="AC33" s="24">
        <f t="shared" si="3"/>
        <v>41.063475274260341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185</v>
      </c>
      <c r="AG33" s="13">
        <f>VLOOKUP(A33,'Données projet'!$A$61:$I$81,9,0)</f>
        <v>13.2</v>
      </c>
      <c r="AH33" s="13">
        <f t="array" ref="AH33">INDEX(AG:AG,MIN(IF(ISNUMBER(AG33:AG229),ROW(AG33:AG229),"")))</f>
        <v>13.2</v>
      </c>
      <c r="AI33" s="14">
        <f>IF('Données projet'!$A$62&gt;35,AI32+AH33-AQ32,IF(A33&lt;'Données projet'!$A$62,$AF$205^A33,IF(A33='Données projet'!$A$62,'Données projet'!$B$62,AI32+AH33-AQ32)))</f>
        <v>184.99999999999997</v>
      </c>
      <c r="AJ33" s="14">
        <f>AI33*VLOOKUP('Données projet'!$B$10,Paramètres!$A$1:$I$89,3,0)*VLOOKUP('Données projet'!$B$10,Paramètres!$A$1:$I$89,5,0)</f>
        <v>161.61599999999999</v>
      </c>
      <c r="AK33" s="14">
        <f t="shared" si="35"/>
        <v>41.20679526204917</v>
      </c>
      <c r="AL33" s="22">
        <f t="shared" si="4"/>
        <v>353.24970174806896</v>
      </c>
      <c r="AM33" s="62">
        <f t="shared" si="5"/>
        <v>646.58303508140227</v>
      </c>
      <c r="AN33" s="62">
        <f ca="1">AVERAGE(OFFSET($AM$3,0,0,'Données projet'!$E$10+1,1))-AVERAGE(OFFSET($H$3,0,0,'Données projet'!$E$10+1,1))</f>
        <v>321.62968871874483</v>
      </c>
      <c r="AO33" s="62">
        <f t="shared" si="36"/>
        <v>389.91636841473559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44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0.8</v>
      </c>
      <c r="AU33" s="23">
        <f>EXP(-LN(2)/35)*AU32+(1-EXP(-LN(2)/35))/(LN(2)/35)*AQ33*AR33*VLOOKUP('Données projet'!$B$10,Paramètres!$A$1:$I$89,3,0)*0.475*44/12</f>
        <v>3.6543560867509846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36.533016165308261</v>
      </c>
      <c r="AX33" s="23">
        <f t="shared" si="6"/>
        <v>40.187372252059248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176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175.99999999999991</v>
      </c>
      <c r="BE33" s="14">
        <f>BD33*VLOOKUP('Données projet'!$B$11,Paramètres!$A$1:$I$89,3,0)*VLOOKUP('Données projet'!$B$11,Paramètres!$A$1:$I$89,5,0)</f>
        <v>129.04319999999993</v>
      </c>
      <c r="BF33" s="14">
        <f t="shared" si="37"/>
        <v>33.775175980637393</v>
      </c>
      <c r="BG33" s="22">
        <f t="shared" si="7"/>
        <v>283.57533816627659</v>
      </c>
      <c r="BH33" s="62">
        <f t="shared" si="8"/>
        <v>576.90867149960991</v>
      </c>
      <c r="BI33" s="62">
        <f ca="1">AVERAGE(OFFSET($BH$3,0,0,'Données projet'!$E$11+1,1))-AVERAGE(OFFSET($H$3,0,0,'Données projet'!$E$11+1,1))</f>
        <v>327.81662150328646</v>
      </c>
      <c r="BJ33" s="62">
        <f t="shared" si="38"/>
        <v>320.24200483294322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35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14.246522136526616</v>
      </c>
      <c r="BS33" s="24">
        <f t="shared" si="9"/>
        <v>14.246522136526616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171</v>
      </c>
      <c r="BW33" s="13">
        <f>VLOOKUP(A33,'Données projet'!$A$113:$I$133,9,0)</f>
        <v>8.4</v>
      </c>
      <c r="BX33" s="13">
        <f t="array" ref="BX33">INDEX(BW:BW,MIN(IF(ISNUMBER(BW33:BW229),ROW(BW33:BW229),"")))</f>
        <v>8.4</v>
      </c>
      <c r="BY33" s="13">
        <f>IF('Données projet'!$A$114&gt;35,BY32+BX33-CG32,IF(A33&lt;'Données projet'!$A$114,$BV$205^A33,IF(A33='Données projet'!$A$114,'Données projet'!$B$114,BY32+BX33-CG32)))</f>
        <v>171</v>
      </c>
      <c r="BZ33" s="14">
        <f>BY33*VLOOKUP('Données projet'!$B$12,Paramètres!$A$1:$I$89,3,0)*VLOOKUP('Données projet'!$B$12,Paramètres!$A$1:$I$89,5,0)</f>
        <v>93.366</v>
      </c>
      <c r="CA33" s="14">
        <f t="shared" si="39"/>
        <v>25.375280233490678</v>
      </c>
      <c r="CB33" s="22">
        <f t="shared" si="10"/>
        <v>206.80772973999626</v>
      </c>
      <c r="CC33" s="62">
        <f t="shared" si="11"/>
        <v>500.14106307332958</v>
      </c>
      <c r="CD33" s="62">
        <f ca="1">AVERAGE(OFFSET($CC$3,0,0,'Données projet'!$E$12+1,1))-AVERAGE(OFFSET($H$3,0,0,'Données projet'!$E$12+1,1))</f>
        <v>170.27677128684815</v>
      </c>
      <c r="CE33" s="62">
        <f t="shared" si="40"/>
        <v>243.47439640666289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19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4.3090533445350898</v>
      </c>
      <c r="CL33" s="23">
        <f>EXP(-LN(2)/25)*CL32+(1-EXP(-LN(2)/25))/(LN(2)/25)*Calculateur!CG33*Calculateur!CI33*VLOOKUP('Données projet'!$B$12,Paramètres!$A$1:$I$89,3,0)*0.475*44/12</f>
        <v>18.099301501954677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22.408354846489768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0</v>
      </c>
      <c r="CZ33" s="62">
        <f t="shared" si="42"/>
        <v>0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23.285714285714285</v>
      </c>
      <c r="N34" s="14">
        <f>IF('Données projet'!$A$36&gt;35,N33+M34-V33,IF(A34&lt;'Données projet'!$A$36,$K$205^A34,IF(A34='Données projet'!$A$36,'Données projet'!$B$36,N33+M34-V33)))</f>
        <v>283.85714285714289</v>
      </c>
      <c r="O34" s="14">
        <f>N34*VLOOKUP('Données projet'!$B$9,Paramètres!$A$1:$I$89,3,0)*VLOOKUP('Données projet'!$B$9,Paramètres!$A$1:$I$89,5,0)</f>
        <v>158.67614285714288</v>
      </c>
      <c r="P34" s="14">
        <f t="shared" si="33"/>
        <v>40.543771496525409</v>
      </c>
      <c r="Q34" s="22">
        <f t="shared" si="2"/>
        <v>346.97468416597229</v>
      </c>
      <c r="R34" s="62">
        <f t="shared" si="0"/>
        <v>640.30801749930561</v>
      </c>
      <c r="S34" s="62">
        <f ca="1">AVERAGE(OFFSET($R$3,0,0,'Données projet'!$E$9+1,1))-AVERAGE(OFFSET($H$3,0,0,'Données projet'!$E$9+1,1))</f>
        <v>388.88381485322674</v>
      </c>
      <c r="T34" s="62">
        <f t="shared" si="34"/>
        <v>355.82695155276218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21.766065516148704</v>
      </c>
      <c r="AA34" s="23">
        <f>EXP(-LN(2)/25)*AA33+(1-EXP(-LN(2)/25))/(LN(2)/25)*Calculateur!V34*Calculateur!X34*VLOOKUP('Données projet'!$B$9,Paramètres!$A$1:$I$89,3,0)*0.475*44/12</f>
        <v>13.62959202744414</v>
      </c>
      <c r="AB34" s="23">
        <f>EXP(-LN(2)/2)*AB33+(1-EXP(-LN(2)/2))/(LN(2)/2)*V34*Y34*VLOOKUP('Données projet'!$B$9,Paramètres!$A$1:$I$89,3,0)*0.475*44/12</f>
        <v>3.4289597631828306</v>
      </c>
      <c r="AC34" s="24">
        <f t="shared" si="3"/>
        <v>38.824617306775679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</v>
      </c>
      <c r="AI34" s="14">
        <f>IF('Données projet'!$A$62&gt;35,AI33+AH34-AQ33,IF(A34&lt;'Données projet'!$A$62,$AF$205^A34,IF(A34='Données projet'!$A$62,'Données projet'!$B$62,AI33+AH34-AQ33)))</f>
        <v>152.99999999999997</v>
      </c>
      <c r="AJ34" s="14">
        <f>AI34*VLOOKUP('Données projet'!$B$10,Paramètres!$A$1:$I$89,3,0)*VLOOKUP('Données projet'!$B$10,Paramètres!$A$1:$I$89,5,0)</f>
        <v>133.66079999999999</v>
      </c>
      <c r="AK34" s="14">
        <f t="shared" si="35"/>
        <v>34.840890682716747</v>
      </c>
      <c r="AL34" s="22">
        <f t="shared" si="4"/>
        <v>293.47377793906497</v>
      </c>
      <c r="AM34" s="62">
        <f t="shared" si="5"/>
        <v>586.80711127239829</v>
      </c>
      <c r="AN34" s="62">
        <f ca="1">AVERAGE(OFFSET($AM$3,0,0,'Données projet'!$E$10+1,1))-AVERAGE(OFFSET($H$3,0,0,'Données projet'!$E$10+1,1))</f>
        <v>321.62968871874483</v>
      </c>
      <c r="AO34" s="62">
        <f t="shared" si="36"/>
        <v>389.91636841473559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3.5826963928269215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25.832743467687234</v>
      </c>
      <c r="AX34" s="23">
        <f t="shared" si="6"/>
        <v>29.415439860514155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</v>
      </c>
      <c r="BD34" s="13">
        <f>IF('Données projet'!$A$88&gt;35,BD33+BC34-BL33,IF(A34&lt;'Données projet'!$A$88,$BA$205^A34,IF(A34='Données projet'!$A$88,'Données projet'!$B$88,BD33+BC34-BL33)))</f>
        <v>153.99999999999991</v>
      </c>
      <c r="BE34" s="14">
        <f>BD34*VLOOKUP('Données projet'!$B$11,Paramètres!$A$1:$I$89,3,0)*VLOOKUP('Données projet'!$B$11,Paramètres!$A$1:$I$89,5,0)</f>
        <v>112.91279999999993</v>
      </c>
      <c r="BF34" s="14">
        <f t="shared" si="37"/>
        <v>30.016215601722546</v>
      </c>
      <c r="BG34" s="22">
        <f t="shared" si="7"/>
        <v>248.93470217300001</v>
      </c>
      <c r="BH34" s="62">
        <f t="shared" si="8"/>
        <v>542.26803550633326</v>
      </c>
      <c r="BI34" s="62">
        <f ca="1">AVERAGE(OFFSET($BH$3,0,0,'Données projet'!$E$11+1,1))-AVERAGE(OFFSET($H$3,0,0,'Données projet'!$E$11+1,1))</f>
        <v>327.81662150328646</v>
      </c>
      <c r="BJ34" s="62">
        <f t="shared" si="38"/>
        <v>320.24200483294322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10.073812411062232</v>
      </c>
      <c r="BS34" s="24">
        <f t="shared" si="9"/>
        <v>10.073812411062232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158.6</v>
      </c>
      <c r="BZ34" s="14">
        <f>BY34*VLOOKUP('Données projet'!$B$12,Paramètres!$A$1:$I$89,3,0)*VLOOKUP('Données projet'!$B$12,Paramètres!$A$1:$I$89,5,0)</f>
        <v>86.59559999999999</v>
      </c>
      <c r="CA34" s="14">
        <f t="shared" si="39"/>
        <v>23.742332153806089</v>
      </c>
      <c r="CB34" s="22">
        <f t="shared" si="10"/>
        <v>192.17189850121224</v>
      </c>
      <c r="CC34" s="62">
        <f t="shared" si="11"/>
        <v>485.50523183454555</v>
      </c>
      <c r="CD34" s="62">
        <f ca="1">AVERAGE(OFFSET($CC$3,0,0,'Données projet'!$E$12+1,1))-AVERAGE(OFFSET($H$3,0,0,'Données projet'!$E$12+1,1))</f>
        <v>170.27677128684815</v>
      </c>
      <c r="CE34" s="62">
        <f t="shared" si="40"/>
        <v>243.47439640666289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4.2245554367117775</v>
      </c>
      <c r="CL34" s="23">
        <f>EXP(-LN(2)/25)*CL33+(1-EXP(-LN(2)/25))/(LN(2)/25)*Calculateur!CG34*Calculateur!CI34*VLOOKUP('Données projet'!$B$12,Paramètres!$A$1:$I$89,3,0)*0.475*44/12</f>
        <v>17.604375150582829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21.828930587294607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0</v>
      </c>
      <c r="CZ34" s="62">
        <f t="shared" si="42"/>
        <v>0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23.285714285714285</v>
      </c>
      <c r="N35" s="14">
        <f>IF('Données projet'!$A$36&gt;35,N34+M35-V34,IF(A35&lt;'Données projet'!$A$36,$K$205^A35,IF(A35='Données projet'!$A$36,'Données projet'!$B$36,N34+M35-V34)))</f>
        <v>307.14285714285717</v>
      </c>
      <c r="O35" s="14">
        <f>N35*VLOOKUP('Données projet'!$B$9,Paramètres!$A$1:$I$89,3,0)*VLOOKUP('Données projet'!$B$9,Paramètres!$A$1:$I$89,5,0)</f>
        <v>171.69285714285718</v>
      </c>
      <c r="P35" s="14">
        <f t="shared" si="33"/>
        <v>43.468948346853857</v>
      </c>
      <c r="Q35" s="22">
        <f t="shared" ref="Q35:Q66" si="53">(O35+P35)*0.475*44/12</f>
        <v>374.74014456124672</v>
      </c>
      <c r="R35" s="62">
        <f t="shared" si="0"/>
        <v>668.07347789458004</v>
      </c>
      <c r="S35" s="62">
        <f ca="1">AVERAGE(OFFSET($R$3,0,0,'Données projet'!$E$9+1,1))-AVERAGE(OFFSET($H$3,0,0,'Données projet'!$E$9+1,1))</f>
        <v>388.88381485322674</v>
      </c>
      <c r="T35" s="62">
        <f t="shared" si="34"/>
        <v>355.82695155276218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21.339246247366098</v>
      </c>
      <c r="AA35" s="23">
        <f>EXP(-LN(2)/25)*AA34+(1-EXP(-LN(2)/25))/(LN(2)/25)*Calculateur!V35*Calculateur!X35*VLOOKUP('Données projet'!$B$9,Paramètres!$A$1:$I$89,3,0)*0.475*44/12</f>
        <v>13.256890116704586</v>
      </c>
      <c r="AB35" s="23">
        <f>EXP(-LN(2)/2)*AB34+(1-EXP(-LN(2)/2))/(LN(2)/2)*V35*Y35*VLOOKUP('Données projet'!$B$9,Paramètres!$A$1:$I$89,3,0)*0.475*44/12</f>
        <v>2.4246407009623976</v>
      </c>
      <c r="AC35" s="24">
        <f t="shared" si="3"/>
        <v>37.020777065033087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</v>
      </c>
      <c r="AI35" s="14">
        <f>IF('Données projet'!$A$62&gt;35,AI34+AH35-AQ34,IF(A35&lt;'Données projet'!$A$62,$AF$205^A35,IF(A35='Données projet'!$A$62,'Données projet'!$B$62,AI34+AH35-AQ34)))</f>
        <v>164.99999999999997</v>
      </c>
      <c r="AJ35" s="14">
        <f>AI35*VLOOKUP('Données projet'!$B$10,Paramètres!$A$1:$I$89,3,0)*VLOOKUP('Données projet'!$B$10,Paramètres!$A$1:$I$89,5,0)</f>
        <v>144.14400000000001</v>
      </c>
      <c r="AK35" s="14">
        <f t="shared" si="35"/>
        <v>37.244720006976252</v>
      </c>
      <c r="AL35" s="22">
        <f t="shared" si="4"/>
        <v>315.91868734548365</v>
      </c>
      <c r="AM35" s="62">
        <f t="shared" si="5"/>
        <v>609.25202067881696</v>
      </c>
      <c r="AN35" s="62">
        <f ca="1">AVERAGE(OFFSET($AM$3,0,0,'Données projet'!$E$10+1,1))-AVERAGE(OFFSET($H$3,0,0,'Données projet'!$E$10+1,1))</f>
        <v>321.62968871874483</v>
      </c>
      <c r="AO35" s="62">
        <f t="shared" si="36"/>
        <v>389.91636841473559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3.5124419017926116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18.266508082654134</v>
      </c>
      <c r="AX35" s="23">
        <f t="shared" si="6"/>
        <v>21.778949984446747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</v>
      </c>
      <c r="BD35" s="13">
        <f>IF('Données projet'!$A$88&gt;35,BD34+BC35-BL34,IF(A35&lt;'Données projet'!$A$88,$BA$205^A35,IF(A35='Données projet'!$A$88,'Données projet'!$B$88,BD34+BC35-BL34)))</f>
        <v>166.99999999999991</v>
      </c>
      <c r="BE35" s="14">
        <f>BD35*VLOOKUP('Données projet'!$B$11,Paramètres!$A$1:$I$89,3,0)*VLOOKUP('Données projet'!$B$11,Paramètres!$A$1:$I$89,5,0)</f>
        <v>122.44439999999993</v>
      </c>
      <c r="BF35" s="14">
        <f t="shared" si="37"/>
        <v>32.244444629402452</v>
      </c>
      <c r="BG35" s="22">
        <f t="shared" si="7"/>
        <v>269.41640439620915</v>
      </c>
      <c r="BH35" s="62">
        <f t="shared" si="8"/>
        <v>562.7497377295424</v>
      </c>
      <c r="BI35" s="62">
        <f ca="1">AVERAGE(OFFSET($BH$3,0,0,'Données projet'!$E$11+1,1))-AVERAGE(OFFSET($H$3,0,0,'Données projet'!$E$11+1,1))</f>
        <v>327.81662150328646</v>
      </c>
      <c r="BJ35" s="62">
        <f t="shared" si="38"/>
        <v>320.24200483294322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7.1232610682633082</v>
      </c>
      <c r="BS35" s="24">
        <f t="shared" si="9"/>
        <v>7.1232610682633082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165.2</v>
      </c>
      <c r="BZ35" s="14">
        <f>BY35*VLOOKUP('Données projet'!$B$12,Paramètres!$A$1:$I$89,3,0)*VLOOKUP('Données projet'!$B$12,Paramètres!$A$1:$I$89,5,0)</f>
        <v>90.19919999999999</v>
      </c>
      <c r="CA35" s="14">
        <f t="shared" si="39"/>
        <v>24.613261053665369</v>
      </c>
      <c r="CB35" s="22">
        <f t="shared" si="10"/>
        <v>199.96503633513382</v>
      </c>
      <c r="CC35" s="62">
        <f t="shared" si="11"/>
        <v>493.2983696684671</v>
      </c>
      <c r="CD35" s="62">
        <f ca="1">AVERAGE(OFFSET($CC$3,0,0,'Données projet'!$E$12+1,1))-AVERAGE(OFFSET($H$3,0,0,'Données projet'!$E$12+1,1))</f>
        <v>170.27677128684815</v>
      </c>
      <c r="CE35" s="62">
        <f t="shared" si="40"/>
        <v>243.47439640666289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4.1417144813222455</v>
      </c>
      <c r="CL35" s="23">
        <f>EXP(-LN(2)/25)*CL34+(1-EXP(-LN(2)/25))/(LN(2)/25)*Calculateur!CG35*Calculateur!CI35*VLOOKUP('Données projet'!$B$12,Paramètres!$A$1:$I$89,3,0)*0.475*44/12</f>
        <v>17.122982586316287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21.264697067638533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0</v>
      </c>
      <c r="CZ35" s="62">
        <f t="shared" si="42"/>
        <v>0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23.285714285714285</v>
      </c>
      <c r="N36" s="14">
        <f>IF('Données projet'!$A$36&gt;35,N35+M36-V35,IF(A36&lt;'Données projet'!$A$36,$K$205^A36,IF(A36='Données projet'!$A$36,'Données projet'!$B$36,N35+M36-V35)))</f>
        <v>330.42857142857144</v>
      </c>
      <c r="O36" s="14">
        <f>N36*VLOOKUP('Données projet'!$B$9,Paramètres!$A$1:$I$89,3,0)*VLOOKUP('Données projet'!$B$9,Paramètres!$A$1:$I$89,5,0)</f>
        <v>184.70957142857145</v>
      </c>
      <c r="P36" s="14">
        <f t="shared" si="33"/>
        <v>46.368398825652129</v>
      </c>
      <c r="Q36" s="22">
        <f t="shared" si="53"/>
        <v>402.4607981927727</v>
      </c>
      <c r="R36" s="62">
        <f t="shared" si="0"/>
        <v>695.79413152610596</v>
      </c>
      <c r="S36" s="62">
        <f ca="1">AVERAGE(OFFSET($R$3,0,0,'Données projet'!$E$9+1,1))-AVERAGE(OFFSET($H$3,0,0,'Données projet'!$E$9+1,1))</f>
        <v>388.88381485322674</v>
      </c>
      <c r="T36" s="62">
        <f t="shared" si="34"/>
        <v>355.82695155276218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20.920796644110272</v>
      </c>
      <c r="AA36" s="23">
        <f>EXP(-LN(2)/25)*AA35+(1-EXP(-LN(2)/25))/(LN(2)/25)*Calculateur!V36*Calculateur!X36*VLOOKUP('Données projet'!$B$9,Paramètres!$A$1:$I$89,3,0)*0.475*44/12</f>
        <v>12.894379759313747</v>
      </c>
      <c r="AB36" s="23">
        <f>EXP(-LN(2)/2)*AB35+(1-EXP(-LN(2)/2))/(LN(2)/2)*V36*Y36*VLOOKUP('Données projet'!$B$9,Paramètres!$A$1:$I$89,3,0)*0.475*44/12</f>
        <v>1.7144798815914153</v>
      </c>
      <c r="AC36" s="24">
        <f t="shared" si="3"/>
        <v>35.529656285015434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</v>
      </c>
      <c r="AI36" s="14">
        <f>IF('Données projet'!$A$62&gt;35,AI35+AH36-AQ35,IF(A36&lt;'Données projet'!$A$62,$AF$205^A36,IF(A36='Données projet'!$A$62,'Données projet'!$B$62,AI35+AH36-AQ35)))</f>
        <v>176.99999999999997</v>
      </c>
      <c r="AJ36" s="14">
        <f>AI36*VLOOKUP('Données projet'!$B$10,Paramètres!$A$1:$I$89,3,0)*VLOOKUP('Données projet'!$B$10,Paramètres!$A$1:$I$89,5,0)</f>
        <v>154.62719999999999</v>
      </c>
      <c r="AK36" s="14">
        <f t="shared" si="35"/>
        <v>39.62826685000794</v>
      </c>
      <c r="AL36" s="22">
        <f t="shared" si="4"/>
        <v>338.32827143043045</v>
      </c>
      <c r="AM36" s="62">
        <f t="shared" si="5"/>
        <v>631.66160476376376</v>
      </c>
      <c r="AN36" s="62">
        <f ca="1">AVERAGE(OFFSET($AM$3,0,0,'Données projet'!$E$10+1,1))-AVERAGE(OFFSET($H$3,0,0,'Données projet'!$E$10+1,1))</f>
        <v>321.62968871874483</v>
      </c>
      <c r="AO36" s="62">
        <f t="shared" si="36"/>
        <v>389.91636841473559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3.4435650584764765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12.91637173384362</v>
      </c>
      <c r="AX36" s="23">
        <f t="shared" si="6"/>
        <v>16.359936792320099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</v>
      </c>
      <c r="BD36" s="13">
        <f>IF('Données projet'!$A$88&gt;35,BD35+BC36-BL35,IF(A36&lt;'Données projet'!$A$88,$BA$205^A36,IF(A36='Données projet'!$A$88,'Données projet'!$B$88,BD35+BC36-BL35)))</f>
        <v>179.99999999999991</v>
      </c>
      <c r="BE36" s="14">
        <f>BD36*VLOOKUP('Données projet'!$B$11,Paramètres!$A$1:$I$89,3,0)*VLOOKUP('Données projet'!$B$11,Paramètres!$A$1:$I$89,5,0)</f>
        <v>131.97599999999994</v>
      </c>
      <c r="BF36" s="14">
        <f t="shared" si="37"/>
        <v>34.452553259401945</v>
      </c>
      <c r="BG36" s="22">
        <f t="shared" si="7"/>
        <v>289.86306359345826</v>
      </c>
      <c r="BH36" s="62">
        <f t="shared" si="8"/>
        <v>583.19639692679152</v>
      </c>
      <c r="BI36" s="62">
        <f ca="1">AVERAGE(OFFSET($BH$3,0,0,'Données projet'!$E$11+1,1))-AVERAGE(OFFSET($H$3,0,0,'Données projet'!$E$11+1,1))</f>
        <v>327.81662150328646</v>
      </c>
      <c r="BJ36" s="62">
        <f t="shared" si="38"/>
        <v>320.24200483294322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5.0369062055311158</v>
      </c>
      <c r="BS36" s="24">
        <f t="shared" si="9"/>
        <v>5.0369062055311158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171.79999999999998</v>
      </c>
      <c r="BZ36" s="14">
        <f>BY36*VLOOKUP('Données projet'!$B$12,Paramètres!$A$1:$I$89,3,0)*VLOOKUP('Données projet'!$B$12,Paramètres!$A$1:$I$89,5,0)</f>
        <v>93.802799999999991</v>
      </c>
      <c r="CA36" s="14">
        <f t="shared" si="39"/>
        <v>25.480148084944911</v>
      </c>
      <c r="CB36" s="22">
        <f t="shared" si="10"/>
        <v>207.75113458127905</v>
      </c>
      <c r="CC36" s="62">
        <f t="shared" si="11"/>
        <v>501.08446791461233</v>
      </c>
      <c r="CD36" s="62">
        <f ca="1">AVERAGE(OFFSET($CC$3,0,0,'Données projet'!$E$12+1,1))-AVERAGE(OFFSET($H$3,0,0,'Données projet'!$E$12+1,1))</f>
        <v>170.27677128684815</v>
      </c>
      <c r="CE36" s="62">
        <f t="shared" si="40"/>
        <v>243.47439640666289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4.0604979865399091</v>
      </c>
      <c r="CL36" s="23">
        <f>EXP(-LN(2)/25)*CL35+(1-EXP(-LN(2)/25))/(LN(2)/25)*Calculateur!CG36*Calculateur!CI36*VLOOKUP('Données projet'!$B$12,Paramètres!$A$1:$I$89,3,0)*0.475*44/12</f>
        <v>16.654753727034947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20.715251713574858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0</v>
      </c>
      <c r="CZ36" s="62">
        <f t="shared" si="42"/>
        <v>0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23.285714285714285</v>
      </c>
      <c r="N37" s="14">
        <f>IF('Données projet'!$A$36&gt;35,N36+M37-V36,IF(A37&lt;'Données projet'!$A$36,$K$205^A37,IF(A37='Données projet'!$A$36,'Données projet'!$B$36,N36+M37-V36)))</f>
        <v>353.71428571428572</v>
      </c>
      <c r="O37" s="14">
        <f>N37*VLOOKUP('Données projet'!$B$9,Paramètres!$A$1:$I$89,3,0)*VLOOKUP('Données projet'!$B$9,Paramètres!$A$1:$I$89,5,0)</f>
        <v>197.72628571428575</v>
      </c>
      <c r="P37" s="14">
        <f t="shared" si="33"/>
        <v>49.244142113968465</v>
      </c>
      <c r="Q37" s="22">
        <f t="shared" si="53"/>
        <v>430.14016180087606</v>
      </c>
      <c r="R37" s="62">
        <f t="shared" si="0"/>
        <v>723.47349513420932</v>
      </c>
      <c r="S37" s="62">
        <f ca="1">AVERAGE(OFFSET($R$3,0,0,'Données projet'!$E$9+1,1))-AVERAGE(OFFSET($H$3,0,0,'Données projet'!$E$9+1,1))</f>
        <v>388.88381485322674</v>
      </c>
      <c r="T37" s="62">
        <f t="shared" si="34"/>
        <v>355.82695155276218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20.510552582345234</v>
      </c>
      <c r="AA37" s="23">
        <f>EXP(-LN(2)/25)*AA36+(1-EXP(-LN(2)/25))/(LN(2)/25)*Calculateur!V37*Calculateur!X37*VLOOKUP('Données projet'!$B$9,Paramètres!$A$1:$I$89,3,0)*0.475*44/12</f>
        <v>12.541782266709351</v>
      </c>
      <c r="AB37" s="23">
        <f>EXP(-LN(2)/2)*AB36+(1-EXP(-LN(2)/2))/(LN(2)/2)*V37*Y37*VLOOKUP('Données projet'!$B$9,Paramètres!$A$1:$I$89,3,0)*0.475*44/12</f>
        <v>1.2123203504811988</v>
      </c>
      <c r="AC37" s="24">
        <f t="shared" si="3"/>
        <v>34.264655199535788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</v>
      </c>
      <c r="AI37" s="14">
        <f>IF('Données projet'!$A$62&gt;35,AI36+AH37-AQ36,IF(A37&lt;'Données projet'!$A$62,$AF$205^A37,IF(A37='Données projet'!$A$62,'Données projet'!$B$62,AI36+AH37-AQ36)))</f>
        <v>188.99999999999997</v>
      </c>
      <c r="AJ37" s="14">
        <f>AI37*VLOOKUP('Données projet'!$B$10,Paramètres!$A$1:$I$89,3,0)*VLOOKUP('Données projet'!$B$10,Paramètres!$A$1:$I$89,5,0)</f>
        <v>165.1104</v>
      </c>
      <c r="AK37" s="14">
        <f t="shared" si="35"/>
        <v>41.993062739333446</v>
      </c>
      <c r="AL37" s="22">
        <f t="shared" si="4"/>
        <v>360.70519760433905</v>
      </c>
      <c r="AM37" s="62">
        <f t="shared" si="5"/>
        <v>654.03853093767236</v>
      </c>
      <c r="AN37" s="62">
        <f ca="1">AVERAGE(OFFSET($AM$3,0,0,'Données projet'!$E$10+1,1))-AVERAGE(OFFSET($H$3,0,0,'Données projet'!$E$10+1,1))</f>
        <v>321.62968871874483</v>
      </c>
      <c r="AO37" s="62">
        <f t="shared" si="36"/>
        <v>389.91636841473559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3.3760388480470445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9.1332540413270689</v>
      </c>
      <c r="AX37" s="23">
        <f t="shared" si="6"/>
        <v>12.509292889374112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</v>
      </c>
      <c r="BD37" s="13">
        <f>IF('Données projet'!$A$88&gt;35,BD36+BC37-BL36,IF(A37&lt;'Données projet'!$A$88,$BA$205^A37,IF(A37='Données projet'!$A$88,'Données projet'!$B$88,BD36+BC37-BL36)))</f>
        <v>192.99999999999991</v>
      </c>
      <c r="BE37" s="14">
        <f>BD37*VLOOKUP('Données projet'!$B$11,Paramètres!$A$1:$I$89,3,0)*VLOOKUP('Données projet'!$B$11,Paramètres!$A$1:$I$89,5,0)</f>
        <v>141.50759999999994</v>
      </c>
      <c r="BF37" s="14">
        <f t="shared" si="37"/>
        <v>36.642159893060018</v>
      </c>
      <c r="BG37" s="22">
        <f t="shared" si="7"/>
        <v>310.27749848041276</v>
      </c>
      <c r="BH37" s="62">
        <f t="shared" si="8"/>
        <v>603.61083181374602</v>
      </c>
      <c r="BI37" s="62">
        <f ca="1">AVERAGE(OFFSET($BH$3,0,0,'Données projet'!$E$11+1,1))-AVERAGE(OFFSET($H$3,0,0,'Données projet'!$E$11+1,1))</f>
        <v>327.81662150328646</v>
      </c>
      <c r="BJ37" s="62">
        <f t="shared" si="38"/>
        <v>320.24200483294322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3.5616305341316541</v>
      </c>
      <c r="BS37" s="24">
        <f t="shared" si="9"/>
        <v>3.5616305341316541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178.39999999999998</v>
      </c>
      <c r="BZ37" s="14">
        <f>BY37*VLOOKUP('Données projet'!$B$12,Paramètres!$A$1:$I$89,3,0)*VLOOKUP('Données projet'!$B$12,Paramètres!$A$1:$I$89,5,0)</f>
        <v>97.406399999999977</v>
      </c>
      <c r="CA37" s="14">
        <f t="shared" si="39"/>
        <v>26.343166296890836</v>
      </c>
      <c r="CB37" s="22">
        <f t="shared" si="10"/>
        <v>215.53049463375149</v>
      </c>
      <c r="CC37" s="62">
        <f t="shared" si="11"/>
        <v>508.86382796708483</v>
      </c>
      <c r="CD37" s="62">
        <f ca="1">AVERAGE(OFFSET($CC$3,0,0,'Données projet'!$E$12+1,1))-AVERAGE(OFFSET($H$3,0,0,'Données projet'!$E$12+1,1))</f>
        <v>170.27677128684815</v>
      </c>
      <c r="CE37" s="62">
        <f t="shared" si="40"/>
        <v>243.47439640666289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3.9808740976830834</v>
      </c>
      <c r="CL37" s="23">
        <f>EXP(-LN(2)/25)*CL36+(1-EXP(-LN(2)/25))/(LN(2)/25)*Calculateur!CG37*Calculateur!CI37*VLOOKUP('Données projet'!$B$12,Paramètres!$A$1:$I$89,3,0)*0.475*44/12</f>
        <v>16.199328610533744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20.180202708216829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0</v>
      </c>
      <c r="CZ37" s="62">
        <f t="shared" si="42"/>
        <v>0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</v>
      </c>
      <c r="L38" s="13">
        <f>VLOOKUP(A38,'Données projet'!$A$35:$I$55,9,0)</f>
        <v>23.285714285714285</v>
      </c>
      <c r="M38" s="13">
        <f t="array" ref="M38">INDEX(L:L,MIN(IF(ISNUMBER(L38:L234),ROW(L38:L234),"")))</f>
        <v>23.285714285714285</v>
      </c>
      <c r="N38" s="14">
        <f>IF('Données projet'!$A$36&gt;35,N37+M38-V37,IF(A38&lt;'Données projet'!$A$36,$K$205^A38,IF(A38='Données projet'!$A$36,'Données projet'!$B$36,N37+M38-V37)))</f>
        <v>377</v>
      </c>
      <c r="O38" s="14">
        <f>N38*VLOOKUP('Données projet'!$B$9,Paramètres!$A$1:$I$89,3,0)*VLOOKUP('Données projet'!$B$9,Paramètres!$A$1:$I$89,5,0)</f>
        <v>210.74299999999999</v>
      </c>
      <c r="P38" s="14">
        <f t="shared" si="33"/>
        <v>52.097916502275609</v>
      </c>
      <c r="Q38" s="22">
        <f t="shared" si="53"/>
        <v>457.78126290812997</v>
      </c>
      <c r="R38" s="62">
        <f t="shared" si="0"/>
        <v>751.11459624146323</v>
      </c>
      <c r="S38" s="62">
        <f ca="1">AVERAGE(OFFSET($R$3,0,0,'Données projet'!$E$9+1,1))-AVERAGE(OFFSET($H$3,0,0,'Données projet'!$E$9+1,1))</f>
        <v>388.88381485322674</v>
      </c>
      <c r="T38" s="62">
        <f t="shared" si="34"/>
        <v>355.82695155276218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20.10835315640724</v>
      </c>
      <c r="AA38" s="23">
        <f>EXP(-LN(2)/25)*AA37+(1-EXP(-LN(2)/25))/(LN(2)/25)*Calculateur!V38*Calculateur!X38*VLOOKUP('Données projet'!$B$9,Paramètres!$A$1:$I$89,3,0)*0.475*44/12</f>
        <v>12.198826571082519</v>
      </c>
      <c r="AB38" s="23">
        <f>EXP(-LN(2)/2)*AB37+(1-EXP(-LN(2)/2))/(LN(2)/2)*V38*Y38*VLOOKUP('Données projet'!$B$9,Paramètres!$A$1:$I$89,3,0)*0.475*44/12</f>
        <v>0.85723994079570764</v>
      </c>
      <c r="AC38" s="24">
        <f t="shared" si="3"/>
        <v>33.164419668285468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201</v>
      </c>
      <c r="AG38" s="13">
        <f>VLOOKUP(A38,'Données projet'!$A$61:$I$81,9,0)</f>
        <v>12</v>
      </c>
      <c r="AH38" s="13">
        <f t="array" ref="AH38">INDEX(AG:AG,MIN(IF(ISNUMBER(AG38:AG234),ROW(AG38:AG234),"")))</f>
        <v>12</v>
      </c>
      <c r="AI38" s="14">
        <f>IF('Données projet'!$A$62&gt;35,AI37+AH38-AQ37,IF(A38&lt;'Données projet'!$A$62,$AF$205^A38,IF(A38='Données projet'!$A$62,'Données projet'!$B$62,AI37+AH38-AQ37)))</f>
        <v>200.99999999999997</v>
      </c>
      <c r="AJ38" s="14">
        <f>AI38*VLOOKUP('Données projet'!$B$10,Paramètres!$A$1:$I$89,3,0)*VLOOKUP('Données projet'!$B$10,Paramètres!$A$1:$I$89,5,0)</f>
        <v>175.59359999999998</v>
      </c>
      <c r="AK38" s="14">
        <f t="shared" si="35"/>
        <v>44.340433728638573</v>
      </c>
      <c r="AL38" s="22">
        <f t="shared" si="4"/>
        <v>383.05177541071208</v>
      </c>
      <c r="AM38" s="62">
        <f t="shared" si="5"/>
        <v>676.3851087440454</v>
      </c>
      <c r="AN38" s="62">
        <f ca="1">AVERAGE(OFFSET($AM$3,0,0,'Données projet'!$E$10+1,1))-AVERAGE(OFFSET($H$3,0,0,'Données projet'!$E$10+1,1))</f>
        <v>321.62968871874483</v>
      </c>
      <c r="AO38" s="62">
        <f t="shared" si="36"/>
        <v>389.91636841473559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3.3098367854172119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6.4581858669218111</v>
      </c>
      <c r="AX38" s="23">
        <f t="shared" si="6"/>
        <v>9.7680226523390239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13</v>
      </c>
      <c r="BC38" s="13">
        <f t="array" ref="BC38">INDEX(BB:BB,MIN(IF(ISNUMBER(BB38:BB234),ROW(BB38:BB234),"")))</f>
        <v>13</v>
      </c>
      <c r="BD38" s="13">
        <f>IF('Données projet'!$A$88&gt;35,BD37+BC38-BL37,IF(A38&lt;'Données projet'!$A$88,$BA$205^A38,IF(A38='Données projet'!$A$88,'Données projet'!$B$88,BD37+BC38-BL37)))</f>
        <v>205.99999999999991</v>
      </c>
      <c r="BE38" s="14">
        <f>BD38*VLOOKUP('Données projet'!$B$11,Paramètres!$A$1:$I$89,3,0)*VLOOKUP('Données projet'!$B$11,Paramètres!$A$1:$I$89,5,0)</f>
        <v>151.03919999999994</v>
      </c>
      <c r="BF38" s="14">
        <f t="shared" si="37"/>
        <v>38.814652571726043</v>
      </c>
      <c r="BG38" s="22">
        <f t="shared" si="7"/>
        <v>330.66212656242277</v>
      </c>
      <c r="BH38" s="62">
        <f t="shared" si="8"/>
        <v>623.99545989575608</v>
      </c>
      <c r="BI38" s="62">
        <f ca="1">AVERAGE(OFFSET($BH$3,0,0,'Données projet'!$E$11+1,1))-AVERAGE(OFFSET($H$3,0,0,'Données projet'!$E$11+1,1))</f>
        <v>327.81662150328646</v>
      </c>
      <c r="BJ38" s="62">
        <f t="shared" si="38"/>
        <v>320.24200483294322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2.5184531027655579</v>
      </c>
      <c r="BS38" s="24">
        <f t="shared" si="9"/>
        <v>2.5184531027655579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185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184.99999999999997</v>
      </c>
      <c r="BZ38" s="14">
        <f>BY38*VLOOKUP('Données projet'!$B$12,Paramètres!$A$1:$I$89,3,0)*VLOOKUP('Données projet'!$B$12,Paramètres!$A$1:$I$89,5,0)</f>
        <v>101.00999999999999</v>
      </c>
      <c r="CA38" s="14">
        <f t="shared" si="39"/>
        <v>27.202475209169602</v>
      </c>
      <c r="CB38" s="22">
        <f t="shared" si="10"/>
        <v>223.30339432263699</v>
      </c>
      <c r="CC38" s="62">
        <f t="shared" si="11"/>
        <v>516.63672765597028</v>
      </c>
      <c r="CD38" s="62">
        <f ca="1">AVERAGE(OFFSET($CC$3,0,0,'Données projet'!$E$12+1,1))-AVERAGE(OFFSET($H$3,0,0,'Données projet'!$E$12+1,1))</f>
        <v>170.27677128684815</v>
      </c>
      <c r="CE38" s="62">
        <f t="shared" si="40"/>
        <v>243.47439640666289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15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3.9028115847209635</v>
      </c>
      <c r="CL38" s="23">
        <f>EXP(-LN(2)/25)*CL37+(1-EXP(-LN(2)/25))/(LN(2)/25)*Calculateur!CG38*Calculateur!CI38*VLOOKUP('Données projet'!$B$12,Paramètres!$A$1:$I$89,3,0)*0.475*44/12</f>
        <v>15.756357117793032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19.659168702513995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0</v>
      </c>
      <c r="CZ38" s="62">
        <f t="shared" si="42"/>
        <v>0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22.857142857142858</v>
      </c>
      <c r="N39" s="14">
        <f>IF('Données projet'!$A$36&gt;35,N38+M39-V38,IF(A39&lt;'Données projet'!$A$36,$K$205^A39,IF(A39='Données projet'!$A$36,'Données projet'!$B$36,N38+M39-V38)))</f>
        <v>312.85714285714283</v>
      </c>
      <c r="O39" s="14">
        <f>N39*VLOOKUP('Données projet'!$B$9,Paramètres!$A$1:$I$89,3,0)*VLOOKUP('Données projet'!$B$9,Paramètres!$A$1:$I$89,5,0)</f>
        <v>174.88714285714283</v>
      </c>
      <c r="P39" s="14">
        <f t="shared" si="33"/>
        <v>44.182768975905461</v>
      </c>
      <c r="Q39" s="22">
        <f t="shared" si="53"/>
        <v>381.54676310922576</v>
      </c>
      <c r="R39" s="62">
        <f t="shared" si="0"/>
        <v>674.88009644255908</v>
      </c>
      <c r="S39" s="62">
        <f ca="1">AVERAGE(OFFSET($R$3,0,0,'Données projet'!$E$9+1,1))-AVERAGE(OFFSET($H$3,0,0,'Données projet'!$E$9+1,1))</f>
        <v>388.88381485322674</v>
      </c>
      <c r="T39" s="62">
        <f t="shared" si="34"/>
        <v>355.82695155276218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19.714040615894461</v>
      </c>
      <c r="AA39" s="23">
        <f>EXP(-LN(2)/25)*AA38+(1-EXP(-LN(2)/25))/(LN(2)/25)*Calculateur!V39*Calculateur!X39*VLOOKUP('Données projet'!$B$9,Paramètres!$A$1:$I$89,3,0)*0.475*44/12</f>
        <v>11.865249016987859</v>
      </c>
      <c r="AB39" s="23">
        <f>EXP(-LN(2)/2)*AB38+(1-EXP(-LN(2)/2))/(LN(2)/2)*V39*Y39*VLOOKUP('Données projet'!$B$9,Paramètres!$A$1:$I$89,3,0)*0.475*44/12</f>
        <v>0.6061601752405994</v>
      </c>
      <c r="AC39" s="24">
        <f t="shared" si="3"/>
        <v>32.185449808122918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</v>
      </c>
      <c r="AI39" s="14">
        <f>IF('Données projet'!$A$62&gt;35,AI38+AH39-AQ38,IF(A39&lt;'Données projet'!$A$62,$AF$205^A39,IF(A39='Données projet'!$A$62,'Données projet'!$B$62,AI38+AH39-AQ38)))</f>
        <v>169.99999999999997</v>
      </c>
      <c r="AJ39" s="14">
        <f>AI39*VLOOKUP('Données projet'!$B$10,Paramètres!$A$1:$I$89,3,0)*VLOOKUP('Données projet'!$B$10,Paramètres!$A$1:$I$89,5,0)</f>
        <v>148.512</v>
      </c>
      <c r="AK39" s="14">
        <f t="shared" si="35"/>
        <v>38.240236326053513</v>
      </c>
      <c r="AL39" s="22">
        <f t="shared" si="4"/>
        <v>325.26014493454323</v>
      </c>
      <c r="AM39" s="62">
        <f t="shared" si="5"/>
        <v>618.59347826787655</v>
      </c>
      <c r="AN39" s="62">
        <f ca="1">AVERAGE(OFFSET($AM$3,0,0,'Données projet'!$E$10+1,1))-AVERAGE(OFFSET($H$3,0,0,'Données projet'!$E$10+1,1))</f>
        <v>321.62968871874483</v>
      </c>
      <c r="AO39" s="62">
        <f t="shared" si="36"/>
        <v>389.91636841473559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3.2449329048562796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4.5666270206635353</v>
      </c>
      <c r="AX39" s="23">
        <f t="shared" si="6"/>
        <v>7.8115599255198145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182.39999999999992</v>
      </c>
      <c r="BE39" s="14">
        <f>BD39*VLOOKUP('Données projet'!$B$11,Paramètres!$A$1:$I$89,3,0)*VLOOKUP('Données projet'!$B$11,Paramètres!$A$1:$I$89,5,0)</f>
        <v>133.73567999999992</v>
      </c>
      <c r="BF39" s="14">
        <f t="shared" si="37"/>
        <v>34.858136849359212</v>
      </c>
      <c r="BG39" s="22">
        <f t="shared" si="7"/>
        <v>293.63423101263379</v>
      </c>
      <c r="BH39" s="62">
        <f t="shared" si="8"/>
        <v>586.96756434596705</v>
      </c>
      <c r="BI39" s="62">
        <f ca="1">AVERAGE(OFFSET($BH$3,0,0,'Données projet'!$E$11+1,1))-AVERAGE(OFFSET($H$3,0,0,'Données projet'!$E$11+1,1))</f>
        <v>327.81662150328646</v>
      </c>
      <c r="BJ39" s="62">
        <f t="shared" si="38"/>
        <v>320.24200483294322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1.780815267065827</v>
      </c>
      <c r="BS39" s="24">
        <f t="shared" si="9"/>
        <v>1.780815267065827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174.79999999999998</v>
      </c>
      <c r="BZ39" s="14">
        <f>BY39*VLOOKUP('Données projet'!$B$12,Paramètres!$A$1:$I$89,3,0)*VLOOKUP('Données projet'!$B$12,Paramètres!$A$1:$I$89,5,0)</f>
        <v>95.440799999999996</v>
      </c>
      <c r="CA39" s="14">
        <f t="shared" si="39"/>
        <v>25.872898812185603</v>
      </c>
      <c r="CB39" s="22">
        <f t="shared" si="10"/>
        <v>211.28802543122325</v>
      </c>
      <c r="CC39" s="62">
        <f t="shared" si="11"/>
        <v>504.62135876455659</v>
      </c>
      <c r="CD39" s="62">
        <f ca="1">AVERAGE(OFFSET($CC$3,0,0,'Données projet'!$E$12+1,1))-AVERAGE(OFFSET($H$3,0,0,'Données projet'!$E$12+1,1))</f>
        <v>170.27677128684815</v>
      </c>
      <c r="CE39" s="62">
        <f t="shared" si="40"/>
        <v>243.47439640666289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3.8262798300245993</v>
      </c>
      <c r="CL39" s="23">
        <f>EXP(-LN(2)/25)*CL38+(1-EXP(-LN(2)/25))/(LN(2)/25)*Calculateur!CG39*Calculateur!CI39*VLOOKUP('Données projet'!$B$12,Paramètres!$A$1:$I$89,3,0)*0.475*44/12</f>
        <v>15.325498703816173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19.151778533840773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0</v>
      </c>
      <c r="CZ39" s="62">
        <f t="shared" si="42"/>
        <v>0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22.857142857142858</v>
      </c>
      <c r="N40" s="14">
        <f>IF('Données projet'!$A$36&gt;35,N39+M40-V39,IF(A40&lt;'Données projet'!$A$36,$K$205^A40,IF(A40='Données projet'!$A$36,'Données projet'!$B$36,N39+M40-V39)))</f>
        <v>335.71428571428567</v>
      </c>
      <c r="O40" s="14">
        <f>N40*VLOOKUP('Données projet'!$B$9,Paramètres!$A$1:$I$89,3,0)*VLOOKUP('Données projet'!$B$9,Paramètres!$A$1:$I$89,5,0)</f>
        <v>187.66428571428568</v>
      </c>
      <c r="P40" s="14">
        <f t="shared" si="33"/>
        <v>47.023188422454282</v>
      </c>
      <c r="Q40" s="22">
        <f t="shared" si="53"/>
        <v>408.74735078815547</v>
      </c>
      <c r="R40" s="62">
        <f t="shared" si="0"/>
        <v>702.08068412148873</v>
      </c>
      <c r="S40" s="62">
        <f ca="1">AVERAGE(OFFSET($R$3,0,0,'Données projet'!$E$9+1,1))-AVERAGE(OFFSET($H$3,0,0,'Données projet'!$E$9+1,1))</f>
        <v>388.88381485322674</v>
      </c>
      <c r="T40" s="62">
        <f t="shared" si="34"/>
        <v>355.82695155276218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19.32746030379424</v>
      </c>
      <c r="AA40" s="23">
        <f>EXP(-LN(2)/25)*AA39+(1-EXP(-LN(2)/25))/(LN(2)/25)*Calculateur!V40*Calculateur!X40*VLOOKUP('Données projet'!$B$9,Paramètres!$A$1:$I$89,3,0)*0.475*44/12</f>
        <v>11.540793158651999</v>
      </c>
      <c r="AB40" s="23">
        <f>EXP(-LN(2)/2)*AB39+(1-EXP(-LN(2)/2))/(LN(2)/2)*V40*Y40*VLOOKUP('Données projet'!$B$9,Paramètres!$A$1:$I$89,3,0)*0.475*44/12</f>
        <v>0.42861997039785382</v>
      </c>
      <c r="AC40" s="24">
        <f t="shared" si="3"/>
        <v>31.296873432844095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</v>
      </c>
      <c r="AI40" s="14">
        <f>IF('Données projet'!$A$62&gt;35,AI39+AH40-AQ39,IF(A40&lt;'Données projet'!$A$62,$AF$205^A40,IF(A40='Données projet'!$A$62,'Données projet'!$B$62,AI39+AH40-AQ39)))</f>
        <v>180.99999999999997</v>
      </c>
      <c r="AJ40" s="14">
        <f>AI40*VLOOKUP('Données projet'!$B$10,Paramètres!$A$1:$I$89,3,0)*VLOOKUP('Données projet'!$B$10,Paramètres!$A$1:$I$89,5,0)</f>
        <v>158.1216</v>
      </c>
      <c r="AK40" s="14">
        <f t="shared" si="35"/>
        <v>40.418546284954211</v>
      </c>
      <c r="AL40" s="22">
        <f t="shared" si="4"/>
        <v>345.79075477962851</v>
      </c>
      <c r="AM40" s="62">
        <f t="shared" si="5"/>
        <v>639.12408811296177</v>
      </c>
      <c r="AN40" s="62">
        <f ca="1">AVERAGE(OFFSET($AM$3,0,0,'Données projet'!$E$10+1,1))-AVERAGE(OFFSET($H$3,0,0,'Données projet'!$E$10+1,1))</f>
        <v>321.62968871874483</v>
      </c>
      <c r="AO40" s="62">
        <f t="shared" si="36"/>
        <v>389.91636841473559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3.181301749805689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3.229092933460906</v>
      </c>
      <c r="AX40" s="23">
        <f t="shared" si="6"/>
        <v>6.4103946832665955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193.79999999999993</v>
      </c>
      <c r="BE40" s="14">
        <f>BD40*VLOOKUP('Données projet'!$B$11,Paramètres!$A$1:$I$89,3,0)*VLOOKUP('Données projet'!$B$11,Paramètres!$A$1:$I$89,5,0)</f>
        <v>142.09415999999993</v>
      </c>
      <c r="BF40" s="14">
        <f t="shared" si="37"/>
        <v>36.776332799832325</v>
      </c>
      <c r="BG40" s="22">
        <f t="shared" si="7"/>
        <v>311.53277495970787</v>
      </c>
      <c r="BH40" s="62">
        <f t="shared" si="8"/>
        <v>604.86610829304118</v>
      </c>
      <c r="BI40" s="62">
        <f ca="1">AVERAGE(OFFSET($BH$3,0,0,'Données projet'!$E$11+1,1))-AVERAGE(OFFSET($H$3,0,0,'Données projet'!$E$11+1,1))</f>
        <v>327.81662150328646</v>
      </c>
      <c r="BJ40" s="62">
        <f t="shared" si="38"/>
        <v>320.24200483294322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1.2592265513827789</v>
      </c>
      <c r="BS40" s="24">
        <f t="shared" si="9"/>
        <v>1.2592265513827789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179.6</v>
      </c>
      <c r="BZ40" s="14">
        <f>BY40*VLOOKUP('Données projet'!$B$12,Paramètres!$A$1:$I$89,3,0)*VLOOKUP('Données projet'!$B$12,Paramètres!$A$1:$I$89,5,0)</f>
        <v>98.061599999999984</v>
      </c>
      <c r="CA40" s="14">
        <f t="shared" si="39"/>
        <v>26.499675705384416</v>
      </c>
      <c r="CB40" s="22">
        <f t="shared" si="10"/>
        <v>216.94422185354449</v>
      </c>
      <c r="CC40" s="62">
        <f t="shared" si="11"/>
        <v>510.27755518687781</v>
      </c>
      <c r="CD40" s="62">
        <f ca="1">AVERAGE(OFFSET($CC$3,0,0,'Données projet'!$E$12+1,1))-AVERAGE(OFFSET($H$3,0,0,'Données projet'!$E$12+1,1))</f>
        <v>170.27677128684815</v>
      </c>
      <c r="CE40" s="62">
        <f t="shared" si="40"/>
        <v>243.47439640666289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3.7512488163580695</v>
      </c>
      <c r="CL40" s="23">
        <f>EXP(-LN(2)/25)*CL39+(1-EXP(-LN(2)/25))/(LN(2)/25)*Calculateur!CG40*Calculateur!CI40*VLOOKUP('Données projet'!$B$12,Paramètres!$A$1:$I$89,3,0)*0.475*44/12</f>
        <v>14.90642213582737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18.657670952185441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0</v>
      </c>
      <c r="CZ40" s="62">
        <f t="shared" si="42"/>
        <v>0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22.857142857142858</v>
      </c>
      <c r="N41" s="14">
        <f>IF('Données projet'!$A$36&gt;35,N40+M41-V40,IF(A41&lt;'Données projet'!$A$36,$K$205^A41,IF(A41='Données projet'!$A$36,'Données projet'!$B$36,N40+M41-V40)))</f>
        <v>358.5714285714285</v>
      </c>
      <c r="O41" s="14">
        <f>N41*VLOOKUP('Données projet'!$B$9,Paramètres!$A$1:$I$89,3,0)*VLOOKUP('Données projet'!$B$9,Paramètres!$A$1:$I$89,5,0)</f>
        <v>200.44142857142853</v>
      </c>
      <c r="P41" s="14">
        <f t="shared" si="33"/>
        <v>49.841167913065057</v>
      </c>
      <c r="Q41" s="22">
        <f t="shared" si="53"/>
        <v>435.90885554382635</v>
      </c>
      <c r="R41" s="62">
        <f t="shared" si="0"/>
        <v>729.24218887715961</v>
      </c>
      <c r="S41" s="62">
        <f ca="1">AVERAGE(OFFSET($R$3,0,0,'Données projet'!$E$9+1,1))-AVERAGE(OFFSET($H$3,0,0,'Données projet'!$E$9+1,1))</f>
        <v>388.88381485322674</v>
      </c>
      <c r="T41" s="62">
        <f t="shared" si="34"/>
        <v>355.82695155276218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18.948460595823594</v>
      </c>
      <c r="AA41" s="23">
        <f>EXP(-LN(2)/25)*AA40+(1-EXP(-LN(2)/25))/(LN(2)/25)*Calculateur!V41*Calculateur!X41*VLOOKUP('Données projet'!$B$9,Paramètres!$A$1:$I$89,3,0)*0.475*44/12</f>
        <v>11.225209562824725</v>
      </c>
      <c r="AB41" s="23">
        <f>EXP(-LN(2)/2)*AB40+(1-EXP(-LN(2)/2))/(LN(2)/2)*V41*Y41*VLOOKUP('Données projet'!$B$9,Paramètres!$A$1:$I$89,3,0)*0.475*44/12</f>
        <v>0.3030800876202997</v>
      </c>
      <c r="AC41" s="24">
        <f t="shared" si="3"/>
        <v>30.476750246268619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</v>
      </c>
      <c r="AI41" s="14">
        <f>IF('Données projet'!$A$62&gt;35,AI40+AH41-AQ40,IF(A41&lt;'Données projet'!$A$62,$AF$205^A41,IF(A41='Données projet'!$A$62,'Données projet'!$B$62,AI40+AH41-AQ40)))</f>
        <v>191.99999999999997</v>
      </c>
      <c r="AJ41" s="14">
        <f>AI41*VLOOKUP('Données projet'!$B$10,Paramètres!$A$1:$I$89,3,0)*VLOOKUP('Données projet'!$B$10,Paramètres!$A$1:$I$89,5,0)</f>
        <v>167.7312</v>
      </c>
      <c r="AK41" s="14">
        <f t="shared" si="35"/>
        <v>42.581491199832655</v>
      </c>
      <c r="AL41" s="22">
        <f t="shared" si="4"/>
        <v>366.29460383970854</v>
      </c>
      <c r="AM41" s="62">
        <f t="shared" si="5"/>
        <v>659.6279371730418</v>
      </c>
      <c r="AN41" s="62">
        <f ca="1">AVERAGE(OFFSET($AM$3,0,0,'Données projet'!$E$10+1,1))-AVERAGE(OFFSET($H$3,0,0,'Données projet'!$E$10+1,1))</f>
        <v>321.62968871874483</v>
      </c>
      <c r="AO41" s="62">
        <f t="shared" si="36"/>
        <v>389.91636841473559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3.1189183628944681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2.2833135103317677</v>
      </c>
      <c r="AX41" s="23">
        <f t="shared" si="6"/>
        <v>5.4022318732262358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205.19999999999993</v>
      </c>
      <c r="BE41" s="14">
        <f>BD41*VLOOKUP('Données projet'!$B$11,Paramètres!$A$1:$I$89,3,0)*VLOOKUP('Données projet'!$B$11,Paramètres!$A$1:$I$89,5,0)</f>
        <v>150.45263999999995</v>
      </c>
      <c r="BF41" s="14">
        <f t="shared" si="37"/>
        <v>38.681431639913605</v>
      </c>
      <c r="BG41" s="22">
        <f t="shared" si="7"/>
        <v>329.40850810618275</v>
      </c>
      <c r="BH41" s="62">
        <f t="shared" si="8"/>
        <v>622.74184143951607</v>
      </c>
      <c r="BI41" s="62">
        <f ca="1">AVERAGE(OFFSET($BH$3,0,0,'Données projet'!$E$11+1,1))-AVERAGE(OFFSET($H$3,0,0,'Données projet'!$E$11+1,1))</f>
        <v>327.81662150328646</v>
      </c>
      <c r="BJ41" s="62">
        <f t="shared" si="38"/>
        <v>320.24200483294322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0.89040763353291352</v>
      </c>
      <c r="BS41" s="24">
        <f t="shared" si="9"/>
        <v>0.89040763353291352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184.4</v>
      </c>
      <c r="BZ41" s="14">
        <f>BY41*VLOOKUP('Données projet'!$B$12,Paramètres!$A$1:$I$89,3,0)*VLOOKUP('Données projet'!$B$12,Paramètres!$A$1:$I$89,5,0)</f>
        <v>100.6824</v>
      </c>
      <c r="CA41" s="14">
        <f t="shared" si="39"/>
        <v>27.124505534928659</v>
      </c>
      <c r="CB41" s="22">
        <f t="shared" si="10"/>
        <v>222.59702714000073</v>
      </c>
      <c r="CC41" s="62">
        <f t="shared" si="11"/>
        <v>515.93036047333408</v>
      </c>
      <c r="CD41" s="62">
        <f ca="1">AVERAGE(OFFSET($CC$3,0,0,'Données projet'!$E$12+1,1))-AVERAGE(OFFSET($H$3,0,0,'Données projet'!$E$12+1,1))</f>
        <v>170.27677128684815</v>
      </c>
      <c r="CE41" s="62">
        <f t="shared" si="40"/>
        <v>243.47439640666289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3.677689115105141</v>
      </c>
      <c r="CL41" s="23">
        <f>EXP(-LN(2)/25)*CL40+(1-EXP(-LN(2)/25))/(LN(2)/25)*Calculateur!CG41*Calculateur!CI41*VLOOKUP('Données projet'!$B$12,Paramètres!$A$1:$I$89,3,0)*0.475*44/12</f>
        <v>14.498805238628499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18.176494353733641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0</v>
      </c>
      <c r="CZ41" s="62">
        <f t="shared" si="42"/>
        <v>0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22.857142857142858</v>
      </c>
      <c r="N42" s="14">
        <f>IF('Données projet'!$A$36&gt;35,N41+M42-V41,IF(A42&lt;'Données projet'!$A$36,$K$205^A42,IF(A42='Données projet'!$A$36,'Données projet'!$B$36,N41+M42-V41)))</f>
        <v>381.42857142857133</v>
      </c>
      <c r="O42" s="14">
        <f>N42*VLOOKUP('Données projet'!$B$9,Paramètres!$A$1:$I$89,3,0)*VLOOKUP('Données projet'!$B$9,Paramètres!$A$1:$I$89,5,0)</f>
        <v>213.21857142857138</v>
      </c>
      <c r="P42" s="14">
        <f t="shared" si="33"/>
        <v>52.638300701942654</v>
      </c>
      <c r="Q42" s="22">
        <f t="shared" si="53"/>
        <v>463.03405229397862</v>
      </c>
      <c r="R42" s="62">
        <f t="shared" si="0"/>
        <v>756.36738562731193</v>
      </c>
      <c r="S42" s="62">
        <f ca="1">AVERAGE(OFFSET($R$3,0,0,'Données projet'!$E$9+1,1))-AVERAGE(OFFSET($H$3,0,0,'Données projet'!$E$9+1,1))</f>
        <v>388.88381485322674</v>
      </c>
      <c r="T42" s="62">
        <f t="shared" si="34"/>
        <v>355.82695155276218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18.576892840959257</v>
      </c>
      <c r="AA42" s="23">
        <f>EXP(-LN(2)/25)*AA41+(1-EXP(-LN(2)/25))/(LN(2)/25)*Calculateur!V42*Calculateur!X42*VLOOKUP('Données projet'!$B$9,Paramètres!$A$1:$I$89,3,0)*0.475*44/12</f>
        <v>10.918255617021167</v>
      </c>
      <c r="AB42" s="23">
        <f>EXP(-LN(2)/2)*AB41+(1-EXP(-LN(2)/2))/(LN(2)/2)*V42*Y42*VLOOKUP('Données projet'!$B$9,Paramètres!$A$1:$I$89,3,0)*0.475*44/12</f>
        <v>0.21430998519892691</v>
      </c>
      <c r="AC42" s="24">
        <f t="shared" si="3"/>
        <v>29.709458443179351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</v>
      </c>
      <c r="AI42" s="14">
        <f>IF('Données projet'!$A$62&gt;35,AI41+AH42-AQ41,IF(A42&lt;'Données projet'!$A$62,$AF$205^A42,IF(A42='Données projet'!$A$62,'Données projet'!$B$62,AI41+AH42-AQ41)))</f>
        <v>202.99999999999997</v>
      </c>
      <c r="AJ42" s="14">
        <f>AI42*VLOOKUP('Données projet'!$B$10,Paramètres!$A$1:$I$89,3,0)*VLOOKUP('Données projet'!$B$10,Paramètres!$A$1:$I$89,5,0)</f>
        <v>177.3408</v>
      </c>
      <c r="AK42" s="14">
        <f t="shared" si="35"/>
        <v>44.730051658603102</v>
      </c>
      <c r="AL42" s="22">
        <f t="shared" si="4"/>
        <v>386.77339997206701</v>
      </c>
      <c r="AM42" s="62">
        <f t="shared" si="5"/>
        <v>680.10673330540033</v>
      </c>
      <c r="AN42" s="62">
        <f ca="1">AVERAGE(OFFSET($AM$3,0,0,'Données projet'!$E$10+1,1))-AVERAGE(OFFSET($H$3,0,0,'Données projet'!$E$10+1,1))</f>
        <v>321.62968871874483</v>
      </c>
      <c r="AO42" s="62">
        <f t="shared" si="36"/>
        <v>389.91636841473559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3.0577582761504671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1.614546466730453</v>
      </c>
      <c r="AX42" s="23">
        <f t="shared" si="6"/>
        <v>4.6723047428809199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216.59999999999994</v>
      </c>
      <c r="BE42" s="14">
        <f>BD42*VLOOKUP('Données projet'!$B$11,Paramètres!$A$1:$I$89,3,0)*VLOOKUP('Données projet'!$B$11,Paramètres!$A$1:$I$89,5,0)</f>
        <v>158.81111999999996</v>
      </c>
      <c r="BF42" s="14">
        <f t="shared" si="37"/>
        <v>40.57424391712447</v>
      </c>
      <c r="BG42" s="22">
        <f t="shared" si="7"/>
        <v>347.26284215565835</v>
      </c>
      <c r="BH42" s="62">
        <f t="shared" si="8"/>
        <v>640.59617548899166</v>
      </c>
      <c r="BI42" s="62">
        <f ca="1">AVERAGE(OFFSET($BH$3,0,0,'Données projet'!$E$11+1,1))-AVERAGE(OFFSET($H$3,0,0,'Données projet'!$E$11+1,1))</f>
        <v>327.81662150328646</v>
      </c>
      <c r="BJ42" s="62">
        <f t="shared" si="38"/>
        <v>320.24200483294322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0.62961327569138947</v>
      </c>
      <c r="BS42" s="24">
        <f t="shared" si="9"/>
        <v>0.62961327569138947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189.20000000000002</v>
      </c>
      <c r="BZ42" s="14">
        <f>BY42*VLOOKUP('Données projet'!$B$12,Paramètres!$A$1:$I$89,3,0)*VLOOKUP('Données projet'!$B$12,Paramètres!$A$1:$I$89,5,0)</f>
        <v>103.3032</v>
      </c>
      <c r="CA42" s="14">
        <f t="shared" si="39"/>
        <v>27.747444810362108</v>
      </c>
      <c r="CB42" s="22">
        <f t="shared" si="10"/>
        <v>228.24653971138068</v>
      </c>
      <c r="CC42" s="62">
        <f t="shared" si="11"/>
        <v>521.57987304471396</v>
      </c>
      <c r="CD42" s="62">
        <f ca="1">AVERAGE(OFFSET($CC$3,0,0,'Données projet'!$E$12+1,1))-AVERAGE(OFFSET($H$3,0,0,'Données projet'!$E$12+1,1))</f>
        <v>170.27677128684815</v>
      </c>
      <c r="CE42" s="62">
        <f t="shared" si="40"/>
        <v>243.47439640666289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3.6055718747267949</v>
      </c>
      <c r="CL42" s="23">
        <f>EXP(-LN(2)/25)*CL41+(1-EXP(-LN(2)/25))/(LN(2)/25)*Calculateur!CG42*Calculateur!CI42*VLOOKUP('Données projet'!$B$12,Paramètres!$A$1:$I$89,3,0)*0.475*44/12</f>
        <v>14.102334646919173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17.707906521645967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0</v>
      </c>
      <c r="CZ42" s="62">
        <f t="shared" si="42"/>
        <v>0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22.857142857142858</v>
      </c>
      <c r="N43" s="14">
        <f>IF('Données projet'!$A$36&gt;35,N42+M43-V42,IF(A43&lt;'Données projet'!$A$36,$K$205^A43,IF(A43='Données projet'!$A$36,'Données projet'!$B$36,N42+M43-V42)))</f>
        <v>404.28571428571416</v>
      </c>
      <c r="O43" s="14">
        <f>N43*VLOOKUP('Données projet'!$B$9,Paramètres!$A$1:$I$89,3,0)*VLOOKUP('Données projet'!$B$9,Paramètres!$A$1:$I$89,5,0)</f>
        <v>225.99571428571423</v>
      </c>
      <c r="P43" s="14">
        <f t="shared" si="33"/>
        <v>55.415978303130387</v>
      </c>
      <c r="Q43" s="22">
        <f t="shared" si="53"/>
        <v>490.1253645922377</v>
      </c>
      <c r="R43" s="62">
        <f t="shared" si="0"/>
        <v>783.45869792557096</v>
      </c>
      <c r="S43" s="62">
        <f ca="1">AVERAGE(OFFSET($R$3,0,0,'Données projet'!$E$9+1,1))-AVERAGE(OFFSET($H$3,0,0,'Données projet'!$E$9+1,1))</f>
        <v>388.88381485322674</v>
      </c>
      <c r="T43" s="62">
        <f t="shared" si="34"/>
        <v>355.82695155276218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18.212611303133858</v>
      </c>
      <c r="AA43" s="23">
        <f>EXP(-LN(2)/25)*AA42+(1-EXP(-LN(2)/25))/(LN(2)/25)*Calculateur!V43*Calculateur!X43*VLOOKUP('Données projet'!$B$9,Paramètres!$A$1:$I$89,3,0)*0.475*44/12</f>
        <v>10.619695343007614</v>
      </c>
      <c r="AB43" s="23">
        <f>EXP(-LN(2)/2)*AB42+(1-EXP(-LN(2)/2))/(LN(2)/2)*V43*Y43*VLOOKUP('Données projet'!$B$9,Paramètres!$A$1:$I$89,3,0)*0.475*44/12</f>
        <v>0.15154004381014985</v>
      </c>
      <c r="AC43" s="24">
        <f t="shared" si="3"/>
        <v>28.983846689951623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214</v>
      </c>
      <c r="AG43" s="13">
        <f>VLOOKUP(A43,'Données projet'!$A$61:$I$81,9,0)</f>
        <v>11</v>
      </c>
      <c r="AH43" s="13">
        <f t="array" ref="AH43">INDEX(AG:AG,MIN(IF(ISNUMBER(AG43:AG239),ROW(AG43:AG239),"")))</f>
        <v>11</v>
      </c>
      <c r="AI43" s="14">
        <f>IF('Données projet'!$A$62&gt;35,AI42+AH43-AQ42,IF(A43&lt;'Données projet'!$A$62,$AF$205^A43,IF(A43='Données projet'!$A$62,'Données projet'!$B$62,AI42+AH43-AQ42)))</f>
        <v>213.99999999999997</v>
      </c>
      <c r="AJ43" s="14">
        <f>AI43*VLOOKUP('Données projet'!$B$10,Paramètres!$A$1:$I$89,3,0)*VLOOKUP('Données projet'!$B$10,Paramètres!$A$1:$I$89,5,0)</f>
        <v>186.9504</v>
      </c>
      <c r="AK43" s="14">
        <f t="shared" si="35"/>
        <v>46.865095976617653</v>
      </c>
      <c r="AL43" s="22">
        <f t="shared" si="4"/>
        <v>407.22865549260905</v>
      </c>
      <c r="AM43" s="62">
        <f t="shared" si="5"/>
        <v>700.56198882594231</v>
      </c>
      <c r="AN43" s="62">
        <f ca="1">AVERAGE(OFFSET($AM$3,0,0,'Données projet'!$E$10+1,1))-AVERAGE(OFFSET($H$3,0,0,'Données projet'!$E$10+1,1))</f>
        <v>321.62968871874483</v>
      </c>
      <c r="AO43" s="62">
        <f t="shared" si="36"/>
        <v>389.91636841473559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39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2.9977975014035465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1.1416567551658838</v>
      </c>
      <c r="AX43" s="23">
        <f t="shared" si="6"/>
        <v>4.1394542565694303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227.99999999999994</v>
      </c>
      <c r="BE43" s="14">
        <f>BD43*VLOOKUP('Données projet'!$B$11,Paramètres!$A$1:$I$89,3,0)*VLOOKUP('Données projet'!$B$11,Paramètres!$A$1:$I$89,5,0)</f>
        <v>167.16959999999995</v>
      </c>
      <c r="BF43" s="14">
        <f t="shared" si="37"/>
        <v>42.455490039298816</v>
      </c>
      <c r="BG43" s="22">
        <f t="shared" si="7"/>
        <v>365.09703181844537</v>
      </c>
      <c r="BH43" s="62">
        <f t="shared" si="8"/>
        <v>658.43036515177869</v>
      </c>
      <c r="BI43" s="62">
        <f ca="1">AVERAGE(OFFSET($BH$3,0,0,'Données projet'!$E$11+1,1))-AVERAGE(OFFSET($H$3,0,0,'Données projet'!$E$11+1,1))</f>
        <v>327.81662150328646</v>
      </c>
      <c r="BJ43" s="62">
        <f t="shared" si="38"/>
        <v>320.24200483294322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0.44520381676645676</v>
      </c>
      <c r="BS43" s="24">
        <f t="shared" si="9"/>
        <v>0.44520381676645676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194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194.00000000000003</v>
      </c>
      <c r="BZ43" s="14">
        <f>BY43*VLOOKUP('Données projet'!$B$12,Paramètres!$A$1:$I$89,3,0)*VLOOKUP('Données projet'!$B$12,Paramètres!$A$1:$I$89,5,0)</f>
        <v>105.92400000000001</v>
      </c>
      <c r="CA43" s="14">
        <f t="shared" si="39"/>
        <v>28.368547010555485</v>
      </c>
      <c r="CB43" s="22">
        <f t="shared" si="10"/>
        <v>233.89285271005079</v>
      </c>
      <c r="CC43" s="62">
        <f t="shared" si="11"/>
        <v>527.22618604338413</v>
      </c>
      <c r="CD43" s="62">
        <f ca="1">AVERAGE(OFFSET($CC$3,0,0,'Données projet'!$E$12+1,1))-AVERAGE(OFFSET($H$3,0,0,'Données projet'!$E$12+1,1))</f>
        <v>170.27677128684815</v>
      </c>
      <c r="CE43" s="62">
        <f t="shared" si="40"/>
        <v>243.47439640666289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11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3.5348688094450949</v>
      </c>
      <c r="CL43" s="23">
        <f>EXP(-LN(2)/25)*CL42+(1-EXP(-LN(2)/25))/(LN(2)/25)*Calculateur!CG43*Calculateur!CI43*VLOOKUP('Données projet'!$B$12,Paramètres!$A$1:$I$89,3,0)*0.475*44/12</f>
        <v>13.716705564389621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17.251574373834714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0</v>
      </c>
      <c r="CZ43" s="62">
        <f t="shared" si="42"/>
        <v>0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22.857142857142858</v>
      </c>
      <c r="N44" s="14">
        <f>IF('Données projet'!$A$36&gt;35,N43+M44-V43,IF(A44&lt;'Données projet'!$A$36,$K$205^A44,IF(A44='Données projet'!$A$36,'Données projet'!$B$36,N43+M44-V43)))</f>
        <v>427.142857142857</v>
      </c>
      <c r="O44" s="14">
        <f>N44*VLOOKUP('Données projet'!$B$9,Paramètres!$A$1:$I$89,3,0)*VLOOKUP('Données projet'!$B$9,Paramètres!$A$1:$I$89,5,0)</f>
        <v>238.77285714285705</v>
      </c>
      <c r="P44" s="14">
        <f t="shared" si="33"/>
        <v>58.175425999349969</v>
      </c>
      <c r="Q44" s="22">
        <f t="shared" si="53"/>
        <v>517.18492647267715</v>
      </c>
      <c r="R44" s="62">
        <f t="shared" si="0"/>
        <v>810.51825980601052</v>
      </c>
      <c r="S44" s="62">
        <f ca="1">AVERAGE(OFFSET($R$3,0,0,'Données projet'!$E$9+1,1))-AVERAGE(OFFSET($H$3,0,0,'Données projet'!$E$9+1,1))</f>
        <v>388.88381485322674</v>
      </c>
      <c r="T44" s="62">
        <f t="shared" si="34"/>
        <v>355.82695155276218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17.855473104075415</v>
      </c>
      <c r="AA44" s="23">
        <f>EXP(-LN(2)/25)*AA43+(1-EXP(-LN(2)/25))/(LN(2)/25)*Calculateur!V44*Calculateur!X44*VLOOKUP('Données projet'!$B$9,Paramètres!$A$1:$I$89,3,0)*0.475*44/12</f>
        <v>10.329299215387564</v>
      </c>
      <c r="AB44" s="23">
        <f>EXP(-LN(2)/2)*AB43+(1-EXP(-LN(2)/2))/(LN(2)/2)*V44*Y44*VLOOKUP('Données projet'!$B$9,Paramètres!$A$1:$I$89,3,0)*0.475*44/12</f>
        <v>0.10715499259946346</v>
      </c>
      <c r="AC44" s="24">
        <f t="shared" si="3"/>
        <v>28.291927312062441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184.79999999999998</v>
      </c>
      <c r="AJ44" s="14">
        <f>AI44*VLOOKUP('Données projet'!$B$10,Paramètres!$A$1:$I$89,3,0)*VLOOKUP('Données projet'!$B$10,Paramètres!$A$1:$I$89,5,0)</f>
        <v>161.44128000000001</v>
      </c>
      <c r="AK44" s="14">
        <f t="shared" si="35"/>
        <v>41.167430271655704</v>
      </c>
      <c r="AL44" s="22">
        <f t="shared" si="4"/>
        <v>352.87683705646697</v>
      </c>
      <c r="AM44" s="62">
        <f t="shared" si="5"/>
        <v>646.21017038980028</v>
      </c>
      <c r="AN44" s="62">
        <f ca="1">AVERAGE(OFFSET($AM$3,0,0,'Données projet'!$E$10+1,1))-AVERAGE(OFFSET($H$3,0,0,'Données projet'!$E$10+1,1))</f>
        <v>321.62968871874483</v>
      </c>
      <c r="AO44" s="62">
        <f t="shared" si="36"/>
        <v>389.91636841473559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2.9390125208769518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0.80727323336522649</v>
      </c>
      <c r="AX44" s="23">
        <f t="shared" si="6"/>
        <v>3.7462857542421784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202.79999999999995</v>
      </c>
      <c r="BE44" s="14">
        <f>BD44*VLOOKUP('Données projet'!$B$11,Paramètres!$A$1:$I$89,3,0)*VLOOKUP('Données projet'!$B$11,Paramètres!$A$1:$I$89,5,0)</f>
        <v>148.69295999999997</v>
      </c>
      <c r="BF44" s="14">
        <f t="shared" si="37"/>
        <v>38.281404966971365</v>
      </c>
      <c r="BG44" s="22">
        <f t="shared" si="7"/>
        <v>325.64701898414177</v>
      </c>
      <c r="BH44" s="62">
        <f t="shared" si="8"/>
        <v>618.98035231747508</v>
      </c>
      <c r="BI44" s="62">
        <f ca="1">AVERAGE(OFFSET($BH$3,0,0,'Données projet'!$E$11+1,1))-AVERAGE(OFFSET($H$3,0,0,'Données projet'!$E$11+1,1))</f>
        <v>327.81662150328646</v>
      </c>
      <c r="BJ44" s="62">
        <f t="shared" si="38"/>
        <v>320.24200483294322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0.31480663784569474</v>
      </c>
      <c r="BS44" s="24">
        <f t="shared" si="9"/>
        <v>0.31480663784569474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101.77440000000001</v>
      </c>
      <c r="CA44" s="14">
        <f t="shared" si="39"/>
        <v>27.384290185982298</v>
      </c>
      <c r="CB44" s="22">
        <f t="shared" si="10"/>
        <v>224.95138540725256</v>
      </c>
      <c r="CC44" s="62">
        <f t="shared" si="11"/>
        <v>518.28471874058584</v>
      </c>
      <c r="CD44" s="62">
        <f ca="1">AVERAGE(OFFSET($CC$3,0,0,'Données projet'!$E$12+1,1))-AVERAGE(OFFSET($H$3,0,0,'Données projet'!$E$12+1,1))</f>
        <v>170.27677128684815</v>
      </c>
      <c r="CE44" s="62">
        <f t="shared" si="40"/>
        <v>243.47439640666289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3.4655521881489575</v>
      </c>
      <c r="CL44" s="23">
        <f>EXP(-LN(2)/25)*CL43+(1-EXP(-LN(2)/25))/(LN(2)/25)*Calculateur!CG44*Calculateur!CI44*VLOOKUP('Données projet'!$B$12,Paramètres!$A$1:$I$89,3,0)*0.475*44/12</f>
        <v>13.341621529401191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16.80717371755015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0</v>
      </c>
      <c r="CZ44" s="62">
        <f t="shared" si="42"/>
        <v>0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</v>
      </c>
      <c r="L45" s="13">
        <f>VLOOKUP(A45,'Données projet'!$A$35:$I$55,9,0)</f>
        <v>22.857142857142858</v>
      </c>
      <c r="M45" s="13">
        <f t="array" ref="M45">INDEX(L:L,MIN(IF(ISNUMBER(L45:L241),ROW(L45:L241),"")))</f>
        <v>22.857142857142858</v>
      </c>
      <c r="N45" s="14">
        <f>IF('Données projet'!$A$36&gt;35,N44+M45-V44,IF(A45&lt;'Données projet'!$A$36,$K$205^A45,IF(A45='Données projet'!$A$36,'Données projet'!$B$36,N44+M45-V44)))</f>
        <v>449.99999999999983</v>
      </c>
      <c r="O45" s="14">
        <f>N45*VLOOKUP('Données projet'!$B$9,Paramètres!$A$1:$I$89,3,0)*VLOOKUP('Données projet'!$B$9,Paramètres!$A$1:$I$89,5,0)</f>
        <v>251.5499999999999</v>
      </c>
      <c r="P45" s="14">
        <f t="shared" si="33"/>
        <v>60.917730533154099</v>
      </c>
      <c r="Q45" s="22">
        <f t="shared" si="53"/>
        <v>544.21463067857655</v>
      </c>
      <c r="R45" s="62">
        <f t="shared" si="0"/>
        <v>837.54796401190993</v>
      </c>
      <c r="S45" s="62">
        <f ca="1">AVERAGE(OFFSET($R$3,0,0,'Données projet'!$E$9+1,1))-AVERAGE(OFFSET($H$3,0,0,'Données projet'!$E$9+1,1))</f>
        <v>388.88381485322674</v>
      </c>
      <c r="T45" s="62">
        <f t="shared" si="34"/>
        <v>355.82695155276218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100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17.505338167267716</v>
      </c>
      <c r="AA45" s="23">
        <f>EXP(-LN(2)/25)*AA44+(1-EXP(-LN(2)/25))/(LN(2)/25)*Calculateur!V45*Calculateur!X45*VLOOKUP('Données projet'!$B$9,Paramètres!$A$1:$I$89,3,0)*0.475*44/12</f>
        <v>10.046843985148554</v>
      </c>
      <c r="AB45" s="23">
        <f>EXP(-LN(2)/2)*AB44+(1-EXP(-LN(2)/2))/(LN(2)/2)*V45*Y45*VLOOKUP('Données projet'!$B$9,Paramètres!$A$1:$I$89,3,0)*0.475*44/12</f>
        <v>7.5770021905074925E-2</v>
      </c>
      <c r="AC45" s="24">
        <f t="shared" si="3"/>
        <v>27.627952174321347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194.6</v>
      </c>
      <c r="AJ45" s="14">
        <f>AI45*VLOOKUP('Données projet'!$B$10,Paramètres!$A$1:$I$89,3,0)*VLOOKUP('Données projet'!$B$10,Paramètres!$A$1:$I$89,5,0)</f>
        <v>170.00256000000002</v>
      </c>
      <c r="AK45" s="14">
        <f t="shared" si="35"/>
        <v>43.090596939649579</v>
      </c>
      <c r="AL45" s="22">
        <f t="shared" si="4"/>
        <v>371.1372483365563</v>
      </c>
      <c r="AM45" s="62">
        <f t="shared" si="5"/>
        <v>664.47058166988961</v>
      </c>
      <c r="AN45" s="62">
        <f ca="1">AVERAGE(OFFSET($AM$3,0,0,'Données projet'!$E$10+1,1))-AVERAGE(OFFSET($H$3,0,0,'Données projet'!$E$10+1,1))</f>
        <v>321.62968871874483</v>
      </c>
      <c r="AO45" s="62">
        <f t="shared" si="36"/>
        <v>389.91636841473559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2.8813802779631859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0.57082837758294191</v>
      </c>
      <c r="AX45" s="23">
        <f t="shared" si="6"/>
        <v>3.4522086555461278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212.59999999999997</v>
      </c>
      <c r="BE45" s="14">
        <f>BD45*VLOOKUP('Données projet'!$B$11,Paramètres!$A$1:$I$89,3,0)*VLOOKUP('Données projet'!$B$11,Paramètres!$A$1:$I$89,5,0)</f>
        <v>155.87831999999997</v>
      </c>
      <c r="BF45" s="14">
        <f t="shared" si="37"/>
        <v>39.911451633480986</v>
      </c>
      <c r="BG45" s="22">
        <f t="shared" si="7"/>
        <v>341.00051892831272</v>
      </c>
      <c r="BH45" s="62">
        <f t="shared" si="8"/>
        <v>634.33385226164603</v>
      </c>
      <c r="BI45" s="62">
        <f ca="1">AVERAGE(OFFSET($BH$3,0,0,'Données projet'!$E$11+1,1))-AVERAGE(OFFSET($H$3,0,0,'Données projet'!$E$11+1,1))</f>
        <v>327.81662150328646</v>
      </c>
      <c r="BJ45" s="62">
        <f t="shared" si="38"/>
        <v>320.24200483294322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0.22260190838322838</v>
      </c>
      <c r="BS45" s="24">
        <f t="shared" si="9"/>
        <v>0.22260190838322838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3.4</v>
      </c>
      <c r="BY45" s="13">
        <f>IF('Données projet'!$A$114&gt;35,BY44+BX45-CG44,IF(A45&lt;'Données projet'!$A$114,$BV$205^A45,IF(A45='Données projet'!$A$114,'Données projet'!$B$114,BY44+BX45-CG44)))</f>
        <v>189.80000000000004</v>
      </c>
      <c r="BZ45" s="14">
        <f>BY45*VLOOKUP('Données projet'!$B$12,Paramètres!$A$1:$I$89,3,0)*VLOOKUP('Données projet'!$B$12,Paramètres!$A$1:$I$89,5,0)</f>
        <v>103.63080000000001</v>
      </c>
      <c r="CA45" s="14">
        <f t="shared" si="39"/>
        <v>27.825181985080775</v>
      </c>
      <c r="CB45" s="22">
        <f t="shared" si="10"/>
        <v>228.952501957349</v>
      </c>
      <c r="CC45" s="62">
        <f t="shared" si="11"/>
        <v>522.28583529068237</v>
      </c>
      <c r="CD45" s="62">
        <f ca="1">AVERAGE(OFFSET($CC$3,0,0,'Données projet'!$E$12+1,1))-AVERAGE(OFFSET($H$3,0,0,'Données projet'!$E$12+1,1))</f>
        <v>170.27677128684815</v>
      </c>
      <c r="CE45" s="62">
        <f t="shared" si="40"/>
        <v>243.47439640666289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3.3975948235174731</v>
      </c>
      <c r="CL45" s="23">
        <f>EXP(-LN(2)/25)*CL44+(1-EXP(-LN(2)/25))/(LN(2)/25)*Calculateur!CG45*Calculateur!CI45*VLOOKUP('Données projet'!$B$12,Paramètres!$A$1:$I$89,3,0)*0.475*44/12</f>
        <v>12.976794187074333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16.374389010591806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0</v>
      </c>
      <c r="CZ45" s="62">
        <f t="shared" si="42"/>
        <v>0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</v>
      </c>
      <c r="N46" s="14">
        <f>IF('Données projet'!$A$36&gt;35,N45+M46-V45,IF(A46&lt;'Données projet'!$A$36,$K$205^A46,IF(A46='Données projet'!$A$36,'Données projet'!$B$36,N45+M46-V45)))</f>
        <v>371.99999999999983</v>
      </c>
      <c r="O46" s="14">
        <f>N46*VLOOKUP('Données projet'!$B$9,Paramètres!$A$1:$I$89,3,0)*VLOOKUP('Données projet'!$B$9,Paramètres!$A$1:$I$89,5,0)</f>
        <v>207.94799999999989</v>
      </c>
      <c r="P46" s="14">
        <f t="shared" si="33"/>
        <v>51.486916127068838</v>
      </c>
      <c r="Q46" s="22">
        <f t="shared" si="53"/>
        <v>451.849145587978</v>
      </c>
      <c r="R46" s="62">
        <f t="shared" si="0"/>
        <v>745.18247892131126</v>
      </c>
      <c r="S46" s="62">
        <f ca="1">AVERAGE(OFFSET($R$3,0,0,'Données projet'!$E$9+1,1))-AVERAGE(OFFSET($H$3,0,0,'Données projet'!$E$9+1,1))</f>
        <v>388.88381485322674</v>
      </c>
      <c r="T46" s="62">
        <f t="shared" si="34"/>
        <v>355.82695155276218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17.162069163009591</v>
      </c>
      <c r="AA46" s="23">
        <f>EXP(-LN(2)/25)*AA45+(1-EXP(-LN(2)/25))/(LN(2)/25)*Calculateur!V46*Calculateur!X46*VLOOKUP('Données projet'!$B$9,Paramètres!$A$1:$I$89,3,0)*0.475*44/12</f>
        <v>9.7721125080341036</v>
      </c>
      <c r="AB46" s="23">
        <f>EXP(-LN(2)/2)*AB45+(1-EXP(-LN(2)/2))/(LN(2)/2)*V46*Y46*VLOOKUP('Données projet'!$B$9,Paramètres!$A$1:$I$89,3,0)*0.475*44/12</f>
        <v>5.3577496299731728E-2</v>
      </c>
      <c r="AC46" s="24">
        <f t="shared" si="3"/>
        <v>26.987759167343427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204.4</v>
      </c>
      <c r="AJ46" s="14">
        <f>AI46*VLOOKUP('Données projet'!$B$10,Paramètres!$A$1:$I$89,3,0)*VLOOKUP('Données projet'!$B$10,Paramètres!$A$1:$I$89,5,0)</f>
        <v>178.56384000000003</v>
      </c>
      <c r="AK46" s="14">
        <f t="shared" si="35"/>
        <v>45.002518212442588</v>
      </c>
      <c r="AL46" s="22">
        <f t="shared" si="4"/>
        <v>389.37807388667096</v>
      </c>
      <c r="AM46" s="62">
        <f t="shared" si="5"/>
        <v>682.71140722000428</v>
      </c>
      <c r="AN46" s="62">
        <f ca="1">AVERAGE(OFFSET($AM$3,0,0,'Données projet'!$E$10+1,1))-AVERAGE(OFFSET($H$3,0,0,'Données projet'!$E$10+1,1))</f>
        <v>321.62968871874483</v>
      </c>
      <c r="AO46" s="62">
        <f t="shared" si="36"/>
        <v>389.91636841473559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2.8248781681807618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0.40363661668261325</v>
      </c>
      <c r="AX46" s="23">
        <f t="shared" si="6"/>
        <v>3.2285147848633748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222.39999999999998</v>
      </c>
      <c r="BE46" s="14">
        <f>BD46*VLOOKUP('Données projet'!$B$11,Paramètres!$A$1:$I$89,3,0)*VLOOKUP('Données projet'!$B$11,Paramètres!$A$1:$I$89,5,0)</f>
        <v>163.06367999999998</v>
      </c>
      <c r="BF46" s="14">
        <f t="shared" si="37"/>
        <v>41.532772330984628</v>
      </c>
      <c r="BG46" s="22">
        <f t="shared" si="7"/>
        <v>356.33882114313155</v>
      </c>
      <c r="BH46" s="62">
        <f t="shared" si="8"/>
        <v>649.67215447646481</v>
      </c>
      <c r="BI46" s="62">
        <f ca="1">AVERAGE(OFFSET($BH$3,0,0,'Données projet'!$E$11+1,1))-AVERAGE(OFFSET($H$3,0,0,'Données projet'!$E$11+1,1))</f>
        <v>327.81662150328646</v>
      </c>
      <c r="BJ46" s="62">
        <f t="shared" si="38"/>
        <v>320.24200483294322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0.15740331892284737</v>
      </c>
      <c r="BS46" s="24">
        <f t="shared" si="9"/>
        <v>0.15740331892284737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3.4</v>
      </c>
      <c r="BY46" s="13">
        <f>IF('Données projet'!$A$114&gt;35,BY45+BX46-CG45,IF(A46&lt;'Données projet'!$A$114,$BV$205^A46,IF(A46='Données projet'!$A$114,'Données projet'!$B$114,BY45+BX46-CG45)))</f>
        <v>193.20000000000005</v>
      </c>
      <c r="BZ46" s="14">
        <f>BY46*VLOOKUP('Données projet'!$B$12,Paramètres!$A$1:$I$89,3,0)*VLOOKUP('Données projet'!$B$12,Paramètres!$A$1:$I$89,5,0)</f>
        <v>105.48720000000003</v>
      </c>
      <c r="CA46" s="14">
        <f t="shared" si="39"/>
        <v>28.265155367923839</v>
      </c>
      <c r="CB46" s="22">
        <f t="shared" si="10"/>
        <v>232.95201893246744</v>
      </c>
      <c r="CC46" s="62">
        <f t="shared" si="11"/>
        <v>526.28535226580073</v>
      </c>
      <c r="CD46" s="62">
        <f ca="1">AVERAGE(OFFSET($CC$3,0,0,'Données projet'!$E$12+1,1))-AVERAGE(OFFSET($H$3,0,0,'Données projet'!$E$12+1,1))</f>
        <v>170.27677128684815</v>
      </c>
      <c r="CE46" s="62">
        <f t="shared" si="40"/>
        <v>243.47439640666289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3.3309700613565125</v>
      </c>
      <c r="CL46" s="23">
        <f>EXP(-LN(2)/25)*CL45+(1-EXP(-LN(2)/25))/(LN(2)/25)*Calculateur!CG46*Calculateur!CI46*VLOOKUP('Données projet'!$B$12,Paramètres!$A$1:$I$89,3,0)*0.475*44/12</f>
        <v>12.621943067608838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15.952913128965349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0</v>
      </c>
      <c r="CZ46" s="62">
        <f t="shared" si="42"/>
        <v>0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</v>
      </c>
      <c r="N47" s="14">
        <f>IF('Données projet'!$A$36&gt;35,N46+M47-V46,IF(A47&lt;'Données projet'!$A$36,$K$205^A47,IF(A47='Données projet'!$A$36,'Données projet'!$B$36,N46+M47-V46)))</f>
        <v>393.99999999999983</v>
      </c>
      <c r="O47" s="14">
        <f>N47*VLOOKUP('Données projet'!$B$9,Paramètres!$A$1:$I$89,3,0)*VLOOKUP('Données projet'!$B$9,Paramètres!$A$1:$I$89,5,0)</f>
        <v>220.24599999999992</v>
      </c>
      <c r="P47" s="14">
        <f t="shared" si="33"/>
        <v>54.168349127077136</v>
      </c>
      <c r="Q47" s="22">
        <f t="shared" si="53"/>
        <v>477.9383247296592</v>
      </c>
      <c r="R47" s="62">
        <f t="shared" si="0"/>
        <v>771.27165806299251</v>
      </c>
      <c r="S47" s="62">
        <f ca="1">AVERAGE(OFFSET($R$3,0,0,'Données projet'!$E$9+1,1))-AVERAGE(OFFSET($H$3,0,0,'Données projet'!$E$9+1,1))</f>
        <v>388.88381485322674</v>
      </c>
      <c r="T47" s="62">
        <f t="shared" si="34"/>
        <v>355.82695155276218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16.825531454551548</v>
      </c>
      <c r="AA47" s="23">
        <f>EXP(-LN(2)/25)*AA46+(1-EXP(-LN(2)/25))/(LN(2)/25)*Calculateur!V47*Calculateur!X47*VLOOKUP('Données projet'!$B$9,Paramètres!$A$1:$I$89,3,0)*0.475*44/12</f>
        <v>9.5048935776088488</v>
      </c>
      <c r="AB47" s="23">
        <f>EXP(-LN(2)/2)*AB46+(1-EXP(-LN(2)/2))/(LN(2)/2)*V47*Y47*VLOOKUP('Données projet'!$B$9,Paramètres!$A$1:$I$89,3,0)*0.475*44/12</f>
        <v>3.7885010952537462E-2</v>
      </c>
      <c r="AC47" s="24">
        <f t="shared" si="3"/>
        <v>26.368310043112935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214.20000000000002</v>
      </c>
      <c r="AJ47" s="14">
        <f>AI47*VLOOKUP('Données projet'!$B$10,Paramètres!$A$1:$I$89,3,0)*VLOOKUP('Données projet'!$B$10,Paramètres!$A$1:$I$89,5,0)</f>
        <v>187.12512000000004</v>
      </c>
      <c r="AK47" s="14">
        <f t="shared" si="35"/>
        <v>46.903794805770545</v>
      </c>
      <c r="AL47" s="22">
        <f t="shared" si="4"/>
        <v>407.60035995338376</v>
      </c>
      <c r="AM47" s="62">
        <f t="shared" si="5"/>
        <v>700.93369328671702</v>
      </c>
      <c r="AN47" s="62">
        <f ca="1">AVERAGE(OFFSET($AM$3,0,0,'Données projet'!$E$10+1,1))-AVERAGE(OFFSET($H$3,0,0,'Données projet'!$E$10+1,1))</f>
        <v>321.62968871874483</v>
      </c>
      <c r="AO47" s="62">
        <f t="shared" si="36"/>
        <v>389.91636841473559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2.7694840303082868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0.28541418879147096</v>
      </c>
      <c r="AX47" s="23">
        <f t="shared" si="6"/>
        <v>3.0548982190997576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</v>
      </c>
      <c r="BE47" s="14">
        <f>BD47*VLOOKUP('Données projet'!$B$11,Paramètres!$A$1:$I$89,3,0)*VLOOKUP('Données projet'!$B$11,Paramètres!$A$1:$I$89,5,0)</f>
        <v>170.24903999999998</v>
      </c>
      <c r="BF47" s="14">
        <f t="shared" si="37"/>
        <v>43.145795507930117</v>
      </c>
      <c r="BG47" s="22">
        <f t="shared" si="7"/>
        <v>371.66267184297823</v>
      </c>
      <c r="BH47" s="62">
        <f t="shared" si="8"/>
        <v>664.99600517631154</v>
      </c>
      <c r="BI47" s="62">
        <f ca="1">AVERAGE(OFFSET($BH$3,0,0,'Données projet'!$E$11+1,1))-AVERAGE(OFFSET($H$3,0,0,'Données projet'!$E$11+1,1))</f>
        <v>327.81662150328646</v>
      </c>
      <c r="BJ47" s="62">
        <f t="shared" si="38"/>
        <v>320.24200483294322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0.11130095419161419</v>
      </c>
      <c r="BS47" s="24">
        <f t="shared" si="9"/>
        <v>0.11130095419161419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3.4</v>
      </c>
      <c r="BY47" s="13">
        <f>IF('Données projet'!$A$114&gt;35,BY46+BX47-CG46,IF(A47&lt;'Données projet'!$A$114,$BV$205^A47,IF(A47='Données projet'!$A$114,'Données projet'!$B$114,BY46+BX47-CG46)))</f>
        <v>196.60000000000005</v>
      </c>
      <c r="BZ47" s="14">
        <f>BY47*VLOOKUP('Données projet'!$B$12,Paramètres!$A$1:$I$89,3,0)*VLOOKUP('Données projet'!$B$12,Paramètres!$A$1:$I$89,5,0)</f>
        <v>107.34360000000002</v>
      </c>
      <c r="CA47" s="14">
        <f t="shared" si="39"/>
        <v>28.704228361851108</v>
      </c>
      <c r="CB47" s="22">
        <f t="shared" si="10"/>
        <v>236.94996773022407</v>
      </c>
      <c r="CC47" s="62">
        <f t="shared" si="11"/>
        <v>530.28330106355736</v>
      </c>
      <c r="CD47" s="62">
        <f ca="1">AVERAGE(OFFSET($CC$3,0,0,'Données projet'!$E$12+1,1))-AVERAGE(OFFSET($H$3,0,0,'Données projet'!$E$12+1,1))</f>
        <v>170.27677128684815</v>
      </c>
      <c r="CE47" s="62">
        <f t="shared" si="40"/>
        <v>243.47439640666289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3.2656517701444359</v>
      </c>
      <c r="CL47" s="23">
        <f>EXP(-LN(2)/25)*CL46+(1-EXP(-LN(2)/25))/(LN(2)/25)*Calculateur!CG47*Calculateur!CI47*VLOOKUP('Données projet'!$B$12,Paramètres!$A$1:$I$89,3,0)*0.475*44/12</f>
        <v>12.276795370665935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15.542447140810371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0</v>
      </c>
      <c r="CZ47" s="62">
        <f t="shared" si="42"/>
        <v>0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22</v>
      </c>
      <c r="N48" s="14">
        <f>IF('Données projet'!$A$36&gt;35,N47+M48-V47,IF(A48&lt;'Données projet'!$A$36,$K$205^A48,IF(A48='Données projet'!$A$36,'Données projet'!$B$36,N47+M48-V47)))</f>
        <v>415.99999999999983</v>
      </c>
      <c r="O48" s="14">
        <f>N48*VLOOKUP('Données projet'!$B$9,Paramètres!$A$1:$I$89,3,0)*VLOOKUP('Données projet'!$B$9,Paramètres!$A$1:$I$89,5,0)</f>
        <v>232.5439999999999</v>
      </c>
      <c r="P48" s="14">
        <f t="shared" si="33"/>
        <v>56.832401153973727</v>
      </c>
      <c r="Q48" s="22">
        <f t="shared" si="53"/>
        <v>503.99723200983743</v>
      </c>
      <c r="R48" s="62">
        <f t="shared" si="0"/>
        <v>797.33056534317075</v>
      </c>
      <c r="S48" s="62">
        <f ca="1">AVERAGE(OFFSET($R$3,0,0,'Données projet'!$E$9+1,1))-AVERAGE(OFFSET($H$3,0,0,'Données projet'!$E$9+1,1))</f>
        <v>388.88381485322674</v>
      </c>
      <c r="T48" s="62">
        <f t="shared" si="34"/>
        <v>355.82695155276218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16.495593045288636</v>
      </c>
      <c r="AA48" s="23">
        <f>EXP(-LN(2)/25)*AA47+(1-EXP(-LN(2)/25))/(LN(2)/25)*Calculateur!V48*Calculateur!X48*VLOOKUP('Données projet'!$B$9,Paramètres!$A$1:$I$89,3,0)*0.475*44/12</f>
        <v>9.2449817628885054</v>
      </c>
      <c r="AB48" s="23">
        <f>EXP(-LN(2)/2)*AB47+(1-EXP(-LN(2)/2))/(LN(2)/2)*V48*Y48*VLOOKUP('Données projet'!$B$9,Paramètres!$A$1:$I$89,3,0)*0.475*44/12</f>
        <v>2.6788748149865864E-2</v>
      </c>
      <c r="AC48" s="24">
        <f t="shared" si="3"/>
        <v>25.767363556327009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224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224.00000000000003</v>
      </c>
      <c r="AJ48" s="14">
        <f>AI48*VLOOKUP('Données projet'!$B$10,Paramètres!$A$1:$I$89,3,0)*VLOOKUP('Données projet'!$B$10,Paramètres!$A$1:$I$89,5,0)</f>
        <v>195.68640000000005</v>
      </c>
      <c r="AK48" s="14">
        <f t="shared" si="35"/>
        <v>48.794969360985156</v>
      </c>
      <c r="AL48" s="22">
        <f t="shared" si="4"/>
        <v>425.80505163704925</v>
      </c>
      <c r="AM48" s="62">
        <f t="shared" si="5"/>
        <v>719.1383849703825</v>
      </c>
      <c r="AN48" s="62">
        <f ca="1">AVERAGE(OFFSET($AM$3,0,0,'Données projet'!$E$10+1,1))-AVERAGE(OFFSET($H$3,0,0,'Données projet'!$E$10+1,1))</f>
        <v>321.62968871874483</v>
      </c>
      <c r="AO48" s="62">
        <f t="shared" si="36"/>
        <v>389.91636841473559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2.7151761376924033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0.20181830834130662</v>
      </c>
      <c r="AX48" s="23">
        <f t="shared" si="6"/>
        <v>2.9169944460337098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</v>
      </c>
      <c r="BE48" s="14">
        <f>BD48*VLOOKUP('Données projet'!$B$11,Paramètres!$A$1:$I$89,3,0)*VLOOKUP('Données projet'!$B$11,Paramètres!$A$1:$I$89,5,0)</f>
        <v>177.43440000000001</v>
      </c>
      <c r="BF48" s="14">
        <f t="shared" si="37"/>
        <v>44.750911401641211</v>
      </c>
      <c r="BG48" s="22">
        <f t="shared" si="7"/>
        <v>386.97275069119178</v>
      </c>
      <c r="BH48" s="62">
        <f t="shared" si="8"/>
        <v>680.30608402452503</v>
      </c>
      <c r="BI48" s="62">
        <f ca="1">AVERAGE(OFFSET($BH$3,0,0,'Données projet'!$E$11+1,1))-AVERAGE(OFFSET($H$3,0,0,'Données projet'!$E$11+1,1))</f>
        <v>327.81662150328646</v>
      </c>
      <c r="BJ48" s="62">
        <f t="shared" si="38"/>
        <v>320.24200483294322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7.8701659461423684E-2</v>
      </c>
      <c r="BS48" s="24">
        <f t="shared" si="9"/>
        <v>7.8701659461423684E-2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200</v>
      </c>
      <c r="BW48" s="13">
        <f>VLOOKUP(A48,'Données projet'!$A$113:$I$133,9,0)</f>
        <v>3.4</v>
      </c>
      <c r="BX48" s="13">
        <f t="array" ref="BX48">INDEX(BW:BW,MIN(IF(ISNUMBER(BW48:BW244),ROW(BW48:BW244),"")))</f>
        <v>3.4</v>
      </c>
      <c r="BY48" s="13">
        <f>IF('Données projet'!$A$114&gt;35,BY47+BX48-CG47,IF(A48&lt;'Données projet'!$A$114,$BV$205^A48,IF(A48='Données projet'!$A$114,'Données projet'!$B$114,BY47+BX48-CG47)))</f>
        <v>200.00000000000006</v>
      </c>
      <c r="BZ48" s="14">
        <f>BY48*VLOOKUP('Données projet'!$B$12,Paramètres!$A$1:$I$89,3,0)*VLOOKUP('Données projet'!$B$12,Paramètres!$A$1:$I$89,5,0)</f>
        <v>109.20000000000002</v>
      </c>
      <c r="CA48" s="14">
        <f t="shared" si="39"/>
        <v>29.142418334948612</v>
      </c>
      <c r="CB48" s="22">
        <f t="shared" si="10"/>
        <v>240.9463786000355</v>
      </c>
      <c r="CC48" s="62">
        <f t="shared" si="11"/>
        <v>534.27971193336884</v>
      </c>
      <c r="CD48" s="62">
        <f ca="1">AVERAGE(OFFSET($CC$3,0,0,'Données projet'!$E$12+1,1))-AVERAGE(OFFSET($H$3,0,0,'Données projet'!$E$12+1,1))</f>
        <v>170.27677128684815</v>
      </c>
      <c r="CE48" s="62">
        <f t="shared" si="40"/>
        <v>243.47439640666289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3.2016143307828044</v>
      </c>
      <c r="CL48" s="23">
        <f>EXP(-LN(2)/25)*CL47+(1-EXP(-LN(2)/25))/(LN(2)/25)*Calculateur!CG48*Calculateur!CI48*VLOOKUP('Données projet'!$B$12,Paramètres!$A$1:$I$89,3,0)*0.475*44/12</f>
        <v>11.941085755646466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15.14270008642927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0</v>
      </c>
      <c r="CZ48" s="62">
        <f t="shared" si="42"/>
        <v>0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22</v>
      </c>
      <c r="N49" s="14">
        <f>IF('Données projet'!$A$36&gt;35,N48+M49-V48,IF(A49&lt;'Données projet'!$A$36,$K$205^A49,IF(A49='Données projet'!$A$36,'Données projet'!$B$36,N48+M49-V48)))</f>
        <v>437.99999999999983</v>
      </c>
      <c r="O49" s="14">
        <f>N49*VLOOKUP('Données projet'!$B$9,Paramètres!$A$1:$I$89,3,0)*VLOOKUP('Données projet'!$B$9,Paramètres!$A$1:$I$89,5,0)</f>
        <v>244.8419999999999</v>
      </c>
      <c r="P49" s="14">
        <f t="shared" si="33"/>
        <v>59.480096214206256</v>
      </c>
      <c r="Q49" s="22">
        <f t="shared" si="53"/>
        <v>530.02765090640912</v>
      </c>
      <c r="R49" s="62">
        <f t="shared" si="0"/>
        <v>823.36098423974249</v>
      </c>
      <c r="S49" s="62">
        <f ca="1">AVERAGE(OFFSET($R$3,0,0,'Données projet'!$E$9+1,1))-AVERAGE(OFFSET($H$3,0,0,'Données projet'!$E$9+1,1))</f>
        <v>388.88381485322674</v>
      </c>
      <c r="T49" s="62">
        <f t="shared" si="34"/>
        <v>355.82695155276218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16.17212452698881</v>
      </c>
      <c r="AA49" s="23">
        <f>EXP(-LN(2)/25)*AA48+(1-EXP(-LN(2)/25))/(LN(2)/25)*Calculateur!V49*Calculateur!X49*VLOOKUP('Données projet'!$B$9,Paramètres!$A$1:$I$89,3,0)*0.475*44/12</f>
        <v>8.992177250409858</v>
      </c>
      <c r="AB49" s="23">
        <f>EXP(-LN(2)/2)*AB48+(1-EXP(-LN(2)/2))/(LN(2)/2)*V49*Y49*VLOOKUP('Données projet'!$B$9,Paramètres!$A$1:$I$89,3,0)*0.475*44/12</f>
        <v>1.8942505476268731E-2</v>
      </c>
      <c r="AC49" s="24">
        <f t="shared" si="3"/>
        <v>25.183244282874938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8.6</v>
      </c>
      <c r="AI49" s="14">
        <f>IF('Données projet'!$A$62&gt;35,AI48+AH49-AQ48,IF(A49&lt;'Données projet'!$A$62,$AF$205^A49,IF(A49='Données projet'!$A$62,'Données projet'!$B$62,AI48+AH49-AQ48)))</f>
        <v>196.60000000000002</v>
      </c>
      <c r="AJ49" s="14">
        <f>AI49*VLOOKUP('Données projet'!$B$10,Paramètres!$A$1:$I$89,3,0)*VLOOKUP('Données projet'!$B$10,Paramètres!$A$1:$I$89,5,0)</f>
        <v>171.74976000000004</v>
      </c>
      <c r="AK49" s="14">
        <f t="shared" si="35"/>
        <v>43.481677757882629</v>
      </c>
      <c r="AL49" s="22">
        <f t="shared" si="4"/>
        <v>374.8614207616456</v>
      </c>
      <c r="AM49" s="62">
        <f t="shared" si="5"/>
        <v>668.19475409497886</v>
      </c>
      <c r="AN49" s="62">
        <f ca="1">AVERAGE(OFFSET($AM$3,0,0,'Données projet'!$E$10+1,1))-AVERAGE(OFFSET($H$3,0,0,'Données projet'!$E$10+1,1))</f>
        <v>321.62968871874483</v>
      </c>
      <c r="AO49" s="62">
        <f t="shared" si="36"/>
        <v>389.91636841473559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2.6619331897261738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0.14270709439573548</v>
      </c>
      <c r="AX49" s="23">
        <f t="shared" si="6"/>
        <v>2.8046402841219091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226.4</v>
      </c>
      <c r="BE49" s="14">
        <f>BD49*VLOOKUP('Données projet'!$B$11,Paramètres!$A$1:$I$89,3,0)*VLOOKUP('Données projet'!$B$11,Paramètres!$A$1:$I$89,5,0)</f>
        <v>165.99648000000002</v>
      </c>
      <c r="BF49" s="14">
        <f t="shared" si="37"/>
        <v>42.192128407494515</v>
      </c>
      <c r="BG49" s="22">
        <f t="shared" si="7"/>
        <v>362.59515964305297</v>
      </c>
      <c r="BH49" s="62">
        <f t="shared" si="8"/>
        <v>655.92849297638622</v>
      </c>
      <c r="BI49" s="62">
        <f ca="1">AVERAGE(OFFSET($BH$3,0,0,'Données projet'!$E$11+1,1))-AVERAGE(OFFSET($H$3,0,0,'Données projet'!$E$11+1,1))</f>
        <v>327.81662150328646</v>
      </c>
      <c r="BJ49" s="62">
        <f t="shared" si="38"/>
        <v>320.24200483294322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5.5650477095807095E-2</v>
      </c>
      <c r="BS49" s="24">
        <f t="shared" si="9"/>
        <v>5.5650477095807095E-2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2.6</v>
      </c>
      <c r="BY49" s="13">
        <f>IF('Données projet'!$A$114&gt;35,BY48+BX49-CG48,IF(A49&lt;'Données projet'!$A$114,$BV$205^A49,IF(A49='Données projet'!$A$114,'Données projet'!$B$114,BY48+BX49-CG48)))</f>
        <v>194.60000000000005</v>
      </c>
      <c r="BZ49" s="14">
        <f>BY49*VLOOKUP('Données projet'!$B$12,Paramètres!$A$1:$I$89,3,0)*VLOOKUP('Données projet'!$B$12,Paramètres!$A$1:$I$89,5,0)</f>
        <v>106.25160000000002</v>
      </c>
      <c r="CA49" s="14">
        <f t="shared" si="39"/>
        <v>28.446058169408015</v>
      </c>
      <c r="CB49" s="22">
        <f t="shared" si="10"/>
        <v>234.59842131171899</v>
      </c>
      <c r="CC49" s="62">
        <f t="shared" si="11"/>
        <v>527.93175464505225</v>
      </c>
      <c r="CD49" s="62">
        <f ca="1">AVERAGE(OFFSET($CC$3,0,0,'Données projet'!$E$12+1,1))-AVERAGE(OFFSET($H$3,0,0,'Données projet'!$E$12+1,1))</f>
        <v>170.27677128684815</v>
      </c>
      <c r="CE49" s="62">
        <f t="shared" si="40"/>
        <v>243.47439640666289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3.1388326265480733</v>
      </c>
      <c r="CL49" s="23">
        <f>EXP(-LN(2)/25)*CL48+(1-EXP(-LN(2)/25))/(LN(2)/25)*Calculateur!CG49*Calculateur!CI49*VLOOKUP('Données projet'!$B$12,Paramètres!$A$1:$I$89,3,0)*0.475*44/12</f>
        <v>11.614556137703905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14.753388764251978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0</v>
      </c>
      <c r="CZ49" s="62">
        <f t="shared" si="42"/>
        <v>0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22</v>
      </c>
      <c r="N50" s="14">
        <f>IF('Données projet'!$A$36&gt;35,N49+M50-V49,IF(A50&lt;'Données projet'!$A$36,$K$205^A50,IF(A50='Données projet'!$A$36,'Données projet'!$B$36,N49+M50-V49)))</f>
        <v>459.99999999999983</v>
      </c>
      <c r="O50" s="14">
        <f>N50*VLOOKUP('Données projet'!$B$9,Paramètres!$A$1:$I$89,3,0)*VLOOKUP('Données projet'!$B$9,Paramètres!$A$1:$I$89,5,0)</f>
        <v>257.13999999999993</v>
      </c>
      <c r="P50" s="14">
        <f t="shared" si="33"/>
        <v>62.112349635142181</v>
      </c>
      <c r="Q50" s="22">
        <f t="shared" si="53"/>
        <v>556.03117561453917</v>
      </c>
      <c r="R50" s="62">
        <f t="shared" si="0"/>
        <v>849.36450894787254</v>
      </c>
      <c r="S50" s="62">
        <f ca="1">AVERAGE(OFFSET($R$3,0,0,'Données projet'!$E$9+1,1))-AVERAGE(OFFSET($H$3,0,0,'Données projet'!$E$9+1,1))</f>
        <v>388.88381485322674</v>
      </c>
      <c r="T50" s="62">
        <f t="shared" si="34"/>
        <v>355.82695155276218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15.854999029036529</v>
      </c>
      <c r="AA50" s="23">
        <f>EXP(-LN(2)/25)*AA49+(1-EXP(-LN(2)/25))/(LN(2)/25)*Calculateur!V50*Calculateur!X50*VLOOKUP('Données projet'!$B$9,Paramètres!$A$1:$I$89,3,0)*0.475*44/12</f>
        <v>8.7462856906193505</v>
      </c>
      <c r="AB50" s="23">
        <f>EXP(-LN(2)/2)*AB49+(1-EXP(-LN(2)/2))/(LN(2)/2)*V50*Y50*VLOOKUP('Données projet'!$B$9,Paramètres!$A$1:$I$89,3,0)*0.475*44/12</f>
        <v>1.3394374074932932E-2</v>
      </c>
      <c r="AC50" s="24">
        <f t="shared" si="3"/>
        <v>24.614679093730814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8.6</v>
      </c>
      <c r="AI50" s="14">
        <f>IF('Données projet'!$A$62&gt;35,AI49+AH50-AQ49,IF(A50&lt;'Données projet'!$A$62,$AF$205^A50,IF(A50='Données projet'!$A$62,'Données projet'!$B$62,AI49+AH50-AQ49)))</f>
        <v>205.20000000000002</v>
      </c>
      <c r="AJ50" s="14">
        <f>AI50*VLOOKUP('Données projet'!$B$10,Paramètres!$A$1:$I$89,3,0)*VLOOKUP('Données projet'!$B$10,Paramètres!$A$1:$I$89,5,0)</f>
        <v>179.26272000000003</v>
      </c>
      <c r="AK50" s="14">
        <f t="shared" si="35"/>
        <v>45.158115787467153</v>
      </c>
      <c r="AL50" s="22">
        <f t="shared" si="4"/>
        <v>390.86628899650532</v>
      </c>
      <c r="AM50" s="62">
        <f t="shared" si="5"/>
        <v>684.19962232983858</v>
      </c>
      <c r="AN50" s="62">
        <f ca="1">AVERAGE(OFFSET($AM$3,0,0,'Données projet'!$E$10+1,1))-AVERAGE(OFFSET($H$3,0,0,'Données projet'!$E$10+1,1))</f>
        <v>321.62968871874483</v>
      </c>
      <c r="AO50" s="62">
        <f t="shared" si="36"/>
        <v>389.91636841473559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2.6097343034945704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0.10090915417065331</v>
      </c>
      <c r="AX50" s="23">
        <f t="shared" si="6"/>
        <v>2.7106434576652236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234.8</v>
      </c>
      <c r="BE50" s="14">
        <f>BD50*VLOOKUP('Données projet'!$B$11,Paramètres!$A$1:$I$89,3,0)*VLOOKUP('Données projet'!$B$11,Paramètres!$A$1:$I$89,5,0)</f>
        <v>172.15536</v>
      </c>
      <c r="BF50" s="14">
        <f t="shared" si="37"/>
        <v>43.572397992580903</v>
      </c>
      <c r="BG50" s="22">
        <f t="shared" si="7"/>
        <v>375.72584517041173</v>
      </c>
      <c r="BH50" s="62">
        <f t="shared" si="8"/>
        <v>669.05917850374499</v>
      </c>
      <c r="BI50" s="62">
        <f ca="1">AVERAGE(OFFSET($BH$3,0,0,'Données projet'!$E$11+1,1))-AVERAGE(OFFSET($H$3,0,0,'Données projet'!$E$11+1,1))</f>
        <v>327.81662150328646</v>
      </c>
      <c r="BJ50" s="62">
        <f t="shared" si="38"/>
        <v>320.24200483294322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3.9350829730711842E-2</v>
      </c>
      <c r="BS50" s="24">
        <f t="shared" si="9"/>
        <v>3.9350829730711842E-2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2.6</v>
      </c>
      <c r="BY50" s="13">
        <f>IF('Données projet'!$A$114&gt;35,BY49+BX50-CG49,IF(A50&lt;'Données projet'!$A$114,$BV$205^A50,IF(A50='Données projet'!$A$114,'Données projet'!$B$114,BY49+BX50-CG49)))</f>
        <v>197.20000000000005</v>
      </c>
      <c r="BZ50" s="14">
        <f>BY50*VLOOKUP('Données projet'!$B$12,Paramètres!$A$1:$I$89,3,0)*VLOOKUP('Données projet'!$B$12,Paramètres!$A$1:$I$89,5,0)</f>
        <v>107.67120000000001</v>
      </c>
      <c r="CA50" s="14">
        <f t="shared" si="39"/>
        <v>28.781619683258381</v>
      </c>
      <c r="CB50" s="22">
        <f t="shared" si="10"/>
        <v>237.65532761500836</v>
      </c>
      <c r="CC50" s="62">
        <f t="shared" si="11"/>
        <v>530.9886609483417</v>
      </c>
      <c r="CD50" s="62">
        <f ca="1">AVERAGE(OFFSET($CC$3,0,0,'Données projet'!$E$12+1,1))-AVERAGE(OFFSET($H$3,0,0,'Données projet'!$E$12+1,1))</f>
        <v>170.27677128684815</v>
      </c>
      <c r="CE50" s="62">
        <f t="shared" si="40"/>
        <v>243.47439640666289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3.0772820332403268</v>
      </c>
      <c r="CL50" s="23">
        <f>EXP(-LN(2)/25)*CL49+(1-EXP(-LN(2)/25))/(LN(2)/25)*Calculateur!CG50*Calculateur!CI50*VLOOKUP('Données projet'!$B$12,Paramètres!$A$1:$I$89,3,0)*0.475*44/12</f>
        <v>11.29695548933543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14.374237522575756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0</v>
      </c>
      <c r="CZ50" s="62">
        <f t="shared" si="42"/>
        <v>0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22</v>
      </c>
      <c r="N51" s="14">
        <f>IF('Données projet'!$A$36&gt;35,N50+M51-V50,IF(A51&lt;'Données projet'!$A$36,$K$205^A51,IF(A51='Données projet'!$A$36,'Données projet'!$B$36,N50+M51-V50)))</f>
        <v>481.99999999999983</v>
      </c>
      <c r="O51" s="14">
        <f>N51*VLOOKUP('Données projet'!$B$9,Paramètres!$A$1:$I$89,3,0)*VLOOKUP('Données projet'!$B$9,Paramètres!$A$1:$I$89,5,0)</f>
        <v>269.43799999999993</v>
      </c>
      <c r="P51" s="14">
        <f t="shared" si="33"/>
        <v>64.729984244002807</v>
      </c>
      <c r="Q51" s="22">
        <f t="shared" si="53"/>
        <v>582.00923922497134</v>
      </c>
      <c r="R51" s="62">
        <f t="shared" si="0"/>
        <v>875.34257255830471</v>
      </c>
      <c r="S51" s="62">
        <f ca="1">AVERAGE(OFFSET($R$3,0,0,'Données projet'!$E$9+1,1))-AVERAGE(OFFSET($H$3,0,0,'Données projet'!$E$9+1,1))</f>
        <v>388.88381485322674</v>
      </c>
      <c r="T51" s="62">
        <f t="shared" si="34"/>
        <v>355.82695155276218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15.544092168671639</v>
      </c>
      <c r="AA51" s="23">
        <f>EXP(-LN(2)/25)*AA50+(1-EXP(-LN(2)/25))/(LN(2)/25)*Calculateur!V51*Calculateur!X51*VLOOKUP('Données projet'!$B$9,Paramètres!$A$1:$I$89,3,0)*0.475*44/12</f>
        <v>8.5071180484621891</v>
      </c>
      <c r="AB51" s="23">
        <f>EXP(-LN(2)/2)*AB50+(1-EXP(-LN(2)/2))/(LN(2)/2)*V51*Y51*VLOOKUP('Données projet'!$B$9,Paramètres!$A$1:$I$89,3,0)*0.475*44/12</f>
        <v>9.4712527381343656E-3</v>
      </c>
      <c r="AC51" s="24">
        <f t="shared" si="3"/>
        <v>24.060681469871962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8.6</v>
      </c>
      <c r="AI51" s="14">
        <f>IF('Données projet'!$A$62&gt;35,AI50+AH51-AQ50,IF(A51&lt;'Données projet'!$A$62,$AF$205^A51,IF(A51='Données projet'!$A$62,'Données projet'!$B$62,AI50+AH51-AQ50)))</f>
        <v>213.8</v>
      </c>
      <c r="AJ51" s="14">
        <f>AI51*VLOOKUP('Données projet'!$B$10,Paramètres!$A$1:$I$89,3,0)*VLOOKUP('Données projet'!$B$10,Paramètres!$A$1:$I$89,5,0)</f>
        <v>186.77568000000005</v>
      </c>
      <c r="AK51" s="14">
        <f t="shared" si="35"/>
        <v>46.826392937381165</v>
      </c>
      <c r="AL51" s="22">
        <f t="shared" si="4"/>
        <v>406.85694369927228</v>
      </c>
      <c r="AM51" s="62">
        <f t="shared" si="5"/>
        <v>700.19027703260554</v>
      </c>
      <c r="AN51" s="62">
        <f ca="1">AVERAGE(OFFSET($AM$3,0,0,'Données projet'!$E$10+1,1))-AVERAGE(OFFSET($H$3,0,0,'Données projet'!$E$10+1,1))</f>
        <v>321.62968871874483</v>
      </c>
      <c r="AO51" s="62">
        <f t="shared" si="36"/>
        <v>389.91636841473559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2.5585590055837915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7.1353547197867739E-2</v>
      </c>
      <c r="AX51" s="23">
        <f t="shared" si="6"/>
        <v>2.6299125527816591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243.20000000000002</v>
      </c>
      <c r="BE51" s="14">
        <f>BD51*VLOOKUP('Données projet'!$B$11,Paramètres!$A$1:$I$89,3,0)*VLOOKUP('Données projet'!$B$11,Paramètres!$A$1:$I$89,5,0)</f>
        <v>178.31424000000001</v>
      </c>
      <c r="BF51" s="14">
        <f t="shared" si="37"/>
        <v>44.946930482894025</v>
      </c>
      <c r="BG51" s="22">
        <f t="shared" si="7"/>
        <v>388.84653859104043</v>
      </c>
      <c r="BH51" s="62">
        <f t="shared" si="8"/>
        <v>682.17987192437374</v>
      </c>
      <c r="BI51" s="62">
        <f ca="1">AVERAGE(OFFSET($BH$3,0,0,'Données projet'!$E$11+1,1))-AVERAGE(OFFSET($H$3,0,0,'Données projet'!$E$11+1,1))</f>
        <v>327.81662150328646</v>
      </c>
      <c r="BJ51" s="62">
        <f t="shared" si="38"/>
        <v>320.24200483294322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2.7825238547903548E-2</v>
      </c>
      <c r="BS51" s="24">
        <f t="shared" si="9"/>
        <v>2.7825238547903548E-2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2.6</v>
      </c>
      <c r="BY51" s="13">
        <f>IF('Données projet'!$A$114&gt;35,BY50+BX51-CG50,IF(A51&lt;'Données projet'!$A$114,$BV$205^A51,IF(A51='Données projet'!$A$114,'Données projet'!$B$114,BY50+BX51-CG50)))</f>
        <v>199.80000000000004</v>
      </c>
      <c r="BZ51" s="14">
        <f>BY51*VLOOKUP('Données projet'!$B$12,Paramètres!$A$1:$I$89,3,0)*VLOOKUP('Données projet'!$B$12,Paramètres!$A$1:$I$89,5,0)</f>
        <v>109.09080000000002</v>
      </c>
      <c r="CA51" s="14">
        <f t="shared" si="39"/>
        <v>29.116666594885835</v>
      </c>
      <c r="CB51" s="22">
        <f t="shared" si="10"/>
        <v>240.71133765275954</v>
      </c>
      <c r="CC51" s="62">
        <f t="shared" si="11"/>
        <v>534.0446709860928</v>
      </c>
      <c r="CD51" s="62">
        <f ca="1">AVERAGE(OFFSET($CC$3,0,0,'Données projet'!$E$12+1,1))-AVERAGE(OFFSET($H$3,0,0,'Données projet'!$E$12+1,1))</f>
        <v>170.27677128684815</v>
      </c>
      <c r="CE51" s="62">
        <f t="shared" si="40"/>
        <v>243.47439640666289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3.0169384095251903</v>
      </c>
      <c r="CL51" s="23">
        <f>EXP(-LN(2)/25)*CL50+(1-EXP(-LN(2)/25))/(LN(2)/25)*Calculateur!CG51*Calculateur!CI51*VLOOKUP('Données projet'!$B$12,Paramètres!$A$1:$I$89,3,0)*0.475*44/12</f>
        <v>10.988039647398482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14.004978056923672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0</v>
      </c>
      <c r="CZ51" s="62">
        <f t="shared" si="42"/>
        <v>0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504</v>
      </c>
      <c r="L52" s="13">
        <f>VLOOKUP(A52,'Données projet'!$A$35:$I$55,9,0)</f>
        <v>22</v>
      </c>
      <c r="M52" s="13">
        <f t="array" ref="M52">INDEX(L:L,MIN(IF(ISNUMBER(L52:L248),ROW(L52:L248),"")))</f>
        <v>22</v>
      </c>
      <c r="N52" s="14">
        <f>IF('Données projet'!$A$36&gt;35,N51+M52-V51,IF(A52&lt;'Données projet'!$A$36,$K$205^A52,IF(A52='Données projet'!$A$36,'Données projet'!$B$36,N51+M52-V51)))</f>
        <v>503.99999999999983</v>
      </c>
      <c r="O52" s="14">
        <f>N52*VLOOKUP('Données projet'!$B$9,Paramètres!$A$1:$I$89,3,0)*VLOOKUP('Données projet'!$B$9,Paramètres!$A$1:$I$89,5,0)</f>
        <v>281.73599999999988</v>
      </c>
      <c r="P52" s="14">
        <f t="shared" si="33"/>
        <v>67.333743509453043</v>
      </c>
      <c r="Q52" s="22">
        <f t="shared" si="53"/>
        <v>607.96313661229703</v>
      </c>
      <c r="R52" s="62">
        <f t="shared" si="0"/>
        <v>901.29646994563041</v>
      </c>
      <c r="S52" s="62">
        <f ca="1">AVERAGE(OFFSET($R$3,0,0,'Données projet'!$E$9+1,1))-AVERAGE(OFFSET($H$3,0,0,'Données projet'!$E$9+1,1))</f>
        <v>388.88381485322674</v>
      </c>
      <c r="T52" s="62">
        <f t="shared" si="34"/>
        <v>355.82695155276218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113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15.239282002204044</v>
      </c>
      <c r="AA52" s="23">
        <f>EXP(-LN(2)/25)*AA51+(1-EXP(-LN(2)/25))/(LN(2)/25)*Calculateur!V52*Calculateur!X52*VLOOKUP('Données projet'!$B$9,Paramètres!$A$1:$I$89,3,0)*0.475*44/12</f>
        <v>8.2744904580570964</v>
      </c>
      <c r="AB52" s="23">
        <f>EXP(-LN(2)/2)*AB51+(1-EXP(-LN(2)/2))/(LN(2)/2)*V52*Y52*VLOOKUP('Données projet'!$B$9,Paramètres!$A$1:$I$89,3,0)*0.475*44/12</f>
        <v>6.697187037466466E-3</v>
      </c>
      <c r="AC52" s="24">
        <f t="shared" si="3"/>
        <v>23.520469647298608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8.6</v>
      </c>
      <c r="AI52" s="14">
        <f>IF('Données projet'!$A$62&gt;35,AI51+AH52-AQ51,IF(A52&lt;'Données projet'!$A$62,$AF$205^A52,IF(A52='Données projet'!$A$62,'Données projet'!$B$62,AI51+AH52-AQ51)))</f>
        <v>222.4</v>
      </c>
      <c r="AJ52" s="14">
        <f>AI52*VLOOKUP('Données projet'!$B$10,Paramètres!$A$1:$I$89,3,0)*VLOOKUP('Données projet'!$B$10,Paramètres!$A$1:$I$89,5,0)</f>
        <v>194.28864000000002</v>
      </c>
      <c r="AK52" s="14">
        <f t="shared" si="35"/>
        <v>48.486875029770822</v>
      </c>
      <c r="AL52" s="22">
        <f t="shared" si="4"/>
        <v>422.83402201018413</v>
      </c>
      <c r="AM52" s="62">
        <f t="shared" si="5"/>
        <v>716.16735534351744</v>
      </c>
      <c r="AN52" s="62">
        <f ca="1">AVERAGE(OFFSET($AM$3,0,0,'Données projet'!$E$10+1,1))-AVERAGE(OFFSET($H$3,0,0,'Données projet'!$E$10+1,1))</f>
        <v>321.62968871874483</v>
      </c>
      <c r="AO52" s="62">
        <f t="shared" si="36"/>
        <v>389.91636841473559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2.5083872240511935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5.0454577085326656E-2</v>
      </c>
      <c r="AX52" s="23">
        <f t="shared" si="6"/>
        <v>2.5588418011365204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251.60000000000002</v>
      </c>
      <c r="BE52" s="14">
        <f>BD52*VLOOKUP('Données projet'!$B$11,Paramètres!$A$1:$I$89,3,0)*VLOOKUP('Données projet'!$B$11,Paramètres!$A$1:$I$89,5,0)</f>
        <v>184.47312000000002</v>
      </c>
      <c r="BF52" s="14">
        <f t="shared" si="37"/>
        <v>46.315946745200151</v>
      </c>
      <c r="BG52" s="22">
        <f t="shared" si="7"/>
        <v>401.95762458122357</v>
      </c>
      <c r="BH52" s="62">
        <f t="shared" si="8"/>
        <v>695.29095791455688</v>
      </c>
      <c r="BI52" s="62">
        <f ca="1">AVERAGE(OFFSET($BH$3,0,0,'Données projet'!$E$11+1,1))-AVERAGE(OFFSET($H$3,0,0,'Données projet'!$E$11+1,1))</f>
        <v>327.81662150328646</v>
      </c>
      <c r="BJ52" s="62">
        <f t="shared" si="38"/>
        <v>320.24200483294322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1.9675414865355921E-2</v>
      </c>
      <c r="BS52" s="24">
        <f t="shared" si="9"/>
        <v>1.9675414865355921E-2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2.6</v>
      </c>
      <c r="BY52" s="13">
        <f>IF('Données projet'!$A$114&gt;35,BY51+BX52-CG51,IF(A52&lt;'Données projet'!$A$114,$BV$205^A52,IF(A52='Données projet'!$A$114,'Données projet'!$B$114,BY51+BX52-CG51)))</f>
        <v>202.40000000000003</v>
      </c>
      <c r="BZ52" s="14">
        <f>BY52*VLOOKUP('Données projet'!$B$12,Paramètres!$A$1:$I$89,3,0)*VLOOKUP('Données projet'!$B$12,Paramètres!$A$1:$I$89,5,0)</f>
        <v>110.51040000000002</v>
      </c>
      <c r="CA52" s="14">
        <f t="shared" si="39"/>
        <v>29.451206375056412</v>
      </c>
      <c r="CB52" s="22">
        <f t="shared" si="10"/>
        <v>243.76646443655656</v>
      </c>
      <c r="CC52" s="62">
        <f t="shared" si="11"/>
        <v>537.09979776988985</v>
      </c>
      <c r="CD52" s="62">
        <f ca="1">AVERAGE(OFFSET($CC$3,0,0,'Données projet'!$E$12+1,1))-AVERAGE(OFFSET($H$3,0,0,'Données projet'!$E$12+1,1))</f>
        <v>170.27677128684815</v>
      </c>
      <c r="CE52" s="62">
        <f t="shared" si="40"/>
        <v>243.47439640666289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2.9577780874651314</v>
      </c>
      <c r="CL52" s="23">
        <f>EXP(-LN(2)/25)*CL51+(1-EXP(-LN(2)/25))/(LN(2)/25)*Calculateur!CG52*Calculateur!CI52*VLOOKUP('Données projet'!$B$12,Paramètres!$A$1:$I$89,3,0)*0.475*44/12</f>
        <v>10.68757112540448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13.645349212869611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0</v>
      </c>
      <c r="CZ52" s="62">
        <f t="shared" si="42"/>
        <v>0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20.285714285714285</v>
      </c>
      <c r="N53" s="14">
        <f>IF('Données projet'!$A$36&gt;35,N52+M53-V52,IF(A53&lt;'Données projet'!$A$36,$K$205^A53,IF(A53='Données projet'!$A$36,'Données projet'!$B$36,N52+M53-V52)))</f>
        <v>411.28571428571411</v>
      </c>
      <c r="O53" s="14">
        <f>N53*VLOOKUP('Données projet'!$B$9,Paramètres!$A$1:$I$89,3,0)*VLOOKUP('Données projet'!$B$9,Paramètres!$A$1:$I$89,5,0)</f>
        <v>229.90871428571418</v>
      </c>
      <c r="P53" s="14">
        <f t="shared" si="33"/>
        <v>56.262942969449149</v>
      </c>
      <c r="Q53" s="22">
        <f t="shared" si="53"/>
        <v>498.41563638607613</v>
      </c>
      <c r="R53" s="62">
        <f t="shared" si="0"/>
        <v>791.74896971940939</v>
      </c>
      <c r="S53" s="62">
        <f ca="1">AVERAGE(OFFSET($R$3,0,0,'Données projet'!$E$9+1,1))-AVERAGE(OFFSET($H$3,0,0,'Données projet'!$E$9+1,1))</f>
        <v>388.88381485322674</v>
      </c>
      <c r="T53" s="62">
        <f t="shared" si="34"/>
        <v>355.82695155276218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14.940448977185035</v>
      </c>
      <c r="AA53" s="23">
        <f>EXP(-LN(2)/25)*AA52+(1-EXP(-LN(2)/25))/(LN(2)/25)*Calculateur!V53*Calculateur!X53*VLOOKUP('Données projet'!$B$9,Paramètres!$A$1:$I$89,3,0)*0.475*44/12</f>
        <v>8.0482240813449835</v>
      </c>
      <c r="AB53" s="23">
        <f>EXP(-LN(2)/2)*AB52+(1-EXP(-LN(2)/2))/(LN(2)/2)*V53*Y53*VLOOKUP('Données projet'!$B$9,Paramètres!$A$1:$I$89,3,0)*0.475*44/12</f>
        <v>4.7356263690671828E-3</v>
      </c>
      <c r="AC53" s="24">
        <f t="shared" si="3"/>
        <v>22.993408684899087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8.6</v>
      </c>
      <c r="AH53" s="13">
        <f t="array" ref="AH53">INDEX(AG:AG,MIN(IF(ISNUMBER(AG53:AG249),ROW(AG53:AG249),"")))</f>
        <v>8.6</v>
      </c>
      <c r="AI53" s="14">
        <f>IF('Données projet'!$A$62&gt;35,AI52+AH53-AQ52,IF(A53&lt;'Données projet'!$A$62,$AF$205^A53,IF(A53='Données projet'!$A$62,'Données projet'!$B$62,AI52+AH53-AQ52)))</f>
        <v>231</v>
      </c>
      <c r="AJ53" s="14">
        <f>AI53*VLOOKUP('Données projet'!$B$10,Paramètres!$A$1:$I$89,3,0)*VLOOKUP('Données projet'!$B$10,Paramètres!$A$1:$I$89,5,0)</f>
        <v>201.80160000000004</v>
      </c>
      <c r="AK53" s="14">
        <f t="shared" si="35"/>
        <v>50.139897992681668</v>
      </c>
      <c r="AL53" s="22">
        <f t="shared" si="4"/>
        <v>438.79810900392067</v>
      </c>
      <c r="AM53" s="62">
        <f t="shared" si="5"/>
        <v>732.13144233725393</v>
      </c>
      <c r="AN53" s="62">
        <f ca="1">AVERAGE(OFFSET($AM$3,0,0,'Données projet'!$E$10+1,1))-AVERAGE(OFFSET($H$3,0,0,'Données projet'!$E$10+1,1))</f>
        <v>321.62968871874483</v>
      </c>
      <c r="AO53" s="62">
        <f t="shared" si="36"/>
        <v>389.91636841473559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2.459199280552685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3.567677359893387E-2</v>
      </c>
      <c r="AX53" s="23">
        <f t="shared" si="6"/>
        <v>2.4948760541516188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260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260</v>
      </c>
      <c r="BE53" s="14">
        <f>BD53*VLOOKUP('Données projet'!$B$11,Paramètres!$A$1:$I$89,3,0)*VLOOKUP('Données projet'!$B$11,Paramètres!$A$1:$I$89,5,0)</f>
        <v>190.63199999999998</v>
      </c>
      <c r="BF53" s="14">
        <f t="shared" si="37"/>
        <v>47.679652061560311</v>
      </c>
      <c r="BG53" s="22">
        <f t="shared" si="7"/>
        <v>415.05946067388413</v>
      </c>
      <c r="BH53" s="62">
        <f t="shared" si="8"/>
        <v>708.39279400721739</v>
      </c>
      <c r="BI53" s="62">
        <f ca="1">AVERAGE(OFFSET($BH$3,0,0,'Données projet'!$E$11+1,1))-AVERAGE(OFFSET($H$3,0,0,'Données projet'!$E$11+1,1))</f>
        <v>327.81662150328646</v>
      </c>
      <c r="BJ53" s="62">
        <f t="shared" si="38"/>
        <v>320.24200483294322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1.3912619273951774E-2</v>
      </c>
      <c r="BS53" s="24">
        <f t="shared" si="9"/>
        <v>1.3912619273951774E-2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205</v>
      </c>
      <c r="BW53" s="13">
        <f>VLOOKUP(A53,'Données projet'!$A$113:$I$133,9,0)</f>
        <v>2.6</v>
      </c>
      <c r="BX53" s="13">
        <f t="array" ref="BX53">INDEX(BW:BW,MIN(IF(ISNUMBER(BW53:BW249),ROW(BW53:BW249),"")))</f>
        <v>2.6</v>
      </c>
      <c r="BY53" s="13">
        <f>IF('Données projet'!$A$114&gt;35,BY52+BX53-CG52,IF(A53&lt;'Données projet'!$A$114,$BV$205^A53,IF(A53='Données projet'!$A$114,'Données projet'!$B$114,BY52+BX53-CG52)))</f>
        <v>205.00000000000003</v>
      </c>
      <c r="BZ53" s="14">
        <f>BY53*VLOOKUP('Données projet'!$B$12,Paramètres!$A$1:$I$89,3,0)*VLOOKUP('Données projet'!$B$12,Paramètres!$A$1:$I$89,5,0)</f>
        <v>111.93000000000002</v>
      </c>
      <c r="CA53" s="14">
        <f t="shared" si="39"/>
        <v>29.785246291563858</v>
      </c>
      <c r="CB53" s="22">
        <f t="shared" si="10"/>
        <v>246.82072062447375</v>
      </c>
      <c r="CC53" s="62">
        <f t="shared" si="11"/>
        <v>540.15405395780704</v>
      </c>
      <c r="CD53" s="62">
        <f ca="1">AVERAGE(OFFSET($CC$3,0,0,'Données projet'!$E$12+1,1))-AVERAGE(OFFSET($H$3,0,0,'Données projet'!$E$12+1,1))</f>
        <v>170.27677128684815</v>
      </c>
      <c r="CE53" s="62">
        <f t="shared" si="40"/>
        <v>243.47439640666289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205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2.8997778632364368</v>
      </c>
      <c r="CL53" s="23">
        <f>EXP(-LN(2)/25)*CL52+(1-EXP(-LN(2)/25))/(LN(2)/25)*Calculateur!CG53*Calculateur!CI53*VLOOKUP('Données projet'!$B$12,Paramètres!$A$1:$I$89,3,0)*0.475*44/12</f>
        <v>10.395318930945356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13.295096794181793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0</v>
      </c>
      <c r="CZ53" s="62">
        <f t="shared" si="42"/>
        <v>0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20.285714285714285</v>
      </c>
      <c r="N54" s="14">
        <f>IF('Données projet'!$A$36&gt;35,N53+M54-V53,IF(A54&lt;'Données projet'!$A$36,$K$205^A54,IF(A54='Données projet'!$A$36,'Données projet'!$B$36,N53+M54-V53)))</f>
        <v>431.57142857142838</v>
      </c>
      <c r="O54" s="14">
        <f>N54*VLOOKUP('Données projet'!$B$9,Paramètres!$A$1:$I$89,3,0)*VLOOKUP('Données projet'!$B$9,Paramètres!$A$1:$I$89,5,0)</f>
        <v>241.24842857142849</v>
      </c>
      <c r="P54" s="14">
        <f t="shared" si="33"/>
        <v>58.708054809242874</v>
      </c>
      <c r="Q54" s="22">
        <f t="shared" si="53"/>
        <v>522.42420855466924</v>
      </c>
      <c r="R54" s="62">
        <f t="shared" si="0"/>
        <v>815.75754188800261</v>
      </c>
      <c r="S54" s="62">
        <f ca="1">AVERAGE(OFFSET($R$3,0,0,'Données projet'!$E$9+1,1))-AVERAGE(OFFSET($H$3,0,0,'Données projet'!$E$9+1,1))</f>
        <v>388.88381485322674</v>
      </c>
      <c r="T54" s="62">
        <f t="shared" si="34"/>
        <v>355.82695155276218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14.647475885516501</v>
      </c>
      <c r="AA54" s="23">
        <f>EXP(-LN(2)/25)*AA53+(1-EXP(-LN(2)/25))/(LN(2)/25)*Calculateur!V54*Calculateur!X54*VLOOKUP('Données projet'!$B$9,Paramètres!$A$1:$I$89,3,0)*0.475*44/12</f>
        <v>7.8281449706028949</v>
      </c>
      <c r="AB54" s="23">
        <f>EXP(-LN(2)/2)*AB53+(1-EXP(-LN(2)/2))/(LN(2)/2)*V54*Y54*VLOOKUP('Données projet'!$B$9,Paramètres!$A$1:$I$89,3,0)*0.475*44/12</f>
        <v>3.348593518733233E-3</v>
      </c>
      <c r="AC54" s="24">
        <f t="shared" si="3"/>
        <v>22.478969449638129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7.8</v>
      </c>
      <c r="AI54" s="14">
        <f>IF('Données projet'!$A$62&gt;35,AI53+AH54-AQ53,IF(A54&lt;'Données projet'!$A$62,$AF$205^A54,IF(A54='Données projet'!$A$62,'Données projet'!$B$62,AI53+AH54-AQ53)))</f>
        <v>205.8</v>
      </c>
      <c r="AJ54" s="14">
        <f>AI54*VLOOKUP('Données projet'!$B$10,Paramètres!$A$1:$I$89,3,0)*VLOOKUP('Données projet'!$B$10,Paramètres!$A$1:$I$89,5,0)</f>
        <v>179.78688000000002</v>
      </c>
      <c r="AK54" s="14">
        <f t="shared" si="35"/>
        <v>45.274767624296935</v>
      </c>
      <c r="AL54" s="22">
        <f t="shared" si="4"/>
        <v>391.9823696123172</v>
      </c>
      <c r="AM54" s="62">
        <f t="shared" si="5"/>
        <v>685.31570294565051</v>
      </c>
      <c r="AN54" s="62">
        <f ca="1">AVERAGE(OFFSET($AM$3,0,0,'Données projet'!$E$10+1,1))-AVERAGE(OFFSET($H$3,0,0,'Données projet'!$E$10+1,1))</f>
        <v>321.62968871874483</v>
      </c>
      <c r="AO54" s="62">
        <f t="shared" si="36"/>
        <v>389.91636841473559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2.4109758826244989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2.5227288542663328E-2</v>
      </c>
      <c r="AX54" s="23">
        <f t="shared" si="6"/>
        <v>2.4362031711671621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248.39999999999998</v>
      </c>
      <c r="BE54" s="14">
        <f>BD54*VLOOKUP('Données projet'!$B$11,Paramètres!$A$1:$I$89,3,0)*VLOOKUP('Données projet'!$B$11,Paramètres!$A$1:$I$89,5,0)</f>
        <v>182.12687999999997</v>
      </c>
      <c r="BF54" s="14">
        <f t="shared" si="37"/>
        <v>45.795053793403618</v>
      </c>
      <c r="BG54" s="22">
        <f t="shared" si="7"/>
        <v>396.96403469017787</v>
      </c>
      <c r="BH54" s="62">
        <f t="shared" si="8"/>
        <v>690.29736802351113</v>
      </c>
      <c r="BI54" s="62">
        <f ca="1">AVERAGE(OFFSET($BH$3,0,0,'Données projet'!$E$11+1,1))-AVERAGE(OFFSET($H$3,0,0,'Données projet'!$E$11+1,1))</f>
        <v>327.81662150328646</v>
      </c>
      <c r="BJ54" s="62">
        <f t="shared" si="38"/>
        <v>320.24200483294322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9.8377074326779605E-3</v>
      </c>
      <c r="BS54" s="24">
        <f t="shared" si="9"/>
        <v>9.8377074326779605E-3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2.8421709430404007E-14</v>
      </c>
      <c r="BZ54" s="14">
        <f>BY54*VLOOKUP('Données projet'!$B$12,Paramètres!$A$1:$I$89,3,0)*VLOOKUP('Données projet'!$B$12,Paramètres!$A$1:$I$89,5,0)</f>
        <v>1.5518253349000589E-14</v>
      </c>
      <c r="CA54" s="14">
        <f t="shared" si="39"/>
        <v>2.8958815659671149E-13</v>
      </c>
      <c r="CB54" s="22">
        <f t="shared" si="10"/>
        <v>5.3139366398878183E-13</v>
      </c>
      <c r="CC54" s="62">
        <f t="shared" si="11"/>
        <v>293.33333333333383</v>
      </c>
      <c r="CD54" s="62">
        <f ca="1">AVERAGE(OFFSET($CC$3,0,0,'Données projet'!$E$12+1,1))-AVERAGE(OFFSET($H$3,0,0,'Données projet'!$E$12+1,1))</f>
        <v>170.27677128684815</v>
      </c>
      <c r="CE54" s="62">
        <f t="shared" si="40"/>
        <v>243.47439640666289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2.8429149880282232</v>
      </c>
      <c r="CL54" s="23">
        <f>EXP(-LN(2)/25)*CL53+(1-EXP(-LN(2)/25))/(LN(2)/25)*Calculateur!CG54*Calculateur!CI54*VLOOKUP('Données projet'!$B$12,Paramètres!$A$1:$I$89,3,0)*0.475*44/12</f>
        <v>10.111058388112591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12.953973376140814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0</v>
      </c>
      <c r="CZ54" s="62">
        <f t="shared" si="42"/>
        <v>0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20.285714285714285</v>
      </c>
      <c r="N55" s="14">
        <f>IF('Données projet'!$A$36&gt;35,N54+M55-V54,IF(A55&lt;'Données projet'!$A$36,$K$205^A55,IF(A55='Données projet'!$A$36,'Données projet'!$B$36,N54+M55-V54)))</f>
        <v>451.85714285714266</v>
      </c>
      <c r="O55" s="14">
        <f>N55*VLOOKUP('Données projet'!$B$9,Paramètres!$A$1:$I$89,3,0)*VLOOKUP('Données projet'!$B$9,Paramètres!$A$1:$I$89,5,0)</f>
        <v>252.58814285714274</v>
      </c>
      <c r="P55" s="14">
        <f t="shared" si="33"/>
        <v>61.139820047889458</v>
      </c>
      <c r="Q55" s="22">
        <f t="shared" si="53"/>
        <v>546.40953539293105</v>
      </c>
      <c r="R55" s="62">
        <f t="shared" si="0"/>
        <v>839.74286872626431</v>
      </c>
      <c r="S55" s="62">
        <f ca="1">AVERAGE(OFFSET($R$3,0,0,'Données projet'!$E$9+1,1))-AVERAGE(OFFSET($H$3,0,0,'Données projet'!$E$9+1,1))</f>
        <v>388.88381485322674</v>
      </c>
      <c r="T55" s="62">
        <f t="shared" si="34"/>
        <v>355.82695155276218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14.360247817479646</v>
      </c>
      <c r="AA55" s="23">
        <f>EXP(-LN(2)/25)*AA54+(1-EXP(-LN(2)/25))/(LN(2)/25)*Calculateur!V55*Calculateur!X55*VLOOKUP('Données projet'!$B$9,Paramètres!$A$1:$I$89,3,0)*0.475*44/12</f>
        <v>7.614083934717506</v>
      </c>
      <c r="AB55" s="23">
        <f>EXP(-LN(2)/2)*AB54+(1-EXP(-LN(2)/2))/(LN(2)/2)*V55*Y55*VLOOKUP('Données projet'!$B$9,Paramètres!$A$1:$I$89,3,0)*0.475*44/12</f>
        <v>2.3678131845335914E-3</v>
      </c>
      <c r="AC55" s="24">
        <f t="shared" si="3"/>
        <v>21.976699565381686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7.8</v>
      </c>
      <c r="AI55" s="14">
        <f>IF('Données projet'!$A$62&gt;35,AI54+AH55-AQ54,IF(A55&lt;'Données projet'!$A$62,$AF$205^A55,IF(A55='Données projet'!$A$62,'Données projet'!$B$62,AI54+AH55-AQ54)))</f>
        <v>213.60000000000002</v>
      </c>
      <c r="AJ55" s="14">
        <f>AI55*VLOOKUP('Données projet'!$B$10,Paramètres!$A$1:$I$89,3,0)*VLOOKUP('Données projet'!$B$10,Paramètres!$A$1:$I$89,5,0)</f>
        <v>186.60096000000004</v>
      </c>
      <c r="AK55" s="14">
        <f t="shared" si="35"/>
        <v>46.787685683664144</v>
      </c>
      <c r="AL55" s="22">
        <f t="shared" si="4"/>
        <v>406.4852245657151</v>
      </c>
      <c r="AM55" s="62">
        <f t="shared" si="5"/>
        <v>699.81855789904841</v>
      </c>
      <c r="AN55" s="62">
        <f ca="1">AVERAGE(OFFSET($AM$3,0,0,'Données projet'!$E$10+1,1))-AVERAGE(OFFSET($H$3,0,0,'Données projet'!$E$10+1,1))</f>
        <v>321.62968871874483</v>
      </c>
      <c r="AO55" s="62">
        <f t="shared" si="36"/>
        <v>389.91636841473559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2.363698116116316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1.7838386799466935E-2</v>
      </c>
      <c r="AX55" s="23">
        <f t="shared" si="6"/>
        <v>2.3815365029157829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255.79999999999998</v>
      </c>
      <c r="BE55" s="14">
        <f>BD55*VLOOKUP('Données projet'!$B$11,Paramètres!$A$1:$I$89,3,0)*VLOOKUP('Données projet'!$B$11,Paramètres!$A$1:$I$89,5,0)</f>
        <v>187.55255999999997</v>
      </c>
      <c r="BF55" s="14">
        <f t="shared" si="37"/>
        <v>46.998451005954564</v>
      </c>
      <c r="BG55" s="22">
        <f t="shared" si="7"/>
        <v>408.50967750203745</v>
      </c>
      <c r="BH55" s="62">
        <f t="shared" si="8"/>
        <v>701.84301083537071</v>
      </c>
      <c r="BI55" s="62">
        <f ca="1">AVERAGE(OFFSET($BH$3,0,0,'Données projet'!$E$11+1,1))-AVERAGE(OFFSET($H$3,0,0,'Données projet'!$E$11+1,1))</f>
        <v>327.81662150328646</v>
      </c>
      <c r="BJ55" s="62">
        <f t="shared" si="38"/>
        <v>320.24200483294322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6.9563096369758869E-3</v>
      </c>
      <c r="BS55" s="24">
        <f t="shared" si="9"/>
        <v>6.9563096369758869E-3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2.8421709430404007E-14</v>
      </c>
      <c r="BZ55" s="14">
        <f>BY55*VLOOKUP('Données projet'!$B$12,Paramètres!$A$1:$I$89,3,0)*VLOOKUP('Données projet'!$B$12,Paramètres!$A$1:$I$89,5,0)</f>
        <v>1.5518253349000589E-14</v>
      </c>
      <c r="CA55" s="14">
        <f t="shared" si="39"/>
        <v>2.8958815659671149E-13</v>
      </c>
      <c r="CB55" s="22">
        <f t="shared" si="10"/>
        <v>5.3139366398878183E-13</v>
      </c>
      <c r="CC55" s="62">
        <f t="shared" si="11"/>
        <v>293.33333333333383</v>
      </c>
      <c r="CD55" s="62">
        <f ca="1">AVERAGE(OFFSET($CC$3,0,0,'Données projet'!$E$12+1,1))-AVERAGE(OFFSET($H$3,0,0,'Données projet'!$E$12+1,1))</f>
        <v>170.27677128684815</v>
      </c>
      <c r="CE55" s="62">
        <f t="shared" si="40"/>
        <v>243.47439640666289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2.7871671591199134</v>
      </c>
      <c r="CL55" s="23">
        <f>EXP(-LN(2)/25)*CL54+(1-EXP(-LN(2)/25))/(LN(2)/25)*Calculateur!CG55*Calculateur!CI55*VLOOKUP('Données projet'!$B$12,Paramètres!$A$1:$I$89,3,0)*0.475*44/12</f>
        <v>9.8345709647722011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12.621738123892115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0</v>
      </c>
      <c r="CZ55" s="62">
        <f t="shared" si="42"/>
        <v>0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20.285714285714285</v>
      </c>
      <c r="N56" s="14">
        <f>IF('Données projet'!$A$36&gt;35,N55+M56-V55,IF(A56&lt;'Données projet'!$A$36,$K$205^A56,IF(A56='Données projet'!$A$36,'Données projet'!$B$36,N55+M56-V55)))</f>
        <v>472.14285714285694</v>
      </c>
      <c r="O56" s="14">
        <f>N56*VLOOKUP('Données projet'!$B$9,Paramètres!$A$1:$I$89,3,0)*VLOOKUP('Données projet'!$B$9,Paramètres!$A$1:$I$89,5,0)</f>
        <v>263.92785714285702</v>
      </c>
      <c r="P56" s="14">
        <f t="shared" si="33"/>
        <v>63.558906327224221</v>
      </c>
      <c r="Q56" s="22">
        <f t="shared" si="53"/>
        <v>570.37277971039146</v>
      </c>
      <c r="R56" s="62">
        <f t="shared" si="0"/>
        <v>863.70611304372483</v>
      </c>
      <c r="S56" s="62">
        <f ca="1">AVERAGE(OFFSET($R$3,0,0,'Données projet'!$E$9+1,1))-AVERAGE(OFFSET($H$3,0,0,'Données projet'!$E$9+1,1))</f>
        <v>388.88381485322674</v>
      </c>
      <c r="T56" s="62">
        <f t="shared" si="34"/>
        <v>355.82695155276218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14.07865211666517</v>
      </c>
      <c r="AA56" s="23">
        <f>EXP(-LN(2)/25)*AA55+(1-EXP(-LN(2)/25))/(LN(2)/25)*Calculateur!V56*Calculateur!X56*VLOOKUP('Données projet'!$B$9,Paramètres!$A$1:$I$89,3,0)*0.475*44/12</f>
        <v>7.4058764091153835</v>
      </c>
      <c r="AB56" s="23">
        <f>EXP(-LN(2)/2)*AB55+(1-EXP(-LN(2)/2))/(LN(2)/2)*V56*Y56*VLOOKUP('Données projet'!$B$9,Paramètres!$A$1:$I$89,3,0)*0.475*44/12</f>
        <v>1.6742967593666165E-3</v>
      </c>
      <c r="AC56" s="24">
        <f t="shared" si="3"/>
        <v>21.486202822539919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7.8</v>
      </c>
      <c r="AI56" s="14">
        <f>IF('Données projet'!$A$62&gt;35,AI55+AH56-AQ55,IF(A56&lt;'Données projet'!$A$62,$AF$205^A56,IF(A56='Données projet'!$A$62,'Données projet'!$B$62,AI55+AH56-AQ55)))</f>
        <v>221.40000000000003</v>
      </c>
      <c r="AJ56" s="14">
        <f>AI56*VLOOKUP('Données projet'!$B$10,Paramètres!$A$1:$I$89,3,0)*VLOOKUP('Données projet'!$B$10,Paramètres!$A$1:$I$89,5,0)</f>
        <v>193.41504000000006</v>
      </c>
      <c r="AK56" s="14">
        <f t="shared" si="35"/>
        <v>48.294185132315114</v>
      </c>
      <c r="AL56" s="22">
        <f t="shared" si="4"/>
        <v>420.97690043878225</v>
      </c>
      <c r="AM56" s="62">
        <f t="shared" si="5"/>
        <v>714.31023377211557</v>
      </c>
      <c r="AN56" s="62">
        <f ca="1">AVERAGE(OFFSET($AM$3,0,0,'Données projet'!$E$10+1,1))-AVERAGE(OFFSET($H$3,0,0,'Données projet'!$E$10+1,1))</f>
        <v>321.62968871874483</v>
      </c>
      <c r="AO56" s="62">
        <f t="shared" si="36"/>
        <v>389.91636841473559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2.3173474377727685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1.2613644271331664E-2</v>
      </c>
      <c r="AX56" s="23">
        <f t="shared" si="6"/>
        <v>2.3299610820441004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263.2</v>
      </c>
      <c r="BE56" s="14">
        <f>BD56*VLOOKUP('Données projet'!$B$11,Paramètres!$A$1:$I$89,3,0)*VLOOKUP('Données projet'!$B$11,Paramètres!$A$1:$I$89,5,0)</f>
        <v>192.97824</v>
      </c>
      <c r="BF56" s="14">
        <f t="shared" si="37"/>
        <v>48.197802215761044</v>
      </c>
      <c r="BG56" s="22">
        <f t="shared" si="7"/>
        <v>420.04827352578377</v>
      </c>
      <c r="BH56" s="62">
        <f t="shared" si="8"/>
        <v>713.38160685911703</v>
      </c>
      <c r="BI56" s="62">
        <f ca="1">AVERAGE(OFFSET($BH$3,0,0,'Données projet'!$E$11+1,1))-AVERAGE(OFFSET($H$3,0,0,'Données projet'!$E$11+1,1))</f>
        <v>327.81662150328646</v>
      </c>
      <c r="BJ56" s="62">
        <f t="shared" si="38"/>
        <v>320.24200483294322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4.9188537163389803E-3</v>
      </c>
      <c r="BS56" s="24">
        <f t="shared" si="9"/>
        <v>4.9188537163389803E-3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2.8421709430404007E-14</v>
      </c>
      <c r="BZ56" s="14">
        <f>BY56*VLOOKUP('Données projet'!$B$12,Paramètres!$A$1:$I$89,3,0)*VLOOKUP('Données projet'!$B$12,Paramètres!$A$1:$I$89,5,0)</f>
        <v>1.5518253349000589E-14</v>
      </c>
      <c r="CA56" s="14">
        <f t="shared" si="39"/>
        <v>2.8958815659671149E-13</v>
      </c>
      <c r="CB56" s="22">
        <f t="shared" si="10"/>
        <v>5.3139366398878183E-13</v>
      </c>
      <c r="CC56" s="62">
        <f t="shared" si="11"/>
        <v>293.33333333333383</v>
      </c>
      <c r="CD56" s="62">
        <f ca="1">AVERAGE(OFFSET($CC$3,0,0,'Données projet'!$E$12+1,1))-AVERAGE(OFFSET($H$3,0,0,'Données projet'!$E$12+1,1))</f>
        <v>170.27677128684815</v>
      </c>
      <c r="CE56" s="62">
        <f t="shared" si="40"/>
        <v>243.47439640666289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2.7325125111336774</v>
      </c>
      <c r="CL56" s="23">
        <f>EXP(-LN(2)/25)*CL55+(1-EXP(-LN(2)/25))/(LN(2)/25)*Calculateur!CG56*Calculateur!CI56*VLOOKUP('Données projet'!$B$12,Paramètres!$A$1:$I$89,3,0)*0.475*44/12</f>
        <v>9.5656441045628959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12.298156615696573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0</v>
      </c>
      <c r="CZ56" s="62">
        <f t="shared" si="42"/>
        <v>0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20.285714285714285</v>
      </c>
      <c r="N57" s="14">
        <f>IF('Données projet'!$A$36&gt;35,N56+M57-V56,IF(A57&lt;'Données projet'!$A$36,$K$205^A57,IF(A57='Données projet'!$A$36,'Données projet'!$B$36,N56+M57-V56)))</f>
        <v>492.42857142857122</v>
      </c>
      <c r="O57" s="14">
        <f>N57*VLOOKUP('Données projet'!$B$9,Paramètres!$A$1:$I$89,3,0)*VLOOKUP('Données projet'!$B$9,Paramètres!$A$1:$I$89,5,0)</f>
        <v>275.26757142857133</v>
      </c>
      <c r="P57" s="14">
        <f t="shared" si="33"/>
        <v>65.965920673631288</v>
      </c>
      <c r="Q57" s="22">
        <f t="shared" si="53"/>
        <v>594.31499874466942</v>
      </c>
      <c r="R57" s="62">
        <f t="shared" si="0"/>
        <v>887.6483320780028</v>
      </c>
      <c r="S57" s="62">
        <f ca="1">AVERAGE(OFFSET($R$3,0,0,'Données projet'!$E$9+1,1))-AVERAGE(OFFSET($H$3,0,0,'Données projet'!$E$9+1,1))</f>
        <v>388.88381485322674</v>
      </c>
      <c r="T57" s="62">
        <f t="shared" si="34"/>
        <v>355.82695155276218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13.802578335787249</v>
      </c>
      <c r="AA57" s="23">
        <f>EXP(-LN(2)/25)*AA56+(1-EXP(-LN(2)/25))/(LN(2)/25)*Calculateur!V57*Calculateur!X57*VLOOKUP('Données projet'!$B$9,Paramètres!$A$1:$I$89,3,0)*0.475*44/12</f>
        <v>7.2033623292500097</v>
      </c>
      <c r="AB57" s="23">
        <f>EXP(-LN(2)/2)*AB56+(1-EXP(-LN(2)/2))/(LN(2)/2)*V57*Y57*VLOOKUP('Données projet'!$B$9,Paramètres!$A$1:$I$89,3,0)*0.475*44/12</f>
        <v>1.1839065922667957E-3</v>
      </c>
      <c r="AC57" s="24">
        <f t="shared" si="3"/>
        <v>21.007124571629525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7.8</v>
      </c>
      <c r="AI57" s="14">
        <f>IF('Données projet'!$A$62&gt;35,AI56+AH57-AQ56,IF(A57&lt;'Données projet'!$A$62,$AF$205^A57,IF(A57='Données projet'!$A$62,'Données projet'!$B$62,AI56+AH57-AQ56)))</f>
        <v>229.20000000000005</v>
      </c>
      <c r="AJ57" s="14">
        <f>AI57*VLOOKUP('Données projet'!$B$10,Paramètres!$A$1:$I$89,3,0)*VLOOKUP('Données projet'!$B$10,Paramètres!$A$1:$I$89,5,0)</f>
        <v>200.22912000000005</v>
      </c>
      <c r="AK57" s="14">
        <f t="shared" si="35"/>
        <v>49.794518010766353</v>
      </c>
      <c r="AL57" s="22">
        <f t="shared" si="4"/>
        <v>435.45783620208476</v>
      </c>
      <c r="AM57" s="62">
        <f t="shared" si="5"/>
        <v>728.79116953541802</v>
      </c>
      <c r="AN57" s="62">
        <f ca="1">AVERAGE(OFFSET($AM$3,0,0,'Données projet'!$E$10+1,1))-AVERAGE(OFFSET($H$3,0,0,'Données projet'!$E$10+1,1))</f>
        <v>321.62968871874483</v>
      </c>
      <c r="AO57" s="62">
        <f t="shared" si="36"/>
        <v>389.91636841473559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2.2719056679604157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8.9191933997334674E-3</v>
      </c>
      <c r="AX57" s="23">
        <f t="shared" si="6"/>
        <v>2.2808248613601494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270.59999999999997</v>
      </c>
      <c r="BE57" s="14">
        <f>BD57*VLOOKUP('Données projet'!$B$11,Paramètres!$A$1:$I$89,3,0)*VLOOKUP('Données projet'!$B$11,Paramètres!$A$1:$I$89,5,0)</f>
        <v>198.40391999999997</v>
      </c>
      <c r="BF57" s="14">
        <f t="shared" si="37"/>
        <v>49.393234245618814</v>
      </c>
      <c r="BG57" s="22">
        <f t="shared" si="7"/>
        <v>431.5800436444527</v>
      </c>
      <c r="BH57" s="62">
        <f t="shared" si="8"/>
        <v>724.91337697778602</v>
      </c>
      <c r="BI57" s="62">
        <f ca="1">AVERAGE(OFFSET($BH$3,0,0,'Données projet'!$E$11+1,1))-AVERAGE(OFFSET($H$3,0,0,'Données projet'!$E$11+1,1))</f>
        <v>327.81662150328646</v>
      </c>
      <c r="BJ57" s="62">
        <f t="shared" si="38"/>
        <v>320.24200483294322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3.4781548184879434E-3</v>
      </c>
      <c r="BS57" s="24">
        <f t="shared" si="9"/>
        <v>3.4781548184879434E-3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2.8421709430404007E-14</v>
      </c>
      <c r="BZ57" s="14">
        <f>BY57*VLOOKUP('Données projet'!$B$12,Paramètres!$A$1:$I$89,3,0)*VLOOKUP('Données projet'!$B$12,Paramètres!$A$1:$I$89,5,0)</f>
        <v>1.5518253349000589E-14</v>
      </c>
      <c r="CA57" s="14">
        <f t="shared" si="39"/>
        <v>2.8958815659671149E-13</v>
      </c>
      <c r="CB57" s="22">
        <f t="shared" si="10"/>
        <v>5.3139366398878183E-13</v>
      </c>
      <c r="CC57" s="62">
        <f t="shared" si="11"/>
        <v>293.33333333333383</v>
      </c>
      <c r="CD57" s="62">
        <f ca="1">AVERAGE(OFFSET($CC$3,0,0,'Données projet'!$E$12+1,1))-AVERAGE(OFFSET($H$3,0,0,'Données projet'!$E$12+1,1))</f>
        <v>170.27677128684815</v>
      </c>
      <c r="CE57" s="62">
        <f t="shared" si="40"/>
        <v>243.47439640666289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2.6789296074584081</v>
      </c>
      <c r="CL57" s="23">
        <f>EXP(-LN(2)/25)*CL56+(1-EXP(-LN(2)/25))/(LN(2)/25)*Calculateur!CG57*Calculateur!CI57*VLOOKUP('Données projet'!$B$12,Paramètres!$A$1:$I$89,3,0)*0.475*44/12</f>
        <v>9.3040710634882622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11.983000670946669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0</v>
      </c>
      <c r="CZ57" s="62">
        <f t="shared" si="42"/>
        <v>0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20.285714285714285</v>
      </c>
      <c r="N58" s="14">
        <f>IF('Données projet'!$A$36&gt;35,N57+M58-V57,IF(A58&lt;'Données projet'!$A$36,$K$205^A58,IF(A58='Données projet'!$A$36,'Données projet'!$B$36,N57+M58-V57)))</f>
        <v>512.71428571428555</v>
      </c>
      <c r="O58" s="14">
        <f>N58*VLOOKUP('Données projet'!$B$9,Paramètres!$A$1:$I$89,3,0)*VLOOKUP('Données projet'!$B$9,Paramètres!$A$1:$I$89,5,0)</f>
        <v>286.60728571428564</v>
      </c>
      <c r="P58" s="14">
        <f t="shared" si="33"/>
        <v>68.361417270384848</v>
      </c>
      <c r="Q58" s="22">
        <f t="shared" si="53"/>
        <v>618.23715769830108</v>
      </c>
      <c r="R58" s="62">
        <f t="shared" si="0"/>
        <v>911.57049103163445</v>
      </c>
      <c r="S58" s="62">
        <f ca="1">AVERAGE(OFFSET($R$3,0,0,'Données projet'!$E$9+1,1))-AVERAGE(OFFSET($H$3,0,0,'Données projet'!$E$9+1,1))</f>
        <v>388.88381485322674</v>
      </c>
      <c r="T58" s="62">
        <f t="shared" si="34"/>
        <v>355.82695155276218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13.531918193363964</v>
      </c>
      <c r="AA58" s="23">
        <f>EXP(-LN(2)/25)*AA57+(1-EXP(-LN(2)/25))/(LN(2)/25)*Calculateur!V58*Calculateur!X58*VLOOKUP('Données projet'!$B$9,Paramètres!$A$1:$I$89,3,0)*0.475*44/12</f>
        <v>7.0063860075483069</v>
      </c>
      <c r="AB58" s="23">
        <f>EXP(-LN(2)/2)*AB57+(1-EXP(-LN(2)/2))/(LN(2)/2)*V58*Y58*VLOOKUP('Données projet'!$B$9,Paramètres!$A$1:$I$89,3,0)*0.475*44/12</f>
        <v>8.3714837968330825E-4</v>
      </c>
      <c r="AC58" s="24">
        <f t="shared" si="3"/>
        <v>20.539141349291956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237</v>
      </c>
      <c r="AG58" s="13">
        <f>VLOOKUP(A58,'Données projet'!$A$61:$I$81,9,0)</f>
        <v>7.8</v>
      </c>
      <c r="AH58" s="13">
        <f t="array" ref="AH58">INDEX(AG:AG,MIN(IF(ISNUMBER(AG58:AG254),ROW(AG58:AG254),"")))</f>
        <v>7.8</v>
      </c>
      <c r="AI58" s="14">
        <f>IF('Données projet'!$A$62&gt;35,AI57+AH58-AQ57,IF(A58&lt;'Données projet'!$A$62,$AF$205^A58,IF(A58='Données projet'!$A$62,'Données projet'!$B$62,AI57+AH58-AQ57)))</f>
        <v>237.00000000000006</v>
      </c>
      <c r="AJ58" s="14">
        <f>AI58*VLOOKUP('Données projet'!$B$10,Paramètres!$A$1:$I$89,3,0)*VLOOKUP('Données projet'!$B$10,Paramètres!$A$1:$I$89,5,0)</f>
        <v>207.0432000000001</v>
      </c>
      <c r="AK58" s="14">
        <f t="shared" si="35"/>
        <v>51.28891823180637</v>
      </c>
      <c r="AL58" s="22">
        <f t="shared" si="4"/>
        <v>449.92843925372966</v>
      </c>
      <c r="AM58" s="62">
        <f t="shared" si="5"/>
        <v>743.26177258706298</v>
      </c>
      <c r="AN58" s="62">
        <f ca="1">AVERAGE(OFFSET($AM$3,0,0,'Données projet'!$E$10+1,1))-AVERAGE(OFFSET($H$3,0,0,'Données projet'!$E$10+1,1))</f>
        <v>321.62968871874483</v>
      </c>
      <c r="AO58" s="62">
        <f t="shared" si="36"/>
        <v>389.91636841473559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2.2273549835373405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6.306822135665832E-3</v>
      </c>
      <c r="AX58" s="23">
        <f t="shared" si="6"/>
        <v>2.2336618056730062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277.99999999999994</v>
      </c>
      <c r="BE58" s="14">
        <f>BD58*VLOOKUP('Données projet'!$B$11,Paramètres!$A$1:$I$89,3,0)*VLOOKUP('Données projet'!$B$11,Paramètres!$A$1:$I$89,5,0)</f>
        <v>203.82959999999997</v>
      </c>
      <c r="BF58" s="14">
        <f t="shared" si="37"/>
        <v>50.584866587182425</v>
      </c>
      <c r="BG58" s="22">
        <f t="shared" si="7"/>
        <v>443.10519597267603</v>
      </c>
      <c r="BH58" s="62">
        <f t="shared" si="8"/>
        <v>736.43852930600929</v>
      </c>
      <c r="BI58" s="62">
        <f ca="1">AVERAGE(OFFSET($BH$3,0,0,'Données projet'!$E$11+1,1))-AVERAGE(OFFSET($H$3,0,0,'Données projet'!$E$11+1,1))</f>
        <v>327.81662150328646</v>
      </c>
      <c r="BJ58" s="62">
        <f t="shared" si="38"/>
        <v>320.24200483294322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2.4594268581694901E-3</v>
      </c>
      <c r="BS58" s="24">
        <f t="shared" si="9"/>
        <v>2.4594268581694901E-3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2.8421709430404007E-14</v>
      </c>
      <c r="BZ58" s="14">
        <f>BY58*VLOOKUP('Données projet'!$B$12,Paramètres!$A$1:$I$89,3,0)*VLOOKUP('Données projet'!$B$12,Paramètres!$A$1:$I$89,5,0)</f>
        <v>1.5518253349000589E-14</v>
      </c>
      <c r="CA58" s="14">
        <f t="shared" si="39"/>
        <v>2.8958815659671149E-13</v>
      </c>
      <c r="CB58" s="22">
        <f t="shared" si="10"/>
        <v>5.3139366398878183E-13</v>
      </c>
      <c r="CC58" s="62">
        <f t="shared" si="11"/>
        <v>293.33333333333383</v>
      </c>
      <c r="CD58" s="62">
        <f ca="1">AVERAGE(OFFSET($CC$3,0,0,'Données projet'!$E$12+1,1))-AVERAGE(OFFSET($H$3,0,0,'Données projet'!$E$12+1,1))</f>
        <v>170.27677128684815</v>
      </c>
      <c r="CE58" s="62">
        <f t="shared" si="40"/>
        <v>243.47439640666289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2.6263974318418666</v>
      </c>
      <c r="CL58" s="23">
        <f>EXP(-LN(2)/25)*CL57+(1-EXP(-LN(2)/25))/(LN(2)/25)*Calculateur!CG58*Calculateur!CI58*VLOOKUP('Données projet'!$B$12,Paramètres!$A$1:$I$89,3,0)*0.475*44/12</f>
        <v>9.0496507509773423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11.676048182819208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0</v>
      </c>
      <c r="CZ58" s="62">
        <f t="shared" si="42"/>
        <v>0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</v>
      </c>
      <c r="L59" s="13">
        <f>VLOOKUP(A59,'Données projet'!$A$35:$I$55,9,0)</f>
        <v>20.285714285714285</v>
      </c>
      <c r="M59" s="13">
        <f t="array" ref="M59">INDEX(L:L,MIN(IF(ISNUMBER(L59:L255),ROW(L59:L255),"")))</f>
        <v>20.285714285714285</v>
      </c>
      <c r="N59" s="14">
        <f>IF('Données projet'!$A$36&gt;35,N58+M59-V58,IF(A59&lt;'Données projet'!$A$36,$K$205^A59,IF(A59='Données projet'!$A$36,'Données projet'!$B$36,N58+M59-V58)))</f>
        <v>532.99999999999989</v>
      </c>
      <c r="O59" s="14">
        <f>N59*VLOOKUP('Données projet'!$B$9,Paramètres!$A$1:$I$89,3,0)*VLOOKUP('Données projet'!$B$9,Paramètres!$A$1:$I$89,5,0)</f>
        <v>297.94699999999995</v>
      </c>
      <c r="P59" s="14">
        <f t="shared" si="33"/>
        <v>70.745903965311697</v>
      </c>
      <c r="Q59" s="22">
        <f t="shared" si="53"/>
        <v>642.1401410729178</v>
      </c>
      <c r="R59" s="62">
        <f t="shared" si="0"/>
        <v>935.47347440625117</v>
      </c>
      <c r="S59" s="62">
        <f ca="1">AVERAGE(OFFSET($R$3,0,0,'Données projet'!$E$9+1,1))-AVERAGE(OFFSET($H$3,0,0,'Données projet'!$E$9+1,1))</f>
        <v>388.88381485322674</v>
      </c>
      <c r="T59" s="62">
        <f t="shared" si="34"/>
        <v>355.82695155276218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13.266565531247213</v>
      </c>
      <c r="AA59" s="23">
        <f>EXP(-LN(2)/25)*AA58+(1-EXP(-LN(2)/25))/(LN(2)/25)*Calculateur!V59*Calculateur!X59*VLOOKUP('Données projet'!$B$9,Paramètres!$A$1:$I$89,3,0)*0.475*44/12</f>
        <v>6.8147960137220718</v>
      </c>
      <c r="AB59" s="23">
        <f>EXP(-LN(2)/2)*AB58+(1-EXP(-LN(2)/2))/(LN(2)/2)*V59*Y59*VLOOKUP('Données projet'!$B$9,Paramètres!$A$1:$I$89,3,0)*0.475*44/12</f>
        <v>5.9195329613339785E-4</v>
      </c>
      <c r="AC59" s="24">
        <f t="shared" si="3"/>
        <v>20.081953498265417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6.8</v>
      </c>
      <c r="AI59" s="14">
        <f>IF('Données projet'!$A$62&gt;35,AI58+AH59-AQ58,IF(A59&lt;'Données projet'!$A$62,$AF$205^A59,IF(A59='Données projet'!$A$62,'Données projet'!$B$62,AI58+AH59-AQ58)))</f>
        <v>214.80000000000007</v>
      </c>
      <c r="AJ59" s="14">
        <f>AI59*VLOOKUP('Données projet'!$B$10,Paramètres!$A$1:$I$89,3,0)*VLOOKUP('Données projet'!$B$10,Paramètres!$A$1:$I$89,5,0)</f>
        <v>187.64928000000009</v>
      </c>
      <c r="AK59" s="14">
        <f t="shared" si="35"/>
        <v>47.019866076567546</v>
      </c>
      <c r="AL59" s="22">
        <f t="shared" si="4"/>
        <v>408.71542941668866</v>
      </c>
      <c r="AM59" s="62">
        <f t="shared" si="5"/>
        <v>702.04876275002198</v>
      </c>
      <c r="AN59" s="62">
        <f ca="1">AVERAGE(OFFSET($AM$3,0,0,'Données projet'!$E$10+1,1))-AVERAGE(OFFSET($H$3,0,0,'Données projet'!$E$10+1,1))</f>
        <v>321.62968871874483</v>
      </c>
      <c r="AO59" s="62">
        <f t="shared" si="36"/>
        <v>389.91636841473559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2.1836779108625675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4.4595966998667337E-3</v>
      </c>
      <c r="AX59" s="23">
        <f t="shared" si="6"/>
        <v>2.1881375075624341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</v>
      </c>
      <c r="BD59" s="13">
        <f>IF('Données projet'!$A$88&gt;35,BD58+BC59-BL58,IF(A59&lt;'Données projet'!$A$88,$BA$205^A59,IF(A59='Données projet'!$A$88,'Données projet'!$B$88,BD58+BC59-BL58)))</f>
        <v>268.39999999999992</v>
      </c>
      <c r="BE59" s="14">
        <f>BD59*VLOOKUP('Données projet'!$B$11,Paramètres!$A$1:$I$89,3,0)*VLOOKUP('Données projet'!$B$11,Paramètres!$A$1:$I$89,5,0)</f>
        <v>196.79087999999993</v>
      </c>
      <c r="BF59" s="14">
        <f t="shared" si="37"/>
        <v>49.038237696621778</v>
      </c>
      <c r="BG59" s="22">
        <f t="shared" si="7"/>
        <v>428.1523799882828</v>
      </c>
      <c r="BH59" s="62">
        <f t="shared" si="8"/>
        <v>721.48571332161612</v>
      </c>
      <c r="BI59" s="62">
        <f ca="1">AVERAGE(OFFSET($BH$3,0,0,'Données projet'!$E$11+1,1))-AVERAGE(OFFSET($H$3,0,0,'Données projet'!$E$11+1,1))</f>
        <v>327.81662150328646</v>
      </c>
      <c r="BJ59" s="62">
        <f t="shared" si="38"/>
        <v>320.24200483294322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1.7390774092439717E-3</v>
      </c>
      <c r="BS59" s="24">
        <f t="shared" si="9"/>
        <v>1.7390774092439717E-3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2.8421709430404007E-14</v>
      </c>
      <c r="BZ59" s="14">
        <f>BY59*VLOOKUP('Données projet'!$B$12,Paramètres!$A$1:$I$89,3,0)*VLOOKUP('Données projet'!$B$12,Paramètres!$A$1:$I$89,5,0)</f>
        <v>1.5518253349000589E-14</v>
      </c>
      <c r="CA59" s="14">
        <f t="shared" si="39"/>
        <v>2.8958815659671149E-13</v>
      </c>
      <c r="CB59" s="22">
        <f t="shared" si="10"/>
        <v>5.3139366398878183E-13</v>
      </c>
      <c r="CC59" s="62">
        <f t="shared" si="11"/>
        <v>293.33333333333383</v>
      </c>
      <c r="CD59" s="62">
        <f ca="1">AVERAGE(OFFSET($CC$3,0,0,'Données projet'!$E$12+1,1))-AVERAGE(OFFSET($H$3,0,0,'Données projet'!$E$12+1,1))</f>
        <v>170.27677128684815</v>
      </c>
      <c r="CE59" s="62">
        <f t="shared" si="40"/>
        <v>243.47439640666289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2.5748953801477024</v>
      </c>
      <c r="CL59" s="23">
        <f>EXP(-LN(2)/25)*CL58+(1-EXP(-LN(2)/25))/(LN(2)/25)*Calculateur!CG59*Calculateur!CI59*VLOOKUP('Données projet'!$B$12,Paramètres!$A$1:$I$89,3,0)*0.475*44/12</f>
        <v>8.8021875752914163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11.377082955439118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0</v>
      </c>
      <c r="CZ59" s="62">
        <f t="shared" si="42"/>
        <v>0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18.714285714285715</v>
      </c>
      <c r="N60" s="14">
        <f>IF('Données projet'!$A$36&gt;35,N59+M60-V59,IF(A60&lt;'Données projet'!$A$36,$K$205^A60,IF(A60='Données projet'!$A$36,'Données projet'!$B$36,N59+M60-V59)))</f>
        <v>456.71428571428555</v>
      </c>
      <c r="O60" s="14">
        <f>N60*VLOOKUP('Données projet'!$B$9,Paramètres!$A$1:$I$89,3,0)*VLOOKUP('Données projet'!$B$9,Paramètres!$A$1:$I$89,5,0)</f>
        <v>255.30328571428561</v>
      </c>
      <c r="P60" s="14">
        <f t="shared" si="33"/>
        <v>61.720168574848479</v>
      </c>
      <c r="Q60" s="22">
        <f t="shared" si="53"/>
        <v>552.14918288690853</v>
      </c>
      <c r="R60" s="62">
        <f t="shared" si="0"/>
        <v>845.48251622024191</v>
      </c>
      <c r="S60" s="62">
        <f ca="1">AVERAGE(OFFSET($R$3,0,0,'Données projet'!$E$9+1,1))-AVERAGE(OFFSET($H$3,0,0,'Données projet'!$E$9+1,1))</f>
        <v>388.88381485322674</v>
      </c>
      <c r="T60" s="62">
        <f t="shared" si="34"/>
        <v>355.82695155276218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13.00641627298543</v>
      </c>
      <c r="AA60" s="23">
        <f>EXP(-LN(2)/25)*AA59+(1-EXP(-LN(2)/25))/(LN(2)/25)*Calculateur!V60*Calculateur!X60*VLOOKUP('Données projet'!$B$9,Paramètres!$A$1:$I$89,3,0)*0.475*44/12</f>
        <v>6.6284450583522947</v>
      </c>
      <c r="AB60" s="23">
        <f>EXP(-LN(2)/2)*AB59+(1-EXP(-LN(2)/2))/(LN(2)/2)*V60*Y60*VLOOKUP('Données projet'!$B$9,Paramètres!$A$1:$I$89,3,0)*0.475*44/12</f>
        <v>4.1857418984165412E-4</v>
      </c>
      <c r="AC60" s="24">
        <f t="shared" si="3"/>
        <v>19.635279905527565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6.8</v>
      </c>
      <c r="AI60" s="14">
        <f>IF('Données projet'!$A$62&gt;35,AI59+AH60-AQ59,IF(A60&lt;'Données projet'!$A$62,$AF$205^A60,IF(A60='Données projet'!$A$62,'Données projet'!$B$62,AI59+AH60-AQ59)))</f>
        <v>221.60000000000008</v>
      </c>
      <c r="AJ60" s="14">
        <f>AI60*VLOOKUP('Données projet'!$B$10,Paramètres!$A$1:$I$89,3,0)*VLOOKUP('Données projet'!$B$10,Paramètres!$A$1:$I$89,5,0)</f>
        <v>193.5897600000001</v>
      </c>
      <c r="AK60" s="14">
        <f t="shared" si="35"/>
        <v>48.332731202087089</v>
      </c>
      <c r="AL60" s="22">
        <f t="shared" si="4"/>
        <v>421.34833884363525</v>
      </c>
      <c r="AM60" s="62">
        <f t="shared" si="5"/>
        <v>714.6816721769685</v>
      </c>
      <c r="AN60" s="62">
        <f ca="1">AVERAGE(OFFSET($AM$3,0,0,'Données projet'!$E$10+1,1))-AVERAGE(OFFSET($H$3,0,0,'Données projet'!$E$10+1,1))</f>
        <v>321.62968871874483</v>
      </c>
      <c r="AO60" s="62">
        <f t="shared" si="36"/>
        <v>389.91636841473559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2.1408573189425626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3.153411067832916E-3</v>
      </c>
      <c r="AX60" s="23">
        <f t="shared" si="6"/>
        <v>2.1440107300103954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</v>
      </c>
      <c r="BD60" s="13">
        <f>IF('Données projet'!$A$88&gt;35,BD59+BC60-BL59,IF(A60&lt;'Données projet'!$A$88,$BA$205^A60,IF(A60='Données projet'!$A$88,'Données projet'!$B$88,BD59+BC60-BL59)))</f>
        <v>274.7999999999999</v>
      </c>
      <c r="BE60" s="14">
        <f>BD60*VLOOKUP('Données projet'!$B$11,Paramètres!$A$1:$I$89,3,0)*VLOOKUP('Données projet'!$B$11,Paramètres!$A$1:$I$89,5,0)</f>
        <v>201.48335999999992</v>
      </c>
      <c r="BF60" s="14">
        <f t="shared" si="37"/>
        <v>50.070025024008594</v>
      </c>
      <c r="BG60" s="22">
        <f t="shared" si="7"/>
        <v>438.12214558348154</v>
      </c>
      <c r="BH60" s="62">
        <f t="shared" si="8"/>
        <v>731.45547891681485</v>
      </c>
      <c r="BI60" s="62">
        <f ca="1">AVERAGE(OFFSET($BH$3,0,0,'Données projet'!$E$11+1,1))-AVERAGE(OFFSET($H$3,0,0,'Données projet'!$E$11+1,1))</f>
        <v>327.81662150328646</v>
      </c>
      <c r="BJ60" s="62">
        <f t="shared" si="38"/>
        <v>320.24200483294322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1.2297134290847451E-3</v>
      </c>
      <c r="BS60" s="24">
        <f t="shared" si="9"/>
        <v>1.2297134290847451E-3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2.8421709430404007E-14</v>
      </c>
      <c r="BZ60" s="14">
        <f>BY60*VLOOKUP('Données projet'!$B$12,Paramètres!$A$1:$I$89,3,0)*VLOOKUP('Données projet'!$B$12,Paramètres!$A$1:$I$89,5,0)</f>
        <v>1.5518253349000589E-14</v>
      </c>
      <c r="CA60" s="14">
        <f t="shared" si="39"/>
        <v>2.8958815659671149E-13</v>
      </c>
      <c r="CB60" s="22">
        <f t="shared" si="10"/>
        <v>5.3139366398878183E-13</v>
      </c>
      <c r="CC60" s="62">
        <f t="shared" si="11"/>
        <v>293.33333333333383</v>
      </c>
      <c r="CD60" s="62">
        <f ca="1">AVERAGE(OFFSET($CC$3,0,0,'Données projet'!$E$12+1,1))-AVERAGE(OFFSET($H$3,0,0,'Données projet'!$E$12+1,1))</f>
        <v>170.27677128684815</v>
      </c>
      <c r="CE60" s="62">
        <f t="shared" si="40"/>
        <v>243.47439640666289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2.5244032522741109</v>
      </c>
      <c r="CL60" s="23">
        <f>EXP(-LN(2)/25)*CL59+(1-EXP(-LN(2)/25))/(LN(2)/25)*Calculateur!CG60*Calculateur!CI60*VLOOKUP('Données projet'!$B$12,Paramètres!$A$1:$I$89,3,0)*0.475*44/12</f>
        <v>8.5614912931581451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11.085894545432255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0</v>
      </c>
      <c r="CZ60" s="62">
        <f t="shared" si="42"/>
        <v>0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18.714285714285715</v>
      </c>
      <c r="N61" s="14">
        <f>IF('Données projet'!$A$36&gt;35,N60+M61-V60,IF(A61&lt;'Données projet'!$A$36,$K$205^A61,IF(A61='Données projet'!$A$36,'Données projet'!$B$36,N60+M61-V60)))</f>
        <v>475.42857142857127</v>
      </c>
      <c r="O61" s="14">
        <f>N61*VLOOKUP('Données projet'!$B$9,Paramètres!$A$1:$I$89,3,0)*VLOOKUP('Données projet'!$B$9,Paramètres!$A$1:$I$89,5,0)</f>
        <v>265.76457142857134</v>
      </c>
      <c r="P61" s="14">
        <f t="shared" si="33"/>
        <v>63.949578982484589</v>
      </c>
      <c r="Q61" s="22">
        <f t="shared" si="53"/>
        <v>574.25214529925574</v>
      </c>
      <c r="R61" s="62">
        <f t="shared" si="0"/>
        <v>867.585478632589</v>
      </c>
      <c r="S61" s="62">
        <f ca="1">AVERAGE(OFFSET($R$3,0,0,'Données projet'!$E$9+1,1))-AVERAGE(OFFSET($H$3,0,0,'Données projet'!$E$9+1,1))</f>
        <v>388.88381485322674</v>
      </c>
      <c r="T61" s="62">
        <f t="shared" si="34"/>
        <v>355.82695155276218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12.751368383002781</v>
      </c>
      <c r="AA61" s="23">
        <f>EXP(-LN(2)/25)*AA60+(1-EXP(-LN(2)/25))/(LN(2)/25)*Calculateur!V61*Calculateur!X61*VLOOKUP('Données projet'!$B$9,Paramètres!$A$1:$I$89,3,0)*0.475*44/12</f>
        <v>6.4471898796568752</v>
      </c>
      <c r="AB61" s="23">
        <f>EXP(-LN(2)/2)*AB60+(1-EXP(-LN(2)/2))/(LN(2)/2)*V61*Y61*VLOOKUP('Données projet'!$B$9,Paramètres!$A$1:$I$89,3,0)*0.475*44/12</f>
        <v>2.9597664806669892E-4</v>
      </c>
      <c r="AC61" s="24">
        <f t="shared" si="3"/>
        <v>19.198854239307721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6.8</v>
      </c>
      <c r="AI61" s="14">
        <f>IF('Données projet'!$A$62&gt;35,AI60+AH61-AQ60,IF(A61&lt;'Données projet'!$A$62,$AF$205^A61,IF(A61='Données projet'!$A$62,'Données projet'!$B$62,AI60+AH61-AQ60)))</f>
        <v>228.40000000000009</v>
      </c>
      <c r="AJ61" s="14">
        <f>AI61*VLOOKUP('Données projet'!$B$10,Paramètres!$A$1:$I$89,3,0)*VLOOKUP('Données projet'!$B$10,Paramètres!$A$1:$I$89,5,0)</f>
        <v>199.53024000000011</v>
      </c>
      <c r="AK61" s="14">
        <f t="shared" si="35"/>
        <v>49.640914570461312</v>
      </c>
      <c r="AL61" s="22">
        <f t="shared" si="4"/>
        <v>433.97309421022027</v>
      </c>
      <c r="AM61" s="62">
        <f t="shared" si="5"/>
        <v>727.30642754355358</v>
      </c>
      <c r="AN61" s="62">
        <f ca="1">AVERAGE(OFFSET($AM$3,0,0,'Données projet'!$E$10+1,1))-AVERAGE(OFFSET($H$3,0,0,'Données projet'!$E$10+1,1))</f>
        <v>321.62968871874483</v>
      </c>
      <c r="AO61" s="62">
        <f t="shared" si="36"/>
        <v>389.91636841473559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2.0988764127121269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2.2297983499333669E-3</v>
      </c>
      <c r="AX61" s="23">
        <f t="shared" si="6"/>
        <v>2.1011062110620604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</v>
      </c>
      <c r="BD61" s="13">
        <f>IF('Données projet'!$A$88&gt;35,BD60+BC61-BL60,IF(A61&lt;'Données projet'!$A$88,$BA$205^A61,IF(A61='Données projet'!$A$88,'Données projet'!$B$88,BD60+BC61-BL60)))</f>
        <v>281.19999999999987</v>
      </c>
      <c r="BE61" s="14">
        <f>BD61*VLOOKUP('Données projet'!$B$11,Paramètres!$A$1:$I$89,3,0)*VLOOKUP('Données projet'!$B$11,Paramètres!$A$1:$I$89,5,0)</f>
        <v>206.17583999999991</v>
      </c>
      <c r="BF61" s="14">
        <f t="shared" si="37"/>
        <v>51.099018782559604</v>
      </c>
      <c r="BG61" s="22">
        <f t="shared" si="7"/>
        <v>448.08704571295783</v>
      </c>
      <c r="BH61" s="62">
        <f t="shared" si="8"/>
        <v>741.42037904629115</v>
      </c>
      <c r="BI61" s="62">
        <f ca="1">AVERAGE(OFFSET($BH$3,0,0,'Données projet'!$E$11+1,1))-AVERAGE(OFFSET($H$3,0,0,'Données projet'!$E$11+1,1))</f>
        <v>327.81662150328646</v>
      </c>
      <c r="BJ61" s="62">
        <f t="shared" si="38"/>
        <v>320.24200483294322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8.6953870462198586E-4</v>
      </c>
      <c r="BS61" s="24">
        <f t="shared" si="9"/>
        <v>8.6953870462198586E-4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2.8421709430404007E-14</v>
      </c>
      <c r="BZ61" s="14">
        <f>BY61*VLOOKUP('Données projet'!$B$12,Paramètres!$A$1:$I$89,3,0)*VLOOKUP('Données projet'!$B$12,Paramètres!$A$1:$I$89,5,0)</f>
        <v>1.5518253349000589E-14</v>
      </c>
      <c r="CA61" s="14">
        <f t="shared" si="39"/>
        <v>2.8958815659671149E-13</v>
      </c>
      <c r="CB61" s="22">
        <f t="shared" si="10"/>
        <v>5.3139366398878183E-13</v>
      </c>
      <c r="CC61" s="62">
        <f t="shared" si="11"/>
        <v>293.33333333333383</v>
      </c>
      <c r="CD61" s="62">
        <f ca="1">AVERAGE(OFFSET($CC$3,0,0,'Données projet'!$E$12+1,1))-AVERAGE(OFFSET($H$3,0,0,'Données projet'!$E$12+1,1))</f>
        <v>170.27677128684815</v>
      </c>
      <c r="CE61" s="62">
        <f t="shared" si="40"/>
        <v>243.47439640666289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2.4749012442309635</v>
      </c>
      <c r="CL61" s="23">
        <f>EXP(-LN(2)/25)*CL60+(1-EXP(-LN(2)/25))/(LN(2)/25)*Calculateur!CG61*Calculateur!CI61*VLOOKUP('Données projet'!$B$12,Paramètres!$A$1:$I$89,3,0)*0.475*44/12</f>
        <v>8.3273768635174754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10.802278107748439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0</v>
      </c>
      <c r="CZ61" s="62">
        <f t="shared" si="42"/>
        <v>0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18.714285714285715</v>
      </c>
      <c r="N62" s="14">
        <f>IF('Données projet'!$A$36&gt;35,N61+M62-V61,IF(A62&lt;'Données projet'!$A$36,$K$205^A62,IF(A62='Données projet'!$A$36,'Données projet'!$B$36,N61+M62-V61)))</f>
        <v>494.142857142857</v>
      </c>
      <c r="O62" s="14">
        <f>N62*VLOOKUP('Données projet'!$B$9,Paramètres!$A$1:$I$89,3,0)*VLOOKUP('Données projet'!$B$9,Paramètres!$A$1:$I$89,5,0)</f>
        <v>276.22585714285708</v>
      </c>
      <c r="P62" s="14">
        <f t="shared" si="33"/>
        <v>66.168795149155841</v>
      </c>
      <c r="Q62" s="22">
        <f t="shared" si="53"/>
        <v>596.33735274192247</v>
      </c>
      <c r="R62" s="62">
        <f t="shared" si="0"/>
        <v>889.67068607525584</v>
      </c>
      <c r="S62" s="62">
        <f ca="1">AVERAGE(OFFSET($R$3,0,0,'Données projet'!$E$9+1,1))-AVERAGE(OFFSET($H$3,0,0,'Données projet'!$E$9+1,1))</f>
        <v>388.88381485322674</v>
      </c>
      <c r="T62" s="62">
        <f t="shared" si="34"/>
        <v>355.82695155276218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12.501321826578838</v>
      </c>
      <c r="AA62" s="23">
        <f>EXP(-LN(2)/25)*AA61+(1-EXP(-LN(2)/25))/(LN(2)/25)*Calculateur!V62*Calculateur!X62*VLOOKUP('Données projet'!$B$9,Paramètres!$A$1:$I$89,3,0)*0.475*44/12</f>
        <v>6.2708911333546773</v>
      </c>
      <c r="AB62" s="23">
        <f>EXP(-LN(2)/2)*AB61+(1-EXP(-LN(2)/2))/(LN(2)/2)*V62*Y62*VLOOKUP('Données projet'!$B$9,Paramètres!$A$1:$I$89,3,0)*0.475*44/12</f>
        <v>2.0928709492082706E-4</v>
      </c>
      <c r="AC62" s="24">
        <f t="shared" si="3"/>
        <v>18.772422247028437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6.8</v>
      </c>
      <c r="AI62" s="14">
        <f>IF('Données projet'!$A$62&gt;35,AI61+AH62-AQ61,IF(A62&lt;'Données projet'!$A$62,$AF$205^A62,IF(A62='Données projet'!$A$62,'Données projet'!$B$62,AI61+AH62-AQ61)))</f>
        <v>235.2000000000001</v>
      </c>
      <c r="AJ62" s="14">
        <f>AI62*VLOOKUP('Données projet'!$B$10,Paramètres!$A$1:$I$89,3,0)*VLOOKUP('Données projet'!$B$10,Paramètres!$A$1:$I$89,5,0)</f>
        <v>205.47072000000011</v>
      </c>
      <c r="AK62" s="14">
        <f t="shared" si="35"/>
        <v>50.944571570352757</v>
      </c>
      <c r="AL62" s="22">
        <f t="shared" si="4"/>
        <v>446.58996615169781</v>
      </c>
      <c r="AM62" s="62">
        <f t="shared" si="5"/>
        <v>739.92329948503107</v>
      </c>
      <c r="AN62" s="62">
        <f ca="1">AVERAGE(OFFSET($AM$3,0,0,'Données projet'!$E$10+1,1))-AVERAGE(OFFSET($H$3,0,0,'Données projet'!$E$10+1,1))</f>
        <v>321.62968871874483</v>
      </c>
      <c r="AO62" s="62">
        <f t="shared" si="36"/>
        <v>389.91636841473559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2.0577187264470456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1.576705533916458E-3</v>
      </c>
      <c r="AX62" s="23">
        <f t="shared" si="6"/>
        <v>2.0592954319809622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</v>
      </c>
      <c r="BD62" s="13">
        <f>IF('Données projet'!$A$88&gt;35,BD61+BC62-BL61,IF(A62&lt;'Données projet'!$A$88,$BA$205^A62,IF(A62='Données projet'!$A$88,'Données projet'!$B$88,BD61+BC62-BL61)))</f>
        <v>287.59999999999985</v>
      </c>
      <c r="BE62" s="14">
        <f>BD62*VLOOKUP('Données projet'!$B$11,Paramètres!$A$1:$I$89,3,0)*VLOOKUP('Données projet'!$B$11,Paramètres!$A$1:$I$89,5,0)</f>
        <v>210.86831999999987</v>
      </c>
      <c r="BF62" s="14">
        <f t="shared" si="37"/>
        <v>52.125289871991086</v>
      </c>
      <c r="BG62" s="22">
        <f t="shared" si="7"/>
        <v>458.04720386038417</v>
      </c>
      <c r="BH62" s="62">
        <f t="shared" si="8"/>
        <v>751.38053719371749</v>
      </c>
      <c r="BI62" s="62">
        <f ca="1">AVERAGE(OFFSET($BH$3,0,0,'Données projet'!$E$11+1,1))-AVERAGE(OFFSET($H$3,0,0,'Données projet'!$E$11+1,1))</f>
        <v>327.81662150328646</v>
      </c>
      <c r="BJ62" s="62">
        <f t="shared" si="38"/>
        <v>320.24200483294322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6.1485671454237253E-4</v>
      </c>
      <c r="BS62" s="24">
        <f t="shared" si="9"/>
        <v>6.1485671454237253E-4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2.8421709430404007E-14</v>
      </c>
      <c r="BZ62" s="14">
        <f>BY62*VLOOKUP('Données projet'!$B$12,Paramètres!$A$1:$I$89,3,0)*VLOOKUP('Données projet'!$B$12,Paramètres!$A$1:$I$89,5,0)</f>
        <v>1.5518253349000589E-14</v>
      </c>
      <c r="CA62" s="14">
        <f t="shared" si="39"/>
        <v>2.8958815659671149E-13</v>
      </c>
      <c r="CB62" s="22">
        <f t="shared" si="10"/>
        <v>5.3139366398878183E-13</v>
      </c>
      <c r="CC62" s="62">
        <f t="shared" si="11"/>
        <v>293.33333333333383</v>
      </c>
      <c r="CD62" s="62">
        <f ca="1">AVERAGE(OFFSET($CC$3,0,0,'Données projet'!$E$12+1,1))-AVERAGE(OFFSET($H$3,0,0,'Données projet'!$E$12+1,1))</f>
        <v>170.27677128684815</v>
      </c>
      <c r="CE62" s="62">
        <f t="shared" si="40"/>
        <v>243.47439640666289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2.4263699403722985</v>
      </c>
      <c r="CL62" s="23">
        <f>EXP(-LN(2)/25)*CL61+(1-EXP(-LN(2)/25))/(LN(2)/25)*Calculateur!CG62*Calculateur!CI62*VLOOKUP('Données projet'!$B$12,Paramètres!$A$1:$I$89,3,0)*0.475*44/12</f>
        <v>8.0996643052668738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10.526034245639172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0</v>
      </c>
      <c r="CZ62" s="62">
        <f t="shared" si="42"/>
        <v>0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18.714285714285715</v>
      </c>
      <c r="N63" s="14">
        <f>IF('Données projet'!$A$36&gt;35,N62+M63-V62,IF(A63&lt;'Données projet'!$A$36,$K$205^A63,IF(A63='Données projet'!$A$36,'Données projet'!$B$36,N62+M63-V62)))</f>
        <v>512.85714285714266</v>
      </c>
      <c r="O63" s="14">
        <f>N63*VLOOKUP('Données projet'!$B$9,Paramètres!$A$1:$I$89,3,0)*VLOOKUP('Données projet'!$B$9,Paramètres!$A$1:$I$89,5,0)</f>
        <v>286.68714285714276</v>
      </c>
      <c r="P63" s="14">
        <f t="shared" si="33"/>
        <v>68.378247353660129</v>
      </c>
      <c r="Q63" s="22">
        <f t="shared" si="53"/>
        <v>618.40555461714837</v>
      </c>
      <c r="R63" s="62">
        <f t="shared" si="0"/>
        <v>911.73888795048174</v>
      </c>
      <c r="S63" s="62">
        <f ca="1">AVERAGE(OFFSET($R$3,0,0,'Données projet'!$E$9+1,1))-AVERAGE(OFFSET($H$3,0,0,'Données projet'!$E$9+1,1))</f>
        <v>388.88381485322674</v>
      </c>
      <c r="T63" s="62">
        <f t="shared" si="34"/>
        <v>355.82695155276218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12.256178530613029</v>
      </c>
      <c r="AA63" s="23">
        <f>EXP(-LN(2)/25)*AA62+(1-EXP(-LN(2)/25))/(LN(2)/25)*Calculateur!V63*Calculateur!X63*VLOOKUP('Données projet'!$B$9,Paramètres!$A$1:$I$89,3,0)*0.475*44/12</f>
        <v>6.0994132855412611</v>
      </c>
      <c r="AB63" s="23">
        <f>EXP(-LN(2)/2)*AB62+(1-EXP(-LN(2)/2))/(LN(2)/2)*V63*Y63*VLOOKUP('Données projet'!$B$9,Paramètres!$A$1:$I$89,3,0)*0.475*44/12</f>
        <v>1.4798832403334946E-4</v>
      </c>
      <c r="AC63" s="24">
        <f t="shared" si="3"/>
        <v>18.355739804478326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242</v>
      </c>
      <c r="AG63" s="13">
        <f>VLOOKUP(A63,'Données projet'!$A$61:$I$81,9,0)</f>
        <v>6.8</v>
      </c>
      <c r="AH63" s="13">
        <f t="array" ref="AH63">INDEX(AG:AG,MIN(IF(ISNUMBER(AG63:AG259),ROW(AG63:AG259),"")))</f>
        <v>6.8</v>
      </c>
      <c r="AI63" s="14">
        <f>IF('Données projet'!$A$62&gt;35,AI62+AH63-AQ62,IF(A63&lt;'Données projet'!$A$62,$AF$205^A63,IF(A63='Données projet'!$A$62,'Données projet'!$B$62,AI62+AH63-AQ62)))</f>
        <v>242.00000000000011</v>
      </c>
      <c r="AJ63" s="14">
        <f>AI63*VLOOKUP('Données projet'!$B$10,Paramètres!$A$1:$I$89,3,0)*VLOOKUP('Données projet'!$B$10,Paramètres!$A$1:$I$89,5,0)</f>
        <v>211.41120000000012</v>
      </c>
      <c r="AK63" s="14">
        <f t="shared" si="35"/>
        <v>52.243848094411206</v>
      </c>
      <c r="AL63" s="22">
        <f t="shared" si="4"/>
        <v>459.19920876443302</v>
      </c>
      <c r="AM63" s="62">
        <f t="shared" si="5"/>
        <v>752.53254209776628</v>
      </c>
      <c r="AN63" s="62">
        <f ca="1">AVERAGE(OFFSET($AM$3,0,0,'Données projet'!$E$10+1,1))-AVERAGE(OFFSET($H$3,0,0,'Données projet'!$E$10+1,1))</f>
        <v>321.62968871874483</v>
      </c>
      <c r="AO63" s="62">
        <f t="shared" si="36"/>
        <v>389.91636841473559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26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2.0173681173059128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1.1148991749666834E-3</v>
      </c>
      <c r="AX63" s="23">
        <f t="shared" si="6"/>
        <v>2.0184830164808796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6.4</v>
      </c>
      <c r="BC63" s="13">
        <f t="array" ref="BC63">INDEX(BB:BB,MIN(IF(ISNUMBER(BB63:BB259),ROW(BB63:BB259),"")))</f>
        <v>6.4</v>
      </c>
      <c r="BD63" s="13">
        <f>IF('Données projet'!$A$88&gt;35,BD62+BC63-BL62,IF(A63&lt;'Données projet'!$A$88,$BA$205^A63,IF(A63='Données projet'!$A$88,'Données projet'!$B$88,BD62+BC63-BL62)))</f>
        <v>293.99999999999983</v>
      </c>
      <c r="BE63" s="14">
        <f>BD63*VLOOKUP('Données projet'!$B$11,Paramètres!$A$1:$I$89,3,0)*VLOOKUP('Données projet'!$B$11,Paramètres!$A$1:$I$89,5,0)</f>
        <v>215.56079999999989</v>
      </c>
      <c r="BF63" s="14">
        <f t="shared" si="37"/>
        <v>53.14890585638225</v>
      </c>
      <c r="BG63" s="22">
        <f t="shared" si="7"/>
        <v>468.00273769986552</v>
      </c>
      <c r="BH63" s="62">
        <f t="shared" si="8"/>
        <v>761.33607103319878</v>
      </c>
      <c r="BI63" s="62">
        <f ca="1">AVERAGE(OFFSET($BH$3,0,0,'Données projet'!$E$11+1,1))-AVERAGE(OFFSET($H$3,0,0,'Données projet'!$E$11+1,1))</f>
        <v>327.81662150328646</v>
      </c>
      <c r="BJ63" s="62">
        <f t="shared" si="38"/>
        <v>320.24200483294322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4.3476935231099293E-4</v>
      </c>
      <c r="BS63" s="24">
        <f t="shared" si="9"/>
        <v>4.3476935231099293E-4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2.8421709430404007E-14</v>
      </c>
      <c r="BZ63" s="14">
        <f>BY63*VLOOKUP('Données projet'!$B$12,Paramètres!$A$1:$I$89,3,0)*VLOOKUP('Données projet'!$B$12,Paramètres!$A$1:$I$89,5,0)</f>
        <v>1.5518253349000589E-14</v>
      </c>
      <c r="CA63" s="14">
        <f t="shared" si="39"/>
        <v>2.8958815659671149E-13</v>
      </c>
      <c r="CB63" s="22">
        <f t="shared" si="10"/>
        <v>5.3139366398878183E-13</v>
      </c>
      <c r="CC63" s="62">
        <f t="shared" si="11"/>
        <v>293.33333333333383</v>
      </c>
      <c r="CD63" s="62">
        <f ca="1">AVERAGE(OFFSET($CC$3,0,0,'Données projet'!$E$12+1,1))-AVERAGE(OFFSET($H$3,0,0,'Données projet'!$E$12+1,1))</f>
        <v>170.27677128684815</v>
      </c>
      <c r="CE63" s="62">
        <f t="shared" si="40"/>
        <v>243.47439640666289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2.3787903057811293</v>
      </c>
      <c r="CL63" s="23">
        <f>EXP(-LN(2)/25)*CL62+(1-EXP(-LN(2)/25))/(LN(2)/25)*Calculateur!CG63*Calculateur!CI63*VLOOKUP('Données projet'!$B$12,Paramètres!$A$1:$I$89,3,0)*0.475*44/12</f>
        <v>7.8781785588965176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10.256968864677647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0</v>
      </c>
      <c r="CZ63" s="62">
        <f t="shared" si="42"/>
        <v>0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18.714285714285715</v>
      </c>
      <c r="N64" s="14">
        <f>IF('Données projet'!$A$36&gt;35,N63+M64-V63,IF(A64&lt;'Données projet'!$A$36,$K$205^A64,IF(A64='Données projet'!$A$36,'Données projet'!$B$36,N63+M64-V63)))</f>
        <v>531.57142857142833</v>
      </c>
      <c r="O64" s="14">
        <f>N64*VLOOKUP('Données projet'!$B$9,Paramètres!$A$1:$I$89,3,0)*VLOOKUP('Données projet'!$B$9,Paramètres!$A$1:$I$89,5,0)</f>
        <v>297.14842857142844</v>
      </c>
      <c r="P64" s="14">
        <f t="shared" si="33"/>
        <v>70.578332693242871</v>
      </c>
      <c r="Q64" s="22">
        <f t="shared" si="53"/>
        <v>640.45744253596911</v>
      </c>
      <c r="R64" s="62">
        <f t="shared" si="0"/>
        <v>933.79077586930248</v>
      </c>
      <c r="S64" s="62">
        <f ca="1">AVERAGE(OFFSET($R$3,0,0,'Données projet'!$E$9+1,1))-AVERAGE(OFFSET($H$3,0,0,'Données projet'!$E$9+1,1))</f>
        <v>388.88381485322674</v>
      </c>
      <c r="T64" s="62">
        <f t="shared" si="34"/>
        <v>355.82695155276218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12.015842345158465</v>
      </c>
      <c r="AA64" s="23">
        <f>EXP(-LN(2)/25)*AA63+(1-EXP(-LN(2)/25))/(LN(2)/25)*Calculateur!V64*Calculateur!X64*VLOOKUP('Données projet'!$B$9,Paramètres!$A$1:$I$89,3,0)*0.475*44/12</f>
        <v>5.9326245084939311</v>
      </c>
      <c r="AB64" s="23">
        <f>EXP(-LN(2)/2)*AB63+(1-EXP(-LN(2)/2))/(LN(2)/2)*V64*Y64*VLOOKUP('Données projet'!$B$9,Paramètres!$A$1:$I$89,3,0)*0.475*44/12</f>
        <v>1.0464354746041353E-4</v>
      </c>
      <c r="AC64" s="24">
        <f t="shared" si="3"/>
        <v>17.948571497199854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222.00000000000011</v>
      </c>
      <c r="AJ64" s="14">
        <f>AI64*VLOOKUP('Données projet'!$B$10,Paramètres!$A$1:$I$89,3,0)*VLOOKUP('Données projet'!$B$10,Paramètres!$A$1:$I$89,5,0)</f>
        <v>193.93920000000014</v>
      </c>
      <c r="AK64" s="14">
        <f t="shared" si="35"/>
        <v>48.409811198069384</v>
      </c>
      <c r="AL64" s="22">
        <f t="shared" si="4"/>
        <v>422.09119450330439</v>
      </c>
      <c r="AM64" s="62">
        <f t="shared" si="5"/>
        <v>715.42452783663771</v>
      </c>
      <c r="AN64" s="62">
        <f ca="1">AVERAGE(OFFSET($AM$3,0,0,'Données projet'!$E$10+1,1))-AVERAGE(OFFSET($H$3,0,0,'Données projet'!$E$10+1,1))</f>
        <v>321.62968871874483</v>
      </c>
      <c r="AO64" s="62">
        <f t="shared" si="36"/>
        <v>389.91636841473559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1.9778087589985962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7.88352766958229E-4</v>
      </c>
      <c r="AX64" s="23">
        <f t="shared" si="6"/>
        <v>1.9785971117655545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285.19999999999982</v>
      </c>
      <c r="BE64" s="14">
        <f>BD64*VLOOKUP('Données projet'!$B$11,Paramètres!$A$1:$I$89,3,0)*VLOOKUP('Données projet'!$B$11,Paramètres!$A$1:$I$89,5,0)</f>
        <v>209.10863999999984</v>
      </c>
      <c r="BF64" s="14">
        <f t="shared" si="37"/>
        <v>51.740752917406994</v>
      </c>
      <c r="BG64" s="22">
        <f t="shared" si="7"/>
        <v>454.31269266448356</v>
      </c>
      <c r="BH64" s="62">
        <f t="shared" si="8"/>
        <v>747.64602599781688</v>
      </c>
      <c r="BI64" s="62">
        <f ca="1">AVERAGE(OFFSET($BH$3,0,0,'Données projet'!$E$11+1,1))-AVERAGE(OFFSET($H$3,0,0,'Données projet'!$E$11+1,1))</f>
        <v>327.81662150328646</v>
      </c>
      <c r="BJ64" s="62">
        <f t="shared" si="38"/>
        <v>320.24200483294322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3.0742835727118627E-4</v>
      </c>
      <c r="BS64" s="24">
        <f t="shared" si="9"/>
        <v>3.0742835727118627E-4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2.8421709430404007E-14</v>
      </c>
      <c r="BZ64" s="14">
        <f>BY64*VLOOKUP('Données projet'!$B$12,Paramètres!$A$1:$I$89,3,0)*VLOOKUP('Données projet'!$B$12,Paramètres!$A$1:$I$89,5,0)</f>
        <v>1.5518253349000589E-14</v>
      </c>
      <c r="CA64" s="14">
        <f t="shared" si="39"/>
        <v>2.8958815659671149E-13</v>
      </c>
      <c r="CB64" s="22">
        <f t="shared" si="10"/>
        <v>5.3139366398878183E-13</v>
      </c>
      <c r="CC64" s="62">
        <f t="shared" si="11"/>
        <v>293.33333333333383</v>
      </c>
      <c r="CD64" s="62">
        <f ca="1">AVERAGE(OFFSET($CC$3,0,0,'Données projet'!$E$12+1,1))-AVERAGE(OFFSET($H$3,0,0,'Données projet'!$E$12+1,1))</f>
        <v>170.27677128684815</v>
      </c>
      <c r="CE64" s="62">
        <f t="shared" si="40"/>
        <v>243.47439640666289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2.3321436788035816</v>
      </c>
      <c r="CL64" s="23">
        <f>EXP(-LN(2)/25)*CL63+(1-EXP(-LN(2)/25))/(LN(2)/25)*Calculateur!CG64*Calculateur!CI64*VLOOKUP('Données projet'!$B$12,Paramètres!$A$1:$I$89,3,0)*0.475*44/12</f>
        <v>7.6627493519080874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9.994893030711669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0</v>
      </c>
      <c r="CZ64" s="62">
        <f t="shared" si="42"/>
        <v>0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18.714285714285715</v>
      </c>
      <c r="N65" s="14">
        <f>IF('Données projet'!$A$36&gt;35,N64+M65-V64,IF(A65&lt;'Données projet'!$A$36,$K$205^A65,IF(A65='Données projet'!$A$36,'Données projet'!$B$36,N64+M65-V64)))</f>
        <v>550.28571428571399</v>
      </c>
      <c r="O65" s="14">
        <f>N65*VLOOKUP('Données projet'!$B$9,Paramètres!$A$1:$I$89,3,0)*VLOOKUP('Données projet'!$B$9,Paramètres!$A$1:$I$89,5,0)</f>
        <v>307.60971428571412</v>
      </c>
      <c r="P65" s="14">
        <f t="shared" si="33"/>
        <v>72.769418719732684</v>
      </c>
      <c r="Q65" s="22">
        <f t="shared" si="53"/>
        <v>662.49365665115317</v>
      </c>
      <c r="R65" s="62">
        <f t="shared" si="0"/>
        <v>955.82698998448654</v>
      </c>
      <c r="S65" s="62">
        <f ca="1">AVERAGE(OFFSET($R$3,0,0,'Données projet'!$E$9+1,1))-AVERAGE(OFFSET($H$3,0,0,'Données projet'!$E$9+1,1))</f>
        <v>388.88381485322674</v>
      </c>
      <c r="T65" s="62">
        <f t="shared" si="34"/>
        <v>355.82695155276218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11.780219005710064</v>
      </c>
      <c r="AA65" s="23">
        <f>EXP(-LN(2)/25)*AA64+(1-EXP(-LN(2)/25))/(LN(2)/25)*Calculateur!V65*Calculateur!X65*VLOOKUP('Données projet'!$B$9,Paramètres!$A$1:$I$89,3,0)*0.475*44/12</f>
        <v>5.7703965793260013</v>
      </c>
      <c r="AB65" s="23">
        <f>EXP(-LN(2)/2)*AB64+(1-EXP(-LN(2)/2))/(LN(2)/2)*V65*Y65*VLOOKUP('Données projet'!$B$9,Paramètres!$A$1:$I$89,3,0)*0.475*44/12</f>
        <v>7.3994162016674731E-5</v>
      </c>
      <c r="AC65" s="24">
        <f t="shared" si="3"/>
        <v>17.550689579198082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228.00000000000011</v>
      </c>
      <c r="AJ65" s="14">
        <f>AI65*VLOOKUP('Données projet'!$B$10,Paramètres!$A$1:$I$89,3,0)*VLOOKUP('Données projet'!$B$10,Paramètres!$A$1:$I$89,5,0)</f>
        <v>199.18080000000012</v>
      </c>
      <c r="AK65" s="14">
        <f t="shared" si="35"/>
        <v>49.564089376413726</v>
      </c>
      <c r="AL65" s="22">
        <f t="shared" si="4"/>
        <v>433.2306823305874</v>
      </c>
      <c r="AM65" s="62">
        <f t="shared" si="5"/>
        <v>726.56401566392071</v>
      </c>
      <c r="AN65" s="62">
        <f ca="1">AVERAGE(OFFSET($AM$3,0,0,'Données projet'!$E$10+1,1))-AVERAGE(OFFSET($H$3,0,0,'Données projet'!$E$10+1,1))</f>
        <v>321.62968871874483</v>
      </c>
      <c r="AO65" s="62">
        <f t="shared" si="36"/>
        <v>389.91636841473559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1.9390251355788601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5.5744958748334171E-4</v>
      </c>
      <c r="AX65" s="23">
        <f t="shared" si="6"/>
        <v>1.9395825851663435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290.39999999999981</v>
      </c>
      <c r="BE65" s="14">
        <f>BD65*VLOOKUP('Données projet'!$B$11,Paramètres!$A$1:$I$89,3,0)*VLOOKUP('Données projet'!$B$11,Paramètres!$A$1:$I$89,5,0)</f>
        <v>212.92127999999988</v>
      </c>
      <c r="BF65" s="14">
        <f t="shared" si="37"/>
        <v>52.57344469809297</v>
      </c>
      <c r="BG65" s="22">
        <f t="shared" si="7"/>
        <v>462.40331218251168</v>
      </c>
      <c r="BH65" s="62">
        <f t="shared" si="8"/>
        <v>755.736645515845</v>
      </c>
      <c r="BI65" s="62">
        <f ca="1">AVERAGE(OFFSET($BH$3,0,0,'Données projet'!$E$11+1,1))-AVERAGE(OFFSET($H$3,0,0,'Données projet'!$E$11+1,1))</f>
        <v>327.81662150328646</v>
      </c>
      <c r="BJ65" s="62">
        <f t="shared" si="38"/>
        <v>320.24200483294322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2.1738467615549647E-4</v>
      </c>
      <c r="BS65" s="24">
        <f t="shared" si="9"/>
        <v>2.1738467615549647E-4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2.8421709430404007E-14</v>
      </c>
      <c r="BZ65" s="14">
        <f>BY65*VLOOKUP('Données projet'!$B$12,Paramètres!$A$1:$I$89,3,0)*VLOOKUP('Données projet'!$B$12,Paramètres!$A$1:$I$89,5,0)</f>
        <v>1.5518253349000589E-14</v>
      </c>
      <c r="CA65" s="14">
        <f t="shared" si="39"/>
        <v>2.8958815659671149E-13</v>
      </c>
      <c r="CB65" s="22">
        <f t="shared" si="10"/>
        <v>5.3139366398878183E-13</v>
      </c>
      <c r="CC65" s="62">
        <f t="shared" si="11"/>
        <v>293.33333333333383</v>
      </c>
      <c r="CD65" s="62">
        <f ca="1">AVERAGE(OFFSET($CC$3,0,0,'Données projet'!$E$12+1,1))-AVERAGE(OFFSET($H$3,0,0,'Données projet'!$E$12+1,1))</f>
        <v>170.27677128684815</v>
      </c>
      <c r="CE65" s="62">
        <f t="shared" si="40"/>
        <v>243.47439640666289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2.2864117637294306</v>
      </c>
      <c r="CL65" s="23">
        <f>EXP(-LN(2)/25)*CL64+(1-EXP(-LN(2)/25))/(LN(2)/25)*Calculateur!CG65*Calculateur!CI65*VLOOKUP('Données projet'!$B$12,Paramètres!$A$1:$I$89,3,0)*0.475*44/12</f>
        <v>7.4532110679136858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9.7396228316431159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0</v>
      </c>
      <c r="CZ65" s="62">
        <f t="shared" si="42"/>
        <v>0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18.714285714285715</v>
      </c>
      <c r="M66" s="13">
        <f t="array" ref="M66">INDEX(L:L,MIN(IF(ISNUMBER(L66:L262),ROW(L66:L262),"")))</f>
        <v>18.714285714285715</v>
      </c>
      <c r="N66" s="14">
        <f>IF('Données projet'!$A$36&gt;35,N65+M66-V65,IF(A66&lt;'Données projet'!$A$36,$K$205^A66,IF(A66='Données projet'!$A$36,'Données projet'!$B$36,N65+M66-V65)))</f>
        <v>568.99999999999966</v>
      </c>
      <c r="O66" s="14">
        <f>N66*VLOOKUP('Données projet'!$B$9,Paramètres!$A$1:$I$89,3,0)*VLOOKUP('Données projet'!$B$9,Paramètres!$A$1:$I$89,5,0)</f>
        <v>318.0709999999998</v>
      </c>
      <c r="P66" s="14">
        <f t="shared" si="33"/>
        <v>74.951846567144614</v>
      </c>
      <c r="Q66" s="22">
        <f t="shared" si="53"/>
        <v>684.51479110444313</v>
      </c>
      <c r="R66" s="62">
        <f t="shared" si="0"/>
        <v>977.84812443777651</v>
      </c>
      <c r="S66" s="62">
        <f ca="1">AVERAGE(OFFSET($R$3,0,0,'Données projet'!$E$9+1,1))-AVERAGE(OFFSET($H$3,0,0,'Données projet'!$E$9+1,1))</f>
        <v>388.88381485322674</v>
      </c>
      <c r="T66" s="62">
        <f t="shared" si="34"/>
        <v>355.82695155276218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11.549216096232202</v>
      </c>
      <c r="AA66" s="23">
        <f>EXP(-LN(2)/25)*AA65+(1-EXP(-LN(2)/25))/(LN(2)/25)*Calculateur!V66*Calculateur!X66*VLOOKUP('Données projet'!$B$9,Paramètres!$A$1:$I$89,3,0)*0.475*44/12</f>
        <v>5.6126047814123643</v>
      </c>
      <c r="AB66" s="23">
        <f>EXP(-LN(2)/2)*AB65+(1-EXP(-LN(2)/2))/(LN(2)/2)*V66*Y66*VLOOKUP('Données projet'!$B$9,Paramètres!$A$1:$I$89,3,0)*0.475*44/12</f>
        <v>5.2321773730206765E-5</v>
      </c>
      <c r="AC66" s="24">
        <f t="shared" si="3"/>
        <v>17.161873199418295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234.00000000000011</v>
      </c>
      <c r="AJ66" s="14">
        <f>AI66*VLOOKUP('Données projet'!$B$10,Paramètres!$A$1:$I$89,3,0)*VLOOKUP('Données projet'!$B$10,Paramètres!$A$1:$I$89,5,0)</f>
        <v>204.42240000000012</v>
      </c>
      <c r="AK66" s="14">
        <f t="shared" si="35"/>
        <v>50.714836797527312</v>
      </c>
      <c r="AL66" s="22">
        <f t="shared" si="4"/>
        <v>444.36402075569362</v>
      </c>
      <c r="AM66" s="62">
        <f t="shared" si="5"/>
        <v>737.69735408902693</v>
      </c>
      <c r="AN66" s="62">
        <f ca="1">AVERAGE(OFFSET($AM$3,0,0,'Données projet'!$E$10+1,1))-AVERAGE(OFFSET($H$3,0,0,'Données projet'!$E$10+1,1))</f>
        <v>321.62968871874483</v>
      </c>
      <c r="AO66" s="62">
        <f t="shared" si="36"/>
        <v>389.91636841473559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1.9010020353587107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3.941763834791145E-4</v>
      </c>
      <c r="AX66" s="23">
        <f t="shared" si="6"/>
        <v>1.9013962117421899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295.5999999999998</v>
      </c>
      <c r="BE66" s="14">
        <f>BD66*VLOOKUP('Données projet'!$B$11,Paramètres!$A$1:$I$89,3,0)*VLOOKUP('Données projet'!$B$11,Paramètres!$A$1:$I$89,5,0)</f>
        <v>216.73391999999987</v>
      </c>
      <c r="BF66" s="14">
        <f t="shared" si="37"/>
        <v>53.404402610883679</v>
      </c>
      <c r="BG66" s="22">
        <f t="shared" si="7"/>
        <v>470.49091188062221</v>
      </c>
      <c r="BH66" s="62">
        <f t="shared" si="8"/>
        <v>763.82424521395546</v>
      </c>
      <c r="BI66" s="62">
        <f ca="1">AVERAGE(OFFSET($BH$3,0,0,'Données projet'!$E$11+1,1))-AVERAGE(OFFSET($H$3,0,0,'Données projet'!$E$11+1,1))</f>
        <v>327.81662150328646</v>
      </c>
      <c r="BJ66" s="62">
        <f t="shared" si="38"/>
        <v>320.24200483294322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1.5371417863559313E-4</v>
      </c>
      <c r="BS66" s="24">
        <f t="shared" si="9"/>
        <v>1.5371417863559313E-4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2.8421709430404007E-14</v>
      </c>
      <c r="BZ66" s="14">
        <f>BY66*VLOOKUP('Données projet'!$B$12,Paramètres!$A$1:$I$89,3,0)*VLOOKUP('Données projet'!$B$12,Paramètres!$A$1:$I$89,5,0)</f>
        <v>1.5518253349000589E-14</v>
      </c>
      <c r="CA66" s="14">
        <f t="shared" si="39"/>
        <v>2.8958815659671149E-13</v>
      </c>
      <c r="CB66" s="22">
        <f t="shared" si="10"/>
        <v>5.3139366398878183E-13</v>
      </c>
      <c r="CC66" s="62">
        <f t="shared" si="11"/>
        <v>293.33333333333383</v>
      </c>
      <c r="CD66" s="62">
        <f ca="1">AVERAGE(OFFSET($CC$3,0,0,'Données projet'!$E$12+1,1))-AVERAGE(OFFSET($H$3,0,0,'Données projet'!$E$12+1,1))</f>
        <v>170.27677128684815</v>
      </c>
      <c r="CE66" s="62">
        <f t="shared" si="40"/>
        <v>243.47439640666289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2.2415766236161696</v>
      </c>
      <c r="CL66" s="23">
        <f>EXP(-LN(2)/25)*CL65+(1-EXP(-LN(2)/25))/(LN(2)/25)*Calculateur!CG66*Calculateur!CI66*VLOOKUP('Données projet'!$B$12,Paramètres!$A$1:$I$89,3,0)*0.475*44/12</f>
        <v>7.2494026193142505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9.4909792429304201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0</v>
      </c>
      <c r="CZ66" s="62">
        <f t="shared" si="42"/>
        <v>0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16.666666666666668</v>
      </c>
      <c r="N67" s="14">
        <f>IF('Données projet'!$A$36&gt;35,N66+M67-V66,IF(A67&lt;'Données projet'!$A$36,$K$205^A67,IF(A67='Données projet'!$A$36,'Données projet'!$B$36,N66+M67-V66)))</f>
        <v>486.66666666666629</v>
      </c>
      <c r="O67" s="14">
        <f>N67*VLOOKUP('Données projet'!$B$9,Paramètres!$A$1:$I$89,3,0)*VLOOKUP('Données projet'!$B$9,Paramètres!$A$1:$I$89,5,0)</f>
        <v>272.04666666666645</v>
      </c>
      <c r="P67" s="14">
        <f t="shared" si="33"/>
        <v>65.283432523037007</v>
      </c>
      <c r="Q67" s="22">
        <f t="shared" ref="Q67:Q98" si="54">(O67+P67)*0.475*44/12</f>
        <v>587.51658942206677</v>
      </c>
      <c r="R67" s="62">
        <f t="shared" ref="R67:R130" si="55">Q67+(I67+J67)*44/12</f>
        <v>880.84992275540003</v>
      </c>
      <c r="S67" s="62">
        <f ca="1">AVERAGE(OFFSET($R$3,0,0,'Données projet'!$E$9+1,1))-AVERAGE(OFFSET($H$3,0,0,'Données projet'!$E$9+1,1))</f>
        <v>388.88381485322674</v>
      </c>
      <c r="T67" s="62">
        <f t="shared" si="34"/>
        <v>355.82695155276218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11.322743012911339</v>
      </c>
      <c r="AA67" s="23">
        <f>EXP(-LN(2)/25)*AA66+(1-EXP(-LN(2)/25))/(LN(2)/25)*Calculateur!V67*Calculateur!X67*VLOOKUP('Données projet'!$B$9,Paramètres!$A$1:$I$89,3,0)*0.475*44/12</f>
        <v>5.4591278085105852</v>
      </c>
      <c r="AB67" s="23">
        <f>EXP(-LN(2)/2)*AB66+(1-EXP(-LN(2)/2))/(LN(2)/2)*V67*Y67*VLOOKUP('Données projet'!$B$9,Paramètres!$A$1:$I$89,3,0)*0.475*44/12</f>
        <v>3.6997081008337366E-5</v>
      </c>
      <c r="AC67" s="24">
        <f t="shared" si="3"/>
        <v>16.781907818502933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240.00000000000011</v>
      </c>
      <c r="AJ67" s="14">
        <f>AI67*VLOOKUP('Données projet'!$B$10,Paramètres!$A$1:$I$89,3,0)*VLOOKUP('Données projet'!$B$10,Paramètres!$A$1:$I$89,5,0)</f>
        <v>209.6640000000001</v>
      </c>
      <c r="AK67" s="14">
        <f t="shared" si="35"/>
        <v>51.862154403304537</v>
      </c>
      <c r="AL67" s="22">
        <f t="shared" si="4"/>
        <v>455.49138558575561</v>
      </c>
      <c r="AM67" s="62">
        <f t="shared" si="5"/>
        <v>748.82471891908892</v>
      </c>
      <c r="AN67" s="62">
        <f ca="1">AVERAGE(OFFSET($AM$3,0,0,'Données projet'!$E$10+1,1))-AVERAGE(OFFSET($H$3,0,0,'Données projet'!$E$10+1,1))</f>
        <v>321.62968871874483</v>
      </c>
      <c r="AO67" s="62">
        <f t="shared" si="36"/>
        <v>389.91636841473559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1.8637245449420772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2.7872479374167086E-4</v>
      </c>
      <c r="AX67" s="23">
        <f t="shared" si="6"/>
        <v>1.8640032697358189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300.79999999999978</v>
      </c>
      <c r="BE67" s="14">
        <f>BD67*VLOOKUP('Données projet'!$B$11,Paramètres!$A$1:$I$89,3,0)*VLOOKUP('Données projet'!$B$11,Paramètres!$A$1:$I$89,5,0)</f>
        <v>220.54655999999983</v>
      </c>
      <c r="BF67" s="14">
        <f t="shared" si="37"/>
        <v>54.233660675860236</v>
      </c>
      <c r="BG67" s="22">
        <f t="shared" si="7"/>
        <v>478.57555101045619</v>
      </c>
      <c r="BH67" s="62">
        <f t="shared" si="8"/>
        <v>771.90888434378951</v>
      </c>
      <c r="BI67" s="62">
        <f ca="1">AVERAGE(OFFSET($BH$3,0,0,'Données projet'!$E$11+1,1))-AVERAGE(OFFSET($H$3,0,0,'Données projet'!$E$11+1,1))</f>
        <v>327.81662150328646</v>
      </c>
      <c r="BJ67" s="62">
        <f t="shared" si="38"/>
        <v>320.24200483294322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1.0869233807774823E-4</v>
      </c>
      <c r="BS67" s="24">
        <f t="shared" si="9"/>
        <v>1.0869233807774823E-4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2.8421709430404007E-14</v>
      </c>
      <c r="BZ67" s="14">
        <f>BY67*VLOOKUP('Données projet'!$B$12,Paramètres!$A$1:$I$89,3,0)*VLOOKUP('Données projet'!$B$12,Paramètres!$A$1:$I$89,5,0)</f>
        <v>1.5518253349000589E-14</v>
      </c>
      <c r="CA67" s="14">
        <f t="shared" si="39"/>
        <v>2.8958815659671149E-13</v>
      </c>
      <c r="CB67" s="22">
        <f t="shared" si="10"/>
        <v>5.3139366398878183E-13</v>
      </c>
      <c r="CC67" s="62">
        <f t="shared" si="11"/>
        <v>293.33333333333383</v>
      </c>
      <c r="CD67" s="62">
        <f ca="1">AVERAGE(OFFSET($CC$3,0,0,'Données projet'!$E$12+1,1))-AVERAGE(OFFSET($H$3,0,0,'Données projet'!$E$12+1,1))</f>
        <v>170.27677128684815</v>
      </c>
      <c r="CE67" s="62">
        <f t="shared" si="40"/>
        <v>243.47439640666289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2.1976206732537946</v>
      </c>
      <c r="CL67" s="23">
        <f>EXP(-LN(2)/25)*CL66+(1-EXP(-LN(2)/25))/(LN(2)/25)*Calculateur!CG67*Calculateur!CI67*VLOOKUP('Données projet'!$B$12,Paramètres!$A$1:$I$89,3,0)*0.475*44/12</f>
        <v>7.0511673234595875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9.2487879967133821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0</v>
      </c>
      <c r="CZ67" s="62">
        <f t="shared" si="42"/>
        <v>0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16.666666666666668</v>
      </c>
      <c r="N68" s="14">
        <f>IF('Données projet'!$A$36&gt;35,N67+M68-V67,IF(A68&lt;'Données projet'!$A$36,$K$205^A68,IF(A68='Données projet'!$A$36,'Données projet'!$B$36,N67+M68-V67)))</f>
        <v>503.33333333333297</v>
      </c>
      <c r="O68" s="14">
        <f>N68*VLOOKUP('Données projet'!$B$9,Paramètres!$A$1:$I$89,3,0)*VLOOKUP('Données projet'!$B$9,Paramètres!$A$1:$I$89,5,0)</f>
        <v>281.36333333333312</v>
      </c>
      <c r="P68" s="14">
        <f t="shared" si="33"/>
        <v>67.255038908558674</v>
      </c>
      <c r="Q68" s="22">
        <f t="shared" si="54"/>
        <v>607.17699832129483</v>
      </c>
      <c r="R68" s="62">
        <f t="shared" si="55"/>
        <v>900.51033165462809</v>
      </c>
      <c r="S68" s="62">
        <f ca="1">AVERAGE(OFFSET($R$3,0,0,'Données projet'!$E$9+1,1))-AVERAGE(OFFSET($H$3,0,0,'Données projet'!$E$9+1,1))</f>
        <v>388.88381485322674</v>
      </c>
      <c r="T68" s="62">
        <f t="shared" si="34"/>
        <v>355.82695155276218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11.100710928619456</v>
      </c>
      <c r="AA68" s="23">
        <f>EXP(-LN(2)/25)*AA67+(1-EXP(-LN(2)/25))/(LN(2)/25)*Calculateur!V68*Calculateur!X68*VLOOKUP('Données projet'!$B$9,Paramètres!$A$1:$I$89,3,0)*0.475*44/12</f>
        <v>5.3098476715038085</v>
      </c>
      <c r="AB68" s="23">
        <f>EXP(-LN(2)/2)*AB67+(1-EXP(-LN(2)/2))/(LN(2)/2)*V68*Y68*VLOOKUP('Données projet'!$B$9,Paramètres!$A$1:$I$89,3,0)*0.475*44/12</f>
        <v>2.6160886865103383E-5</v>
      </c>
      <c r="AC68" s="24">
        <f t="shared" ref="AC68:AC131" si="57">SUM(Z68:AB68)</f>
        <v>16.410584761010131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246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246.00000000000011</v>
      </c>
      <c r="AJ68" s="14">
        <f>AI68*VLOOKUP('Données projet'!$B$10,Paramètres!$A$1:$I$89,3,0)*VLOOKUP('Données projet'!$B$10,Paramètres!$A$1:$I$89,5,0)</f>
        <v>214.90560000000013</v>
      </c>
      <c r="AK68" s="14">
        <f t="shared" si="35"/>
        <v>53.006137800892375</v>
      </c>
      <c r="AL68" s="22">
        <f t="shared" ref="AL68:AL131" si="58">(AJ68+AK68)*0.475*44/12</f>
        <v>466.61294333655451</v>
      </c>
      <c r="AM68" s="62">
        <f t="shared" ref="AM68:AM131" si="59">AL68+(AD68+AE68)*44/12</f>
        <v>759.94627666988777</v>
      </c>
      <c r="AN68" s="62">
        <f ca="1">AVERAGE(OFFSET($AM$3,0,0,'Données projet'!$E$10+1,1))-AVERAGE(OFFSET($H$3,0,0,'Données projet'!$E$10+1,1))</f>
        <v>321.62968871874483</v>
      </c>
      <c r="AO68" s="62">
        <f t="shared" si="36"/>
        <v>389.91636841473559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23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1.8271780433754898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1.9708819173955725E-4</v>
      </c>
      <c r="AX68" s="23">
        <f t="shared" ref="AX68:AX131" si="60">SUM(AU68:AW68)</f>
        <v>1.8273751315672293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305.99999999999977</v>
      </c>
      <c r="BE68" s="14">
        <f>BD68*VLOOKUP('Données projet'!$B$11,Paramètres!$A$1:$I$89,3,0)*VLOOKUP('Données projet'!$B$11,Paramètres!$A$1:$I$89,5,0)</f>
        <v>224.35919999999982</v>
      </c>
      <c r="BF68" s="14">
        <f t="shared" si="37"/>
        <v>55.061251669487206</v>
      </c>
      <c r="BG68" s="22">
        <f t="shared" ref="BG68:BG131" si="61">(BE68+BF68)*0.475*44/12</f>
        <v>486.65728665768989</v>
      </c>
      <c r="BH68" s="62">
        <f t="shared" ref="BH68:BH131" si="62">BG68+(AY68+AZ68)*44/12</f>
        <v>779.99061999102321</v>
      </c>
      <c r="BI68" s="62">
        <f ca="1">AVERAGE(OFFSET($BH$3,0,0,'Données projet'!$E$11+1,1))-AVERAGE(OFFSET($H$3,0,0,'Données projet'!$E$11+1,1))</f>
        <v>327.81662150328646</v>
      </c>
      <c r="BJ68" s="62">
        <f t="shared" si="38"/>
        <v>320.24200483294322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7.6857089317796567E-5</v>
      </c>
      <c r="BS68" s="24">
        <f t="shared" ref="BS68:BS131" si="63">SUM(BP68:BR68)</f>
        <v>7.6857089317796567E-5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2.8421709430404007E-14</v>
      </c>
      <c r="BZ68" s="14">
        <f>BY68*VLOOKUP('Données projet'!$B$12,Paramètres!$A$1:$I$89,3,0)*VLOOKUP('Données projet'!$B$12,Paramètres!$A$1:$I$89,5,0)</f>
        <v>1.5518253349000589E-14</v>
      </c>
      <c r="CA68" s="14">
        <f t="shared" si="39"/>
        <v>2.8958815659671149E-13</v>
      </c>
      <c r="CB68" s="22">
        <f t="shared" ref="CB68:CB131" si="64">(BZ68+CA68)*0.475*44/12</f>
        <v>5.3139366398878183E-13</v>
      </c>
      <c r="CC68" s="62">
        <f t="shared" ref="CC68:CC131" si="65">CB68+(BT68+BU68)*44/12</f>
        <v>293.33333333333383</v>
      </c>
      <c r="CD68" s="62">
        <f ca="1">AVERAGE(OFFSET($CC$3,0,0,'Données projet'!$E$12+1,1))-AVERAGE(OFFSET($H$3,0,0,'Données projet'!$E$12+1,1))</f>
        <v>170.27677128684815</v>
      </c>
      <c r="CE68" s="62">
        <f t="shared" si="40"/>
        <v>243.47439640666289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2.1545266722675431</v>
      </c>
      <c r="CL68" s="23">
        <f>EXP(-LN(2)/25)*CL67+(1-EXP(-LN(2)/25))/(LN(2)/25)*Calculateur!CG68*Calculateur!CI68*VLOOKUP('Données projet'!$B$12,Paramètres!$A$1:$I$89,3,0)*0.475*44/12</f>
        <v>6.8583527821948111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9.0128794544623538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0</v>
      </c>
      <c r="CZ68" s="62">
        <f t="shared" si="42"/>
        <v>0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16.666666666666668</v>
      </c>
      <c r="N69" s="14">
        <f>IF('Données projet'!$A$36&gt;35,N68+M69-V68,IF(A69&lt;'Données projet'!$A$36,$K$205^A69,IF(A69='Données projet'!$A$36,'Données projet'!$B$36,N68+M69-V68)))</f>
        <v>519.99999999999966</v>
      </c>
      <c r="O69" s="14">
        <f>N69*VLOOKUP('Données projet'!$B$9,Paramètres!$A$1:$I$89,3,0)*VLOOKUP('Données projet'!$B$9,Paramètres!$A$1:$I$89,5,0)</f>
        <v>290.67999999999984</v>
      </c>
      <c r="P69" s="14">
        <f t="shared" ref="P69:P132" si="87">EXP(-1.0587+0.8836*LN(O69)+0.284)</f>
        <v>69.219059283896371</v>
      </c>
      <c r="Q69" s="22">
        <f t="shared" si="54"/>
        <v>626.82419491945257</v>
      </c>
      <c r="R69" s="62">
        <f t="shared" si="55"/>
        <v>920.15752825278582</v>
      </c>
      <c r="S69" s="62">
        <f ca="1">AVERAGE(OFFSET($R$3,0,0,'Données projet'!$E$9+1,1))-AVERAGE(OFFSET($H$3,0,0,'Données projet'!$E$9+1,1))</f>
        <v>388.88381485322674</v>
      </c>
      <c r="T69" s="62">
        <f t="shared" ref="T69:T132" si="88">$T$3</f>
        <v>355.82695155276218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10.883032758074338</v>
      </c>
      <c r="AA69" s="23">
        <f>EXP(-LN(2)/25)*AA68+(1-EXP(-LN(2)/25))/(LN(2)/25)*Calculateur!V69*Calculateur!X69*VLOOKUP('Données projet'!$B$9,Paramètres!$A$1:$I$89,3,0)*0.475*44/12</f>
        <v>5.164649607693784</v>
      </c>
      <c r="AB69" s="23">
        <f>EXP(-LN(2)/2)*AB68+(1-EXP(-LN(2)/2))/(LN(2)/2)*V69*Y69*VLOOKUP('Données projet'!$B$9,Paramètres!$A$1:$I$89,3,0)*0.475*44/12</f>
        <v>1.8498540504168683E-5</v>
      </c>
      <c r="AC69" s="24">
        <f t="shared" si="57"/>
        <v>16.047700864308627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228.2000000000001</v>
      </c>
      <c r="AJ69" s="14">
        <f>AI69*VLOOKUP('Données projet'!$B$10,Paramètres!$A$1:$I$89,3,0)*VLOOKUP('Données projet'!$B$10,Paramètres!$A$1:$I$89,5,0)</f>
        <v>199.35552000000013</v>
      </c>
      <c r="AK69" s="14">
        <f t="shared" ref="AK69:AK132" si="89">EXP(-1.0587+0.8836*LN(AJ69)+0.284)</f>
        <v>49.602503932783222</v>
      </c>
      <c r="AL69" s="22">
        <f t="shared" si="58"/>
        <v>433.60189168293101</v>
      </c>
      <c r="AM69" s="62">
        <f t="shared" si="59"/>
        <v>726.93522501626433</v>
      </c>
      <c r="AN69" s="62">
        <f ca="1">AVERAGE(OFFSET($AM$3,0,0,'Données projet'!$E$10+1,1))-AVERAGE(OFFSET($H$3,0,0,'Données projet'!$E$10+1,1))</f>
        <v>321.62968871874483</v>
      </c>
      <c r="AO69" s="62">
        <f t="shared" ref="AO69:AO132" si="90">$AO$3</f>
        <v>389.91636841473559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1.7913481964134583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1.3936239687083543E-4</v>
      </c>
      <c r="AX69" s="23">
        <f t="shared" si="60"/>
        <v>1.7914875588103292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297.39999999999975</v>
      </c>
      <c r="BE69" s="14">
        <f>BD69*VLOOKUP('Données projet'!$B$11,Paramètres!$A$1:$I$89,3,0)*VLOOKUP('Données projet'!$B$11,Paramètres!$A$1:$I$89,5,0)</f>
        <v>218.05367999999982</v>
      </c>
      <c r="BF69" s="14">
        <f t="shared" ref="BF69:BF132" si="91">EXP(-1.0587+0.8836*LN(BE69)+0.284)</f>
        <v>53.691644154151177</v>
      </c>
      <c r="BG69" s="22">
        <f t="shared" si="61"/>
        <v>473.28977290181297</v>
      </c>
      <c r="BH69" s="62">
        <f t="shared" si="62"/>
        <v>766.62310623514622</v>
      </c>
      <c r="BI69" s="62">
        <f ca="1">AVERAGE(OFFSET($BH$3,0,0,'Données projet'!$E$11+1,1))-AVERAGE(OFFSET($H$3,0,0,'Données projet'!$E$11+1,1))</f>
        <v>327.81662150328646</v>
      </c>
      <c r="BJ69" s="62">
        <f t="shared" ref="BJ69:BJ132" si="92">$BJ$3</f>
        <v>320.24200483294322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5.4346169038874116E-5</v>
      </c>
      <c r="BS69" s="24">
        <f t="shared" si="63"/>
        <v>5.4346169038874116E-5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2.8421709430404007E-14</v>
      </c>
      <c r="BZ69" s="14">
        <f>BY69*VLOOKUP('Données projet'!$B$12,Paramètres!$A$1:$I$89,3,0)*VLOOKUP('Données projet'!$B$12,Paramètres!$A$1:$I$89,5,0)</f>
        <v>1.5518253349000589E-14</v>
      </c>
      <c r="CA69" s="14">
        <f t="shared" ref="CA69:CA132" si="93">EXP(-1.0587+0.8836*LN(BZ69)+0.284)</f>
        <v>2.8958815659671149E-13</v>
      </c>
      <c r="CB69" s="22">
        <f t="shared" si="64"/>
        <v>5.3139366398878183E-13</v>
      </c>
      <c r="CC69" s="62">
        <f t="shared" si="65"/>
        <v>293.33333333333383</v>
      </c>
      <c r="CD69" s="62">
        <f ca="1">AVERAGE(OFFSET($CC$3,0,0,'Données projet'!$E$12+1,1))-AVERAGE(OFFSET($H$3,0,0,'Données projet'!$E$12+1,1))</f>
        <v>170.27677128684815</v>
      </c>
      <c r="CE69" s="62">
        <f t="shared" ref="CE69:CE132" si="94">$CE$3</f>
        <v>243.47439640666289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2.112277718355887</v>
      </c>
      <c r="CL69" s="23">
        <f>EXP(-LN(2)/25)*CL68+(1-EXP(-LN(2)/25))/(LN(2)/25)*Calculateur!CG69*Calculateur!CI69*VLOOKUP('Données projet'!$B$12,Paramètres!$A$1:$I$89,3,0)*0.475*44/12</f>
        <v>6.6708107647005965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8.783088483056483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0</v>
      </c>
      <c r="CZ69" s="62">
        <f t="shared" ref="CZ69:CZ132" si="96">$CZ$3</f>
        <v>0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16.666666666666668</v>
      </c>
      <c r="N70" s="14">
        <f>IF('Données projet'!$A$36&gt;35,N69+M70-V69,IF(A70&lt;'Données projet'!$A$36,$K$205^A70,IF(A70='Données projet'!$A$36,'Données projet'!$B$36,N69+M70-V69)))</f>
        <v>536.66666666666629</v>
      </c>
      <c r="O70" s="14">
        <f>N70*VLOOKUP('Données projet'!$B$9,Paramètres!$A$1:$I$89,3,0)*VLOOKUP('Données projet'!$B$9,Paramètres!$A$1:$I$89,5,0)</f>
        <v>299.9966666666665</v>
      </c>
      <c r="P70" s="14">
        <f t="shared" si="87"/>
        <v>71.175764680534925</v>
      </c>
      <c r="Q70" s="22">
        <f t="shared" si="54"/>
        <v>646.4586512630425</v>
      </c>
      <c r="R70" s="62">
        <f t="shared" si="55"/>
        <v>939.79198459637587</v>
      </c>
      <c r="S70" s="62">
        <f ca="1">AVERAGE(OFFSET($R$3,0,0,'Données projet'!$E$9+1,1))-AVERAGE(OFFSET($H$3,0,0,'Données projet'!$E$9+1,1))</f>
        <v>388.88381485322674</v>
      </c>
      <c r="T70" s="62">
        <f t="shared" si="88"/>
        <v>355.82695155276218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10.669623123683035</v>
      </c>
      <c r="AA70" s="23">
        <f>EXP(-LN(2)/25)*AA69+(1-EXP(-LN(2)/25))/(LN(2)/25)*Calculateur!V70*Calculateur!X70*VLOOKUP('Données projet'!$B$9,Paramètres!$A$1:$I$89,3,0)*0.475*44/12</f>
        <v>5.0234219925742787</v>
      </c>
      <c r="AB70" s="23">
        <f>EXP(-LN(2)/2)*AB69+(1-EXP(-LN(2)/2))/(LN(2)/2)*V70*Y70*VLOOKUP('Données projet'!$B$9,Paramètres!$A$1:$I$89,3,0)*0.475*44/12</f>
        <v>1.3080443432551691E-5</v>
      </c>
      <c r="AC70" s="24">
        <f t="shared" si="57"/>
        <v>15.693058196700745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233.40000000000009</v>
      </c>
      <c r="AJ70" s="14">
        <f>AI70*VLOOKUP('Données projet'!$B$10,Paramètres!$A$1:$I$89,3,0)*VLOOKUP('Données projet'!$B$10,Paramètres!$A$1:$I$89,5,0)</f>
        <v>203.8982400000001</v>
      </c>
      <c r="AK70" s="14">
        <f t="shared" si="89"/>
        <v>50.599918019430213</v>
      </c>
      <c r="AL70" s="22">
        <f t="shared" si="58"/>
        <v>443.25095855050785</v>
      </c>
      <c r="AM70" s="62">
        <f t="shared" si="59"/>
        <v>736.58429188384116</v>
      </c>
      <c r="AN70" s="62">
        <f ca="1">AVERAGE(OFFSET($AM$3,0,0,'Données projet'!$E$10+1,1))-AVERAGE(OFFSET($H$3,0,0,'Données projet'!$E$10+1,1))</f>
        <v>321.62968871874483</v>
      </c>
      <c r="AO70" s="62">
        <f t="shared" si="90"/>
        <v>389.91636841473559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1.7562209508963036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9.8544095869778625E-5</v>
      </c>
      <c r="AX70" s="23">
        <f t="shared" si="60"/>
        <v>1.7563194949921734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301.79999999999973</v>
      </c>
      <c r="BE70" s="14">
        <f>BD70*VLOOKUP('Données projet'!$B$11,Paramètres!$A$1:$I$89,3,0)*VLOOKUP('Données projet'!$B$11,Paramètres!$A$1:$I$89,5,0)</f>
        <v>221.27975999999978</v>
      </c>
      <c r="BF70" s="14">
        <f t="shared" si="91"/>
        <v>54.392941267953155</v>
      </c>
      <c r="BG70" s="22">
        <f t="shared" si="61"/>
        <v>480.12995470835148</v>
      </c>
      <c r="BH70" s="62">
        <f t="shared" si="62"/>
        <v>773.46328804168479</v>
      </c>
      <c r="BI70" s="62">
        <f ca="1">AVERAGE(OFFSET($BH$3,0,0,'Données projet'!$E$11+1,1))-AVERAGE(OFFSET($H$3,0,0,'Données projet'!$E$11+1,1))</f>
        <v>327.81662150328646</v>
      </c>
      <c r="BJ70" s="62">
        <f t="shared" si="92"/>
        <v>320.24200483294322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3.8428544658898283E-5</v>
      </c>
      <c r="BS70" s="24">
        <f t="shared" si="63"/>
        <v>3.8428544658898283E-5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2.8421709430404007E-14</v>
      </c>
      <c r="BZ70" s="14">
        <f>BY70*VLOOKUP('Données projet'!$B$12,Paramètres!$A$1:$I$89,3,0)*VLOOKUP('Données projet'!$B$12,Paramètres!$A$1:$I$89,5,0)</f>
        <v>1.5518253349000589E-14</v>
      </c>
      <c r="CA70" s="14">
        <f t="shared" si="93"/>
        <v>2.8958815659671149E-13</v>
      </c>
      <c r="CB70" s="22">
        <f t="shared" si="64"/>
        <v>5.3139366398878183E-13</v>
      </c>
      <c r="CC70" s="62">
        <f t="shared" si="65"/>
        <v>293.33333333333383</v>
      </c>
      <c r="CD70" s="62">
        <f ca="1">AVERAGE(OFFSET($CC$3,0,0,'Données projet'!$E$12+1,1))-AVERAGE(OFFSET($H$3,0,0,'Données projet'!$E$12+1,1))</f>
        <v>170.27677128684815</v>
      </c>
      <c r="CE70" s="62">
        <f t="shared" si="94"/>
        <v>243.47439640666289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2.070857240661121</v>
      </c>
      <c r="CL70" s="23">
        <f>EXP(-LN(2)/25)*CL69+(1-EXP(-LN(2)/25))/(LN(2)/25)*Calculateur!CG70*Calculateur!CI70*VLOOKUP('Données projet'!$B$12,Paramètres!$A$1:$I$89,3,0)*0.475*44/12</f>
        <v>6.4883970935371673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8.5592543341982879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0</v>
      </c>
      <c r="CZ70" s="62">
        <f t="shared" si="96"/>
        <v>0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16.666666666666668</v>
      </c>
      <c r="N71" s="14">
        <f>IF('Données projet'!$A$36&gt;35,N70+M71-V70,IF(A71&lt;'Données projet'!$A$36,$K$205^A71,IF(A71='Données projet'!$A$36,'Données projet'!$B$36,N70+M71-V70)))</f>
        <v>553.33333333333292</v>
      </c>
      <c r="O71" s="14">
        <f>N71*VLOOKUP('Données projet'!$B$9,Paramètres!$A$1:$I$89,3,0)*VLOOKUP('Données projet'!$B$9,Paramètres!$A$1:$I$89,5,0)</f>
        <v>309.31333333333311</v>
      </c>
      <c r="P71" s="14">
        <f t="shared" si="87"/>
        <v>73.125408339435936</v>
      </c>
      <c r="Q71" s="22">
        <f t="shared" si="54"/>
        <v>666.08080841340609</v>
      </c>
      <c r="R71" s="62">
        <f t="shared" si="55"/>
        <v>959.41414174673946</v>
      </c>
      <c r="S71" s="62">
        <f ca="1">AVERAGE(OFFSET($R$3,0,0,'Données projet'!$E$9+1,1))-AVERAGE(OFFSET($H$3,0,0,'Données projet'!$E$9+1,1))</f>
        <v>388.88381485322674</v>
      </c>
      <c r="T71" s="62">
        <f t="shared" si="88"/>
        <v>355.82695155276218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10.460398322055122</v>
      </c>
      <c r="AA71" s="23">
        <f>EXP(-LN(2)/25)*AA70+(1-EXP(-LN(2)/25))/(LN(2)/25)*Calculateur!V71*Calculateur!X71*VLOOKUP('Données projet'!$B$9,Paramètres!$A$1:$I$89,3,0)*0.475*44/12</f>
        <v>4.8860562540170536</v>
      </c>
      <c r="AB71" s="23">
        <f>EXP(-LN(2)/2)*AB70+(1-EXP(-LN(2)/2))/(LN(2)/2)*V71*Y71*VLOOKUP('Données projet'!$B$9,Paramètres!$A$1:$I$89,3,0)*0.475*44/12</f>
        <v>9.2492702520843414E-6</v>
      </c>
      <c r="AC71" s="24">
        <f t="shared" si="57"/>
        <v>15.346463825342429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238.60000000000008</v>
      </c>
      <c r="AJ71" s="14">
        <f>AI71*VLOOKUP('Données projet'!$B$10,Paramètres!$A$1:$I$89,3,0)*VLOOKUP('Données projet'!$B$10,Paramètres!$A$1:$I$89,5,0)</f>
        <v>208.4409600000001</v>
      </c>
      <c r="AK71" s="14">
        <f t="shared" si="89"/>
        <v>51.594748621124211</v>
      </c>
      <c r="AL71" s="22">
        <f t="shared" si="58"/>
        <v>452.89552584845813</v>
      </c>
      <c r="AM71" s="62">
        <f t="shared" si="59"/>
        <v>746.22885918179145</v>
      </c>
      <c r="AN71" s="62">
        <f ca="1">AVERAGE(OFFSET($AM$3,0,0,'Données projet'!$E$10+1,1))-AVERAGE(OFFSET($H$3,0,0,'Données projet'!$E$10+1,1))</f>
        <v>321.62968871874483</v>
      </c>
      <c r="AO71" s="62">
        <f t="shared" si="90"/>
        <v>389.91636841473559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1.721782529238236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6.9681198435417714E-5</v>
      </c>
      <c r="AX71" s="23">
        <f t="shared" si="60"/>
        <v>1.7218522104366714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306.1999999999997</v>
      </c>
      <c r="BE71" s="14">
        <f>BD71*VLOOKUP('Données projet'!$B$11,Paramètres!$A$1:$I$89,3,0)*VLOOKUP('Données projet'!$B$11,Paramètres!$A$1:$I$89,5,0)</f>
        <v>224.50583999999978</v>
      </c>
      <c r="BF71" s="14">
        <f t="shared" si="91"/>
        <v>55.093049232713739</v>
      </c>
      <c r="BG71" s="22">
        <f t="shared" si="61"/>
        <v>486.96806541364276</v>
      </c>
      <c r="BH71" s="62">
        <f t="shared" si="62"/>
        <v>780.30139874697602</v>
      </c>
      <c r="BI71" s="62">
        <f ca="1">AVERAGE(OFFSET($BH$3,0,0,'Données projet'!$E$11+1,1))-AVERAGE(OFFSET($H$3,0,0,'Données projet'!$E$11+1,1))</f>
        <v>327.81662150328646</v>
      </c>
      <c r="BJ71" s="62">
        <f t="shared" si="92"/>
        <v>320.24200483294322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2.7173084519437058E-5</v>
      </c>
      <c r="BS71" s="24">
        <f t="shared" si="63"/>
        <v>2.7173084519437058E-5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2.8421709430404007E-14</v>
      </c>
      <c r="BZ71" s="14">
        <f>BY71*VLOOKUP('Données projet'!$B$12,Paramètres!$A$1:$I$89,3,0)*VLOOKUP('Données projet'!$B$12,Paramètres!$A$1:$I$89,5,0)</f>
        <v>1.5518253349000589E-14</v>
      </c>
      <c r="CA71" s="14">
        <f t="shared" si="93"/>
        <v>2.8958815659671149E-13</v>
      </c>
      <c r="CB71" s="22">
        <f t="shared" si="64"/>
        <v>5.3139366398878183E-13</v>
      </c>
      <c r="CC71" s="62">
        <f t="shared" si="65"/>
        <v>293.33333333333383</v>
      </c>
      <c r="CD71" s="62">
        <f ca="1">AVERAGE(OFFSET($CC$3,0,0,'Données projet'!$E$12+1,1))-AVERAGE(OFFSET($H$3,0,0,'Données projet'!$E$12+1,1))</f>
        <v>170.27677128684815</v>
      </c>
      <c r="CE71" s="62">
        <f t="shared" si="94"/>
        <v>243.47439640666289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2.0302489932699528</v>
      </c>
      <c r="CL71" s="23">
        <f>EXP(-LN(2)/25)*CL70+(1-EXP(-LN(2)/25))/(LN(2)/25)*Calculateur!CG71*Calculateur!CI71*VLOOKUP('Données projet'!$B$12,Paramètres!$A$1:$I$89,3,0)*0.475*44/12</f>
        <v>6.3109715338044197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8.3412205270743733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0</v>
      </c>
      <c r="CZ71" s="62">
        <f t="shared" si="96"/>
        <v>0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570</v>
      </c>
      <c r="L72" s="13">
        <f>VLOOKUP(A72,'Données projet'!$A$35:$I$55,9,0)</f>
        <v>16.666666666666668</v>
      </c>
      <c r="M72" s="13">
        <f t="array" ref="M72">INDEX(L:L,MIN(IF(ISNUMBER(L72:L268),ROW(L72:L268),"")))</f>
        <v>16.666666666666668</v>
      </c>
      <c r="N72" s="14">
        <f>IF('Données projet'!$A$36&gt;35,N71+M72-V71,IF(A72&lt;'Données projet'!$A$36,$K$205^A72,IF(A72='Données projet'!$A$36,'Données projet'!$B$36,N71+M72-V71)))</f>
        <v>569.99999999999955</v>
      </c>
      <c r="O72" s="14">
        <f>N72*VLOOKUP('Données projet'!$B$9,Paramètres!$A$1:$I$89,3,0)*VLOOKUP('Données projet'!$B$9,Paramètres!$A$1:$I$89,5,0)</f>
        <v>318.62999999999977</v>
      </c>
      <c r="P72" s="14">
        <f t="shared" si="87"/>
        <v>75.068227379090629</v>
      </c>
      <c r="Q72" s="22">
        <f t="shared" si="54"/>
        <v>685.69107935191562</v>
      </c>
      <c r="R72" s="62">
        <f t="shared" si="55"/>
        <v>979.02441268524899</v>
      </c>
      <c r="S72" s="62">
        <f ca="1">AVERAGE(OFFSET($R$3,0,0,'Données projet'!$E$9+1,1))-AVERAGE(OFFSET($H$3,0,0,'Données projet'!$E$9+1,1))</f>
        <v>388.88381485322674</v>
      </c>
      <c r="T72" s="62">
        <f t="shared" si="88"/>
        <v>355.82695155276218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10.255276291172603</v>
      </c>
      <c r="AA72" s="23">
        <f>EXP(-LN(2)/25)*AA71+(1-EXP(-LN(2)/25))/(LN(2)/25)*Calculateur!V72*Calculateur!X72*VLOOKUP('Données projet'!$B$9,Paramètres!$A$1:$I$89,3,0)*0.475*44/12</f>
        <v>4.7524467888044262</v>
      </c>
      <c r="AB72" s="23">
        <f>EXP(-LN(2)/2)*AB71+(1-EXP(-LN(2)/2))/(LN(2)/2)*V72*Y72*VLOOKUP('Données projet'!$B$9,Paramètres!$A$1:$I$89,3,0)*0.475*44/12</f>
        <v>6.5402217162758457E-6</v>
      </c>
      <c r="AC72" s="24">
        <f t="shared" si="57"/>
        <v>15.007729620198747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243.80000000000007</v>
      </c>
      <c r="AJ72" s="14">
        <f>AI72*VLOOKUP('Données projet'!$B$10,Paramètres!$A$1:$I$89,3,0)*VLOOKUP('Données projet'!$B$10,Paramètres!$A$1:$I$89,5,0)</f>
        <v>212.98368000000008</v>
      </c>
      <c r="AK72" s="14">
        <f t="shared" si="89"/>
        <v>52.587058525970363</v>
      </c>
      <c r="AL72" s="22">
        <f t="shared" si="58"/>
        <v>462.53570293273191</v>
      </c>
      <c r="AM72" s="62">
        <f t="shared" si="59"/>
        <v>755.86903626606522</v>
      </c>
      <c r="AN72" s="62">
        <f ca="1">AVERAGE(OFFSET($AM$3,0,0,'Données projet'!$E$10+1,1))-AVERAGE(OFFSET($H$3,0,0,'Données projet'!$E$10+1,1))</f>
        <v>321.62968871874483</v>
      </c>
      <c r="AO72" s="62">
        <f t="shared" si="90"/>
        <v>389.91636841473559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1.68801942402352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4.9272047934889312E-5</v>
      </c>
      <c r="AX72" s="23">
        <f t="shared" si="60"/>
        <v>1.6880686960714548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310.59999999999968</v>
      </c>
      <c r="BE72" s="14">
        <f>BD72*VLOOKUP('Données projet'!$B$11,Paramètres!$A$1:$I$89,3,0)*VLOOKUP('Données projet'!$B$11,Paramètres!$A$1:$I$89,5,0)</f>
        <v>227.73191999999975</v>
      </c>
      <c r="BF72" s="14">
        <f t="shared" si="91"/>
        <v>55.791987110523941</v>
      </c>
      <c r="BG72" s="22">
        <f t="shared" si="61"/>
        <v>493.80413821749539</v>
      </c>
      <c r="BH72" s="62">
        <f t="shared" si="62"/>
        <v>787.13747155082865</v>
      </c>
      <c r="BI72" s="62">
        <f ca="1">AVERAGE(OFFSET($BH$3,0,0,'Données projet'!$E$11+1,1))-AVERAGE(OFFSET($H$3,0,0,'Données projet'!$E$11+1,1))</f>
        <v>327.81662150328646</v>
      </c>
      <c r="BJ72" s="62">
        <f t="shared" si="92"/>
        <v>320.24200483294322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1.9214272329449142E-5</v>
      </c>
      <c r="BS72" s="24">
        <f t="shared" si="63"/>
        <v>1.9214272329449142E-5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2.8421709430404007E-14</v>
      </c>
      <c r="BZ72" s="14">
        <f>BY72*VLOOKUP('Données projet'!$B$12,Paramètres!$A$1:$I$89,3,0)*VLOOKUP('Données projet'!$B$12,Paramètres!$A$1:$I$89,5,0)</f>
        <v>1.5518253349000589E-14</v>
      </c>
      <c r="CA72" s="14">
        <f t="shared" si="93"/>
        <v>2.8958815659671149E-13</v>
      </c>
      <c r="CB72" s="22">
        <f t="shared" si="64"/>
        <v>5.3139366398878183E-13</v>
      </c>
      <c r="CC72" s="62">
        <f t="shared" si="65"/>
        <v>293.33333333333383</v>
      </c>
      <c r="CD72" s="62">
        <f ca="1">AVERAGE(OFFSET($CC$3,0,0,'Données projet'!$E$12+1,1))-AVERAGE(OFFSET($H$3,0,0,'Données projet'!$E$12+1,1))</f>
        <v>170.27677128684815</v>
      </c>
      <c r="CE72" s="62">
        <f t="shared" si="94"/>
        <v>243.47439640666289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1.9904370488415399</v>
      </c>
      <c r="CL72" s="23">
        <f>EXP(-LN(2)/25)*CL71+(1-EXP(-LN(2)/25))/(LN(2)/25)*Calculateur!CG72*Calculateur!CI72*VLOOKUP('Données projet'!$B$12,Paramètres!$A$1:$I$89,3,0)*0.475*44/12</f>
        <v>6.1383976853329685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8.1288347341745091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0</v>
      </c>
      <c r="CZ72" s="62">
        <f t="shared" si="96"/>
        <v>0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</v>
      </c>
      <c r="L73" s="13">
        <f>VLOOKUP(A73,'Données projet'!$A$35:$I$55,9,0)</f>
        <v>16</v>
      </c>
      <c r="M73" s="13">
        <f t="array" ref="M73">INDEX(L:L,MIN(IF(ISNUMBER(L73:L269),ROW(L73:L269),"")))</f>
        <v>16</v>
      </c>
      <c r="N73" s="14">
        <f>IF('Données projet'!$A$36&gt;35,N72+M73-V72,IF(A73&lt;'Données projet'!$A$36,$K$205^A73,IF(A73='Données projet'!$A$36,'Données projet'!$B$36,N72+M73-V72)))</f>
        <v>585.99999999999955</v>
      </c>
      <c r="O73" s="14">
        <f>N73*VLOOKUP('Données projet'!$B$9,Paramètres!$A$1:$I$89,3,0)*VLOOKUP('Données projet'!$B$9,Paramètres!$A$1:$I$89,5,0)</f>
        <v>327.57399999999973</v>
      </c>
      <c r="P73" s="14">
        <f t="shared" si="87"/>
        <v>76.927119684760754</v>
      </c>
      <c r="Q73" s="22">
        <f t="shared" si="54"/>
        <v>704.50611678429107</v>
      </c>
      <c r="R73" s="62">
        <f t="shared" si="55"/>
        <v>997.83945011762444</v>
      </c>
      <c r="S73" s="62">
        <f ca="1">AVERAGE(OFFSET($R$3,0,0,'Données projet'!$E$9+1,1))-AVERAGE(OFFSET($H$3,0,0,'Données projet'!$E$9+1,1))</f>
        <v>388.88381485322674</v>
      </c>
      <c r="T73" s="62">
        <f t="shared" si="88"/>
        <v>355.82695155276218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10.054176578203606</v>
      </c>
      <c r="AA73" s="23">
        <f>EXP(-LN(2)/25)*AA72+(1-EXP(-LN(2)/25))/(LN(2)/25)*Calculateur!V73*Calculateur!X73*VLOOKUP('Données projet'!$B$9,Paramètres!$A$1:$I$89,3,0)*0.475*44/12</f>
        <v>4.6224908814442545</v>
      </c>
      <c r="AB73" s="23">
        <f>EXP(-LN(2)/2)*AB72+(1-EXP(-LN(2)/2))/(LN(2)/2)*V73*Y73*VLOOKUP('Données projet'!$B$9,Paramètres!$A$1:$I$89,3,0)*0.475*44/12</f>
        <v>4.6246351260421707E-6</v>
      </c>
      <c r="AC73" s="24">
        <f t="shared" si="57"/>
        <v>14.676672084282986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249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249.00000000000006</v>
      </c>
      <c r="AJ73" s="14">
        <f>AI73*VLOOKUP('Données projet'!$B$10,Paramètres!$A$1:$I$89,3,0)*VLOOKUP('Données projet'!$B$10,Paramètres!$A$1:$I$89,5,0)</f>
        <v>217.52640000000008</v>
      </c>
      <c r="AK73" s="14">
        <f t="shared" si="89"/>
        <v>53.576907690651254</v>
      </c>
      <c r="AL73" s="22">
        <f t="shared" si="58"/>
        <v>472.17159422788433</v>
      </c>
      <c r="AM73" s="62">
        <f t="shared" si="59"/>
        <v>765.50492756121764</v>
      </c>
      <c r="AN73" s="62">
        <f ca="1">AVERAGE(OFFSET($AM$3,0,0,'Données projet'!$E$10+1,1))-AVERAGE(OFFSET($H$3,0,0,'Données projet'!$E$10+1,1))</f>
        <v>321.62968871874483</v>
      </c>
      <c r="AO73" s="62">
        <f t="shared" si="90"/>
        <v>389.91636841473559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249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1.6549183927086037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3.4840599217708857E-5</v>
      </c>
      <c r="AX73" s="23">
        <f t="shared" si="60"/>
        <v>1.6549532333078214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314.99999999999966</v>
      </c>
      <c r="BE73" s="14">
        <f>BD73*VLOOKUP('Données projet'!$B$11,Paramètres!$A$1:$I$89,3,0)*VLOOKUP('Données projet'!$B$11,Paramètres!$A$1:$I$89,5,0)</f>
        <v>230.95799999999977</v>
      </c>
      <c r="BF73" s="14">
        <f t="shared" si="91"/>
        <v>56.489773392384379</v>
      </c>
      <c r="BG73" s="22">
        <f t="shared" si="61"/>
        <v>500.63820532506901</v>
      </c>
      <c r="BH73" s="62">
        <f t="shared" si="62"/>
        <v>793.97153865840232</v>
      </c>
      <c r="BI73" s="62">
        <f ca="1">AVERAGE(OFFSET($BH$3,0,0,'Données projet'!$E$11+1,1))-AVERAGE(OFFSET($H$3,0,0,'Données projet'!$E$11+1,1))</f>
        <v>327.81662150328646</v>
      </c>
      <c r="BJ73" s="62">
        <f t="shared" si="92"/>
        <v>320.24200483294322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1.3586542259718529E-5</v>
      </c>
      <c r="BS73" s="24">
        <f t="shared" si="63"/>
        <v>1.3586542259718529E-5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2.8421709430404007E-14</v>
      </c>
      <c r="BZ73" s="14">
        <f>BY73*VLOOKUP('Données projet'!$B$12,Paramètres!$A$1:$I$89,3,0)*VLOOKUP('Données projet'!$B$12,Paramètres!$A$1:$I$89,5,0)</f>
        <v>1.5518253349000589E-14</v>
      </c>
      <c r="CA73" s="14">
        <f t="shared" si="93"/>
        <v>2.8958815659671149E-13</v>
      </c>
      <c r="CB73" s="22">
        <f t="shared" si="64"/>
        <v>5.3139366398878183E-13</v>
      </c>
      <c r="CC73" s="62">
        <f t="shared" si="65"/>
        <v>293.33333333333383</v>
      </c>
      <c r="CD73" s="62">
        <f ca="1">AVERAGE(OFFSET($CC$3,0,0,'Données projet'!$E$12+1,1))-AVERAGE(OFFSET($H$3,0,0,'Données projet'!$E$12+1,1))</f>
        <v>170.27677128684815</v>
      </c>
      <c r="CE73" s="62">
        <f t="shared" si="94"/>
        <v>243.47439640666289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1.95140579236048</v>
      </c>
      <c r="CL73" s="23">
        <f>EXP(-LN(2)/25)*CL72+(1-EXP(-LN(2)/25))/(LN(2)/25)*Calculateur!CG73*Calculateur!CI73*VLOOKUP('Données projet'!$B$12,Paramètres!$A$1:$I$89,3,0)*0.475*44/12</f>
        <v>5.9705428778232337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7.9219486701837134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0</v>
      </c>
      <c r="CZ73" s="62">
        <f t="shared" si="96"/>
        <v>0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-4.5474735088646412E-13</v>
      </c>
      <c r="O74" s="14">
        <f>N74*VLOOKUP('Données projet'!$B$9,Paramètres!$A$1:$I$89,3,0)*VLOOKUP('Données projet'!$B$9,Paramètres!$A$1:$I$89,5,0)</f>
        <v>-2.5420376914553347E-13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388.88381485322674</v>
      </c>
      <c r="T74" s="62">
        <f t="shared" si="88"/>
        <v>355.82695155276218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9.8570203079472183</v>
      </c>
      <c r="AA74" s="23">
        <f>EXP(-LN(2)/25)*AA73+(1-EXP(-LN(2)/25))/(LN(2)/25)*Calculateur!V74*Calculateur!X74*VLOOKUP('Données projet'!$B$9,Paramètres!$A$1:$I$89,3,0)*0.475*44/12</f>
        <v>4.4960886252049308</v>
      </c>
      <c r="AB74" s="23">
        <f>EXP(-LN(2)/2)*AB73+(1-EXP(-LN(2)/2))/(LN(2)/2)*V74*Y74*VLOOKUP('Données projet'!$B$9,Paramètres!$A$1:$I$89,3,0)*0.475*44/12</f>
        <v>3.2701108581379228E-6</v>
      </c>
      <c r="AC74" s="24">
        <f t="shared" si="57"/>
        <v>14.353112203263008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4.9658410716801891E-14</v>
      </c>
      <c r="AK74" s="14">
        <f t="shared" si="89"/>
        <v>8.0934058173791862E-13</v>
      </c>
      <c r="AL74" s="22">
        <f t="shared" si="58"/>
        <v>1.4960899118586383E-12</v>
      </c>
      <c r="AM74" s="62">
        <f t="shared" si="59"/>
        <v>293.33333333333479</v>
      </c>
      <c r="AN74" s="62">
        <f ca="1">AVERAGE(OFFSET($AM$3,0,0,'Données projet'!$E$10+1,1))-AVERAGE(OFFSET($H$3,0,0,'Données projet'!$E$10+1,1))</f>
        <v>321.62968871874483</v>
      </c>
      <c r="AO74" s="62">
        <f t="shared" si="90"/>
        <v>389.91636841473559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1.6224664524281376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2.4636023967444656E-5</v>
      </c>
      <c r="AX74" s="23">
        <f t="shared" si="60"/>
        <v>1.6224910884521051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</v>
      </c>
      <c r="BD74" s="13">
        <f>IF('Données projet'!$A$88&gt;35,BD73+BC74-BL73,IF(A74&lt;'Données projet'!$A$88,$BA$205^A74,IF(A74='Données projet'!$A$88,'Données projet'!$B$88,BD73+BC74-BL73)))</f>
        <v>306.19999999999965</v>
      </c>
      <c r="BE74" s="14">
        <f>BD74*VLOOKUP('Données projet'!$B$11,Paramètres!$A$1:$I$89,3,0)*VLOOKUP('Données projet'!$B$11,Paramètres!$A$1:$I$89,5,0)</f>
        <v>224.50583999999972</v>
      </c>
      <c r="BF74" s="14">
        <f t="shared" si="91"/>
        <v>55.093049232713739</v>
      </c>
      <c r="BG74" s="22">
        <f t="shared" si="61"/>
        <v>486.96806541364259</v>
      </c>
      <c r="BH74" s="62">
        <f t="shared" si="62"/>
        <v>780.30139874697591</v>
      </c>
      <c r="BI74" s="62">
        <f ca="1">AVERAGE(OFFSET($BH$3,0,0,'Données projet'!$E$11+1,1))-AVERAGE(OFFSET($H$3,0,0,'Données projet'!$E$11+1,1))</f>
        <v>327.81662150328646</v>
      </c>
      <c r="BJ74" s="62">
        <f t="shared" si="92"/>
        <v>320.24200483294322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9.6071361647245708E-6</v>
      </c>
      <c r="BS74" s="24">
        <f t="shared" si="63"/>
        <v>9.6071361647245708E-6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2.8421709430404007E-14</v>
      </c>
      <c r="BZ74" s="14">
        <f>BY74*VLOOKUP('Données projet'!$B$12,Paramètres!$A$1:$I$89,3,0)*VLOOKUP('Données projet'!$B$12,Paramètres!$A$1:$I$89,5,0)</f>
        <v>1.5518253349000589E-14</v>
      </c>
      <c r="CA74" s="14">
        <f t="shared" si="93"/>
        <v>2.8958815659671149E-13</v>
      </c>
      <c r="CB74" s="22">
        <f t="shared" si="64"/>
        <v>5.3139366398878183E-13</v>
      </c>
      <c r="CC74" s="62">
        <f t="shared" si="65"/>
        <v>293.33333333333383</v>
      </c>
      <c r="CD74" s="62">
        <f ca="1">AVERAGE(OFFSET($CC$3,0,0,'Données projet'!$E$12+1,1))-AVERAGE(OFFSET($H$3,0,0,'Données projet'!$E$12+1,1))</f>
        <v>170.27677128684815</v>
      </c>
      <c r="CE74" s="62">
        <f t="shared" si="94"/>
        <v>243.47439640666289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1.9131399150122979</v>
      </c>
      <c r="CL74" s="23">
        <f>EXP(-LN(2)/25)*CL73+(1-EXP(-LN(2)/25))/(LN(2)/25)*Calculateur!CG74*Calculateur!CI74*VLOOKUP('Données projet'!$B$12,Paramètres!$A$1:$I$89,3,0)*0.475*44/12</f>
        <v>5.8072780688519536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7.7204179838642517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0</v>
      </c>
      <c r="CZ74" s="62">
        <f t="shared" si="96"/>
        <v>0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-4.5474735088646412E-13</v>
      </c>
      <c r="O75" s="14">
        <f>N75*VLOOKUP('Données projet'!$B$9,Paramètres!$A$1:$I$89,3,0)*VLOOKUP('Données projet'!$B$9,Paramètres!$A$1:$I$89,5,0)</f>
        <v>-2.5420376914553347E-13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388.88381485322674</v>
      </c>
      <c r="T75" s="62">
        <f t="shared" si="88"/>
        <v>355.82695155276218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9.6637301518971075</v>
      </c>
      <c r="AA75" s="23">
        <f>EXP(-LN(2)/25)*AA74+(1-EXP(-LN(2)/25))/(LN(2)/25)*Calculateur!V75*Calculateur!X75*VLOOKUP('Données projet'!$B$9,Paramètres!$A$1:$I$89,3,0)*0.475*44/12</f>
        <v>4.373142845309677</v>
      </c>
      <c r="AB75" s="23">
        <f>EXP(-LN(2)/2)*AB74+(1-EXP(-LN(2)/2))/(LN(2)/2)*V75*Y75*VLOOKUP('Données projet'!$B$9,Paramètres!$A$1:$I$89,3,0)*0.475*44/12</f>
        <v>2.3123175630210853E-6</v>
      </c>
      <c r="AC75" s="24">
        <f t="shared" si="57"/>
        <v>14.036875309524348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4.9658410716801891E-14</v>
      </c>
      <c r="AK75" s="14">
        <f t="shared" si="89"/>
        <v>8.0934058173791862E-13</v>
      </c>
      <c r="AL75" s="22">
        <f t="shared" si="58"/>
        <v>1.4960899118586383E-12</v>
      </c>
      <c r="AM75" s="62">
        <f t="shared" si="59"/>
        <v>293.33333333333479</v>
      </c>
      <c r="AN75" s="62">
        <f ca="1">AVERAGE(OFFSET($AM$3,0,0,'Données projet'!$E$10+1,1))-AVERAGE(OFFSET($H$3,0,0,'Données projet'!$E$10+1,1))</f>
        <v>321.62968871874483</v>
      </c>
      <c r="AO75" s="62">
        <f t="shared" si="90"/>
        <v>389.91636841473559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1.5906508749028423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1.7420299608854429E-5</v>
      </c>
      <c r="AX75" s="23">
        <f t="shared" si="60"/>
        <v>1.5906682952024511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</v>
      </c>
      <c r="BD75" s="13">
        <f>IF('Données projet'!$A$88&gt;35,BD74+BC75-BL74,IF(A75&lt;'Données projet'!$A$88,$BA$205^A75,IF(A75='Données projet'!$A$88,'Données projet'!$B$88,BD74+BC75-BL74)))</f>
        <v>310.39999999999964</v>
      </c>
      <c r="BE75" s="14">
        <f>BD75*VLOOKUP('Données projet'!$B$11,Paramètres!$A$1:$I$89,3,0)*VLOOKUP('Données projet'!$B$11,Paramètres!$A$1:$I$89,5,0)</f>
        <v>227.58527999999976</v>
      </c>
      <c r="BF75" s="14">
        <f t="shared" si="91"/>
        <v>55.760242327696616</v>
      </c>
      <c r="BG75" s="22">
        <f t="shared" si="61"/>
        <v>493.49345138740449</v>
      </c>
      <c r="BH75" s="62">
        <f t="shared" si="62"/>
        <v>786.82678472073781</v>
      </c>
      <c r="BI75" s="62">
        <f ca="1">AVERAGE(OFFSET($BH$3,0,0,'Données projet'!$E$11+1,1))-AVERAGE(OFFSET($H$3,0,0,'Données projet'!$E$11+1,1))</f>
        <v>327.81662150328646</v>
      </c>
      <c r="BJ75" s="62">
        <f t="shared" si="92"/>
        <v>320.24200483294322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6.7932711298592645E-6</v>
      </c>
      <c r="BS75" s="24">
        <f t="shared" si="63"/>
        <v>6.7932711298592645E-6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2.8421709430404007E-14</v>
      </c>
      <c r="BZ75" s="14">
        <f>BY75*VLOOKUP('Données projet'!$B$12,Paramètres!$A$1:$I$89,3,0)*VLOOKUP('Données projet'!$B$12,Paramètres!$A$1:$I$89,5,0)</f>
        <v>1.5518253349000589E-14</v>
      </c>
      <c r="CA75" s="14">
        <f t="shared" si="93"/>
        <v>2.8958815659671149E-13</v>
      </c>
      <c r="CB75" s="22">
        <f t="shared" si="64"/>
        <v>5.3139366398878183E-13</v>
      </c>
      <c r="CC75" s="62">
        <f t="shared" si="65"/>
        <v>293.33333333333383</v>
      </c>
      <c r="CD75" s="62">
        <f ca="1">AVERAGE(OFFSET($CC$3,0,0,'Données projet'!$E$12+1,1))-AVERAGE(OFFSET($H$3,0,0,'Données projet'!$E$12+1,1))</f>
        <v>170.27677128684815</v>
      </c>
      <c r="CE75" s="62">
        <f t="shared" si="94"/>
        <v>243.47439640666289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1.875624408179033</v>
      </c>
      <c r="CL75" s="23">
        <f>EXP(-LN(2)/25)*CL74+(1-EXP(-LN(2)/25))/(LN(2)/25)*Calculateur!CG75*Calculateur!CI75*VLOOKUP('Données projet'!$B$12,Paramètres!$A$1:$I$89,3,0)*0.475*44/12</f>
        <v>5.6484777446677157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7.5241021528467487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0</v>
      </c>
      <c r="CZ75" s="62">
        <f t="shared" si="96"/>
        <v>0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-4.5474735088646412E-13</v>
      </c>
      <c r="O76" s="14">
        <f>N76*VLOOKUP('Données projet'!$B$9,Paramètres!$A$1:$I$89,3,0)*VLOOKUP('Données projet'!$B$9,Paramètres!$A$1:$I$89,5,0)</f>
        <v>-2.5420376914553347E-13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388.88381485322674</v>
      </c>
      <c r="T76" s="62">
        <f t="shared" si="88"/>
        <v>355.82695155276218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9.4742302979117845</v>
      </c>
      <c r="AA76" s="23">
        <f>EXP(-LN(2)/25)*AA75+(1-EXP(-LN(2)/25))/(LN(2)/25)*Calculateur!V76*Calculateur!X76*VLOOKUP('Données projet'!$B$9,Paramètres!$A$1:$I$89,3,0)*0.475*44/12</f>
        <v>4.2535590242310963</v>
      </c>
      <c r="AB76" s="23">
        <f>EXP(-LN(2)/2)*AB75+(1-EXP(-LN(2)/2))/(LN(2)/2)*V76*Y76*VLOOKUP('Données projet'!$B$9,Paramètres!$A$1:$I$89,3,0)*0.475*44/12</f>
        <v>1.6350554290689614E-6</v>
      </c>
      <c r="AC76" s="24">
        <f t="shared" si="57"/>
        <v>13.727790957198311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4.9658410716801891E-14</v>
      </c>
      <c r="AK76" s="14">
        <f t="shared" si="89"/>
        <v>8.0934058173791862E-13</v>
      </c>
      <c r="AL76" s="22">
        <f t="shared" si="58"/>
        <v>1.4960899118586383E-12</v>
      </c>
      <c r="AM76" s="62">
        <f t="shared" si="59"/>
        <v>293.33333333333479</v>
      </c>
      <c r="AN76" s="62">
        <f ca="1">AVERAGE(OFFSET($AM$3,0,0,'Données projet'!$E$10+1,1))-AVERAGE(OFFSET($H$3,0,0,'Données projet'!$E$10+1,1))</f>
        <v>321.62968871874483</v>
      </c>
      <c r="AO76" s="62">
        <f t="shared" si="90"/>
        <v>389.91636841473559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1.5594591814472318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1.2318011983722328E-5</v>
      </c>
      <c r="AX76" s="23">
        <f t="shared" si="60"/>
        <v>1.5594714994592156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</v>
      </c>
      <c r="BD76" s="13">
        <f>IF('Données projet'!$A$88&gt;35,BD75+BC76-BL75,IF(A76&lt;'Données projet'!$A$88,$BA$205^A76,IF(A76='Données projet'!$A$88,'Données projet'!$B$88,BD75+BC76-BL75)))</f>
        <v>314.59999999999962</v>
      </c>
      <c r="BE76" s="14">
        <f>BD76*VLOOKUP('Données projet'!$B$11,Paramètres!$A$1:$I$89,3,0)*VLOOKUP('Données projet'!$B$11,Paramètres!$A$1:$I$89,5,0)</f>
        <v>230.66471999999973</v>
      </c>
      <c r="BF76" s="14">
        <f t="shared" si="91"/>
        <v>56.426385386767798</v>
      </c>
      <c r="BG76" s="22">
        <f t="shared" si="61"/>
        <v>500.01700854862014</v>
      </c>
      <c r="BH76" s="62">
        <f t="shared" si="62"/>
        <v>793.35034188195345</v>
      </c>
      <c r="BI76" s="62">
        <f ca="1">AVERAGE(OFFSET($BH$3,0,0,'Données projet'!$E$11+1,1))-AVERAGE(OFFSET($H$3,0,0,'Données projet'!$E$11+1,1))</f>
        <v>327.81662150328646</v>
      </c>
      <c r="BJ76" s="62">
        <f t="shared" si="92"/>
        <v>320.24200483294322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4.8035680823622854E-6</v>
      </c>
      <c r="BS76" s="24">
        <f t="shared" si="63"/>
        <v>4.8035680823622854E-6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2.8421709430404007E-14</v>
      </c>
      <c r="BZ76" s="14">
        <f>BY76*VLOOKUP('Données projet'!$B$12,Paramètres!$A$1:$I$89,3,0)*VLOOKUP('Données projet'!$B$12,Paramètres!$A$1:$I$89,5,0)</f>
        <v>1.5518253349000589E-14</v>
      </c>
      <c r="CA76" s="14">
        <f t="shared" si="93"/>
        <v>2.8958815659671149E-13</v>
      </c>
      <c r="CB76" s="22">
        <f t="shared" si="64"/>
        <v>5.3139366398878183E-13</v>
      </c>
      <c r="CC76" s="62">
        <f t="shared" si="65"/>
        <v>293.33333333333383</v>
      </c>
      <c r="CD76" s="62">
        <f ca="1">AVERAGE(OFFSET($CC$3,0,0,'Données projet'!$E$12+1,1))-AVERAGE(OFFSET($H$3,0,0,'Données projet'!$E$12+1,1))</f>
        <v>170.27677128684815</v>
      </c>
      <c r="CE76" s="62">
        <f t="shared" si="94"/>
        <v>243.47439640666289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1.8388445575525687</v>
      </c>
      <c r="CL76" s="23">
        <f>EXP(-LN(2)/25)*CL75+(1-EXP(-LN(2)/25))/(LN(2)/25)*Calculateur!CG76*Calculateur!CI76*VLOOKUP('Données projet'!$B$12,Paramètres!$A$1:$I$89,3,0)*0.475*44/12</f>
        <v>5.4940198236992419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7.3328643812518104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0</v>
      </c>
      <c r="CZ76" s="62">
        <f t="shared" si="96"/>
        <v>0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-4.5474735088646412E-13</v>
      </c>
      <c r="O77" s="14">
        <f>N77*VLOOKUP('Données projet'!$B$9,Paramètres!$A$1:$I$89,3,0)*VLOOKUP('Données projet'!$B$9,Paramètres!$A$1:$I$89,5,0)</f>
        <v>-2.5420376914553347E-13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388.88381485322674</v>
      </c>
      <c r="T77" s="62">
        <f t="shared" si="88"/>
        <v>355.82695155276218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9.288446420479616</v>
      </c>
      <c r="AA77" s="23">
        <f>EXP(-LN(2)/25)*AA76+(1-EXP(-LN(2)/25))/(LN(2)/25)*Calculateur!V77*Calculateur!X77*VLOOKUP('Données projet'!$B$9,Paramètres!$A$1:$I$89,3,0)*0.475*44/12</f>
        <v>4.13724522902855</v>
      </c>
      <c r="AB77" s="23">
        <f>EXP(-LN(2)/2)*AB76+(1-EXP(-LN(2)/2))/(LN(2)/2)*V77*Y77*VLOOKUP('Données projet'!$B$9,Paramètres!$A$1:$I$89,3,0)*0.475*44/12</f>
        <v>1.1561587815105427E-6</v>
      </c>
      <c r="AC77" s="24">
        <f t="shared" si="57"/>
        <v>13.425692805666948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4.9658410716801891E-14</v>
      </c>
      <c r="AK77" s="14">
        <f t="shared" si="89"/>
        <v>8.0934058173791862E-13</v>
      </c>
      <c r="AL77" s="22">
        <f t="shared" si="58"/>
        <v>1.4960899118586383E-12</v>
      </c>
      <c r="AM77" s="62">
        <f t="shared" si="59"/>
        <v>293.33333333333479</v>
      </c>
      <c r="AN77" s="62">
        <f ca="1">AVERAGE(OFFSET($AM$3,0,0,'Données projet'!$E$10+1,1))-AVERAGE(OFFSET($H$3,0,0,'Données projet'!$E$10+1,1))</f>
        <v>321.62968871874483</v>
      </c>
      <c r="AO77" s="62">
        <f t="shared" si="90"/>
        <v>389.91636841473559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1.5288791380752313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8.7101498044272143E-6</v>
      </c>
      <c r="AX77" s="23">
        <f t="shared" si="60"/>
        <v>1.5288878482250359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</v>
      </c>
      <c r="BD77" s="13">
        <f>IF('Données projet'!$A$88&gt;35,BD76+BC77-BL76,IF(A77&lt;'Données projet'!$A$88,$BA$205^A77,IF(A77='Données projet'!$A$88,'Données projet'!$B$88,BD76+BC77-BL76)))</f>
        <v>318.79999999999961</v>
      </c>
      <c r="BE77" s="14">
        <f>BD77*VLOOKUP('Données projet'!$B$11,Paramètres!$A$1:$I$89,3,0)*VLOOKUP('Données projet'!$B$11,Paramètres!$A$1:$I$89,5,0)</f>
        <v>233.74415999999971</v>
      </c>
      <c r="BF77" s="14">
        <f t="shared" si="91"/>
        <v>57.091494048716037</v>
      </c>
      <c r="BG77" s="22">
        <f t="shared" si="61"/>
        <v>506.53876413484659</v>
      </c>
      <c r="BH77" s="62">
        <f t="shared" si="62"/>
        <v>799.87209746817985</v>
      </c>
      <c r="BI77" s="62">
        <f ca="1">AVERAGE(OFFSET($BH$3,0,0,'Données projet'!$E$11+1,1))-AVERAGE(OFFSET($H$3,0,0,'Données projet'!$E$11+1,1))</f>
        <v>327.81662150328646</v>
      </c>
      <c r="BJ77" s="62">
        <f t="shared" si="92"/>
        <v>320.24200483294322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3.3966355649296323E-6</v>
      </c>
      <c r="BS77" s="24">
        <f t="shared" si="63"/>
        <v>3.3966355649296323E-6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2.8421709430404007E-14</v>
      </c>
      <c r="BZ77" s="14">
        <f>BY77*VLOOKUP('Données projet'!$B$12,Paramètres!$A$1:$I$89,3,0)*VLOOKUP('Données projet'!$B$12,Paramètres!$A$1:$I$89,5,0)</f>
        <v>1.5518253349000589E-14</v>
      </c>
      <c r="CA77" s="14">
        <f t="shared" si="93"/>
        <v>2.8958815659671149E-13</v>
      </c>
      <c r="CB77" s="22">
        <f t="shared" si="64"/>
        <v>5.3139366398878183E-13</v>
      </c>
      <c r="CC77" s="62">
        <f t="shared" si="65"/>
        <v>293.33333333333383</v>
      </c>
      <c r="CD77" s="62">
        <f ca="1">AVERAGE(OFFSET($CC$3,0,0,'Données projet'!$E$12+1,1))-AVERAGE(OFFSET($H$3,0,0,'Données projet'!$E$12+1,1))</f>
        <v>170.27677128684815</v>
      </c>
      <c r="CE77" s="62">
        <f t="shared" si="94"/>
        <v>243.47439640666289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1.8027859373633957</v>
      </c>
      <c r="CL77" s="23">
        <f>EXP(-LN(2)/25)*CL76+(1-EXP(-LN(2)/25))/(LN(2)/25)*Calculateur!CG77*Calculateur!CI77*VLOOKUP('Données projet'!$B$12,Paramètres!$A$1:$I$89,3,0)*0.475*44/12</f>
        <v>5.3437855627022399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7.1465715000656358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0</v>
      </c>
      <c r="CZ77" s="62">
        <f t="shared" si="96"/>
        <v>0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-4.5474735088646412E-13</v>
      </c>
      <c r="O78" s="14">
        <f>N78*VLOOKUP('Données projet'!$B$9,Paramètres!$A$1:$I$89,3,0)*VLOOKUP('Données projet'!$B$9,Paramètres!$A$1:$I$89,5,0)</f>
        <v>-2.5420376914553347E-13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388.88381485322674</v>
      </c>
      <c r="T78" s="62">
        <f t="shared" si="88"/>
        <v>355.82695155276218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9.1063056515669167</v>
      </c>
      <c r="AA78" s="23">
        <f>EXP(-LN(2)/25)*AA77+(1-EXP(-LN(2)/25))/(LN(2)/25)*Calculateur!V78*Calculateur!X78*VLOOKUP('Données projet'!$B$9,Paramètres!$A$1:$I$89,3,0)*0.475*44/12</f>
        <v>4.0241120406724935</v>
      </c>
      <c r="AB78" s="23">
        <f>EXP(-LN(2)/2)*AB77+(1-EXP(-LN(2)/2))/(LN(2)/2)*V78*Y78*VLOOKUP('Données projet'!$B$9,Paramètres!$A$1:$I$89,3,0)*0.475*44/12</f>
        <v>8.1752771453448071E-7</v>
      </c>
      <c r="AC78" s="24">
        <f t="shared" si="57"/>
        <v>13.130418509767125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4.9658410716801891E-14</v>
      </c>
      <c r="AK78" s="14">
        <f t="shared" si="89"/>
        <v>8.0934058173791862E-13</v>
      </c>
      <c r="AL78" s="22">
        <f t="shared" si="58"/>
        <v>1.4960899118586383E-12</v>
      </c>
      <c r="AM78" s="62">
        <f t="shared" si="59"/>
        <v>293.33333333333479</v>
      </c>
      <c r="AN78" s="62">
        <f ca="1">AVERAGE(OFFSET($AM$3,0,0,'Données projet'!$E$10+1,1))-AVERAGE(OFFSET($H$3,0,0,'Données projet'!$E$10+1,1))</f>
        <v>321.62968871874483</v>
      </c>
      <c r="AO78" s="62">
        <f t="shared" si="90"/>
        <v>389.91636841473559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1.4988987507017713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6.1590059918611641E-6</v>
      </c>
      <c r="AX78" s="23">
        <f t="shared" si="60"/>
        <v>1.4989049097077631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323</v>
      </c>
      <c r="BB78" s="13">
        <f>VLOOKUP(A78,'Données projet'!$A$87:$I$107,9,0)</f>
        <v>4.2</v>
      </c>
      <c r="BC78" s="13">
        <f t="array" ref="BC78">INDEX(BB:BB,MIN(IF(ISNUMBER(BB78:BB274),ROW(BB78:BB274),"")))</f>
        <v>4.2</v>
      </c>
      <c r="BD78" s="13">
        <f>IF('Données projet'!$A$88&gt;35,BD77+BC78-BL77,IF(A78&lt;'Données projet'!$A$88,$BA$205^A78,IF(A78='Données projet'!$A$88,'Données projet'!$B$88,BD77+BC78-BL77)))</f>
        <v>322.9999999999996</v>
      </c>
      <c r="BE78" s="14">
        <f>BD78*VLOOKUP('Données projet'!$B$11,Paramètres!$A$1:$I$89,3,0)*VLOOKUP('Données projet'!$B$11,Paramètres!$A$1:$I$89,5,0)</f>
        <v>236.82359999999971</v>
      </c>
      <c r="BF78" s="14">
        <f t="shared" si="91"/>
        <v>57.755583516581048</v>
      </c>
      <c r="BG78" s="22">
        <f t="shared" si="61"/>
        <v>513.05874462471149</v>
      </c>
      <c r="BH78" s="62">
        <f t="shared" si="62"/>
        <v>806.39207795804487</v>
      </c>
      <c r="BI78" s="62">
        <f ca="1">AVERAGE(OFFSET($BH$3,0,0,'Données projet'!$E$11+1,1))-AVERAGE(OFFSET($H$3,0,0,'Données projet'!$E$11+1,1))</f>
        <v>327.81662150328646</v>
      </c>
      <c r="BJ78" s="62">
        <f t="shared" si="92"/>
        <v>320.24200483294322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2.4017840411811427E-6</v>
      </c>
      <c r="BS78" s="24">
        <f t="shared" si="63"/>
        <v>2.4017840411811427E-6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2.8421709430404007E-14</v>
      </c>
      <c r="BZ78" s="14">
        <f>BY78*VLOOKUP('Données projet'!$B$12,Paramètres!$A$1:$I$89,3,0)*VLOOKUP('Données projet'!$B$12,Paramètres!$A$1:$I$89,5,0)</f>
        <v>1.5518253349000589E-14</v>
      </c>
      <c r="CA78" s="14">
        <f t="shared" si="93"/>
        <v>2.8958815659671149E-13</v>
      </c>
      <c r="CB78" s="22">
        <f t="shared" si="64"/>
        <v>5.3139366398878183E-13</v>
      </c>
      <c r="CC78" s="62">
        <f t="shared" si="65"/>
        <v>293.33333333333383</v>
      </c>
      <c r="CD78" s="62">
        <f ca="1">AVERAGE(OFFSET($CC$3,0,0,'Données projet'!$E$12+1,1))-AVERAGE(OFFSET($H$3,0,0,'Données projet'!$E$12+1,1))</f>
        <v>170.27677128684815</v>
      </c>
      <c r="CE78" s="62">
        <f t="shared" si="94"/>
        <v>243.47439640666289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1.7674344047225456</v>
      </c>
      <c r="CL78" s="23">
        <f>EXP(-LN(2)/25)*CL77+(1-EXP(-LN(2)/25))/(LN(2)/25)*Calculateur!CG78*Calculateur!CI78*VLOOKUP('Données projet'!$B$12,Paramètres!$A$1:$I$89,3,0)*0.475*44/12</f>
        <v>5.197659465472678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6.9650938701952239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0</v>
      </c>
      <c r="CZ78" s="62">
        <f t="shared" si="96"/>
        <v>0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-4.5474735088646412E-13</v>
      </c>
      <c r="O79" s="14">
        <f>N79*VLOOKUP('Données projet'!$B$9,Paramètres!$A$1:$I$89,3,0)*VLOOKUP('Données projet'!$B$9,Paramètres!$A$1:$I$89,5,0)</f>
        <v>-2.5420376914553347E-13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388.88381485322674</v>
      </c>
      <c r="T79" s="62">
        <f t="shared" si="88"/>
        <v>355.82695155276218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8.927736552037695</v>
      </c>
      <c r="AA79" s="23">
        <f>EXP(-LN(2)/25)*AA78+(1-EXP(-LN(2)/25))/(LN(2)/25)*Calculateur!V79*Calculateur!X79*VLOOKUP('Données projet'!$B$9,Paramètres!$A$1:$I$89,3,0)*0.475*44/12</f>
        <v>3.9140724853014492</v>
      </c>
      <c r="AB79" s="23">
        <f>EXP(-LN(2)/2)*AB78+(1-EXP(-LN(2)/2))/(LN(2)/2)*V79*Y79*VLOOKUP('Données projet'!$B$9,Paramètres!$A$1:$I$89,3,0)*0.475*44/12</f>
        <v>5.7807939075527134E-7</v>
      </c>
      <c r="AC79" s="24">
        <f t="shared" si="57"/>
        <v>12.841809615418535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4.9658410716801891E-14</v>
      </c>
      <c r="AK79" s="14">
        <f t="shared" si="89"/>
        <v>8.0934058173791862E-13</v>
      </c>
      <c r="AL79" s="22">
        <f t="shared" si="58"/>
        <v>1.4960899118586383E-12</v>
      </c>
      <c r="AM79" s="62">
        <f t="shared" si="59"/>
        <v>293.33333333333479</v>
      </c>
      <c r="AN79" s="62">
        <f ca="1">AVERAGE(OFFSET($AM$3,0,0,'Données projet'!$E$10+1,1))-AVERAGE(OFFSET($H$3,0,0,'Données projet'!$E$10+1,1))</f>
        <v>321.62968871874483</v>
      </c>
      <c r="AO79" s="62">
        <f t="shared" si="90"/>
        <v>389.91636841473559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1.4695062604384739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4.3550749022136071E-6</v>
      </c>
      <c r="AX79" s="23">
        <f t="shared" si="60"/>
        <v>1.4695106155133761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314.59999999999962</v>
      </c>
      <c r="BE79" s="14">
        <f>BD79*VLOOKUP('Données projet'!$B$11,Paramètres!$A$1:$I$89,3,0)*VLOOKUP('Données projet'!$B$11,Paramètres!$A$1:$I$89,5,0)</f>
        <v>230.66471999999973</v>
      </c>
      <c r="BF79" s="14">
        <f t="shared" si="91"/>
        <v>56.426385386767798</v>
      </c>
      <c r="BG79" s="22">
        <f t="shared" si="61"/>
        <v>500.01700854862014</v>
      </c>
      <c r="BH79" s="62">
        <f t="shared" si="62"/>
        <v>793.35034188195345</v>
      </c>
      <c r="BI79" s="62">
        <f ca="1">AVERAGE(OFFSET($BH$3,0,0,'Données projet'!$E$11+1,1))-AVERAGE(OFFSET($H$3,0,0,'Données projet'!$E$11+1,1))</f>
        <v>327.81662150328646</v>
      </c>
      <c r="BJ79" s="62">
        <f t="shared" si="92"/>
        <v>320.24200483294322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1.6983177824648161E-6</v>
      </c>
      <c r="BS79" s="24">
        <f t="shared" si="63"/>
        <v>1.6983177824648161E-6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2.8421709430404007E-14</v>
      </c>
      <c r="BZ79" s="14">
        <f>BY79*VLOOKUP('Données projet'!$B$12,Paramètres!$A$1:$I$89,3,0)*VLOOKUP('Données projet'!$B$12,Paramètres!$A$1:$I$89,5,0)</f>
        <v>1.5518253349000589E-14</v>
      </c>
      <c r="CA79" s="14">
        <f t="shared" si="93"/>
        <v>2.8958815659671149E-13</v>
      </c>
      <c r="CB79" s="22">
        <f t="shared" si="64"/>
        <v>5.3139366398878183E-13</v>
      </c>
      <c r="CC79" s="62">
        <f t="shared" si="65"/>
        <v>293.33333333333383</v>
      </c>
      <c r="CD79" s="62">
        <f ca="1">AVERAGE(OFFSET($CC$3,0,0,'Données projet'!$E$12+1,1))-AVERAGE(OFFSET($H$3,0,0,'Données projet'!$E$12+1,1))</f>
        <v>170.27677128684815</v>
      </c>
      <c r="CE79" s="62">
        <f t="shared" si="94"/>
        <v>243.47439640666289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1.732776094074477</v>
      </c>
      <c r="CL79" s="23">
        <f>EXP(-LN(2)/25)*CL78+(1-EXP(-LN(2)/25))/(LN(2)/25)*Calculateur!CG79*Calculateur!CI79*VLOOKUP('Données projet'!$B$12,Paramètres!$A$1:$I$89,3,0)*0.475*44/12</f>
        <v>5.0555291940562954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6.7883052881307719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0</v>
      </c>
      <c r="CZ79" s="62">
        <f t="shared" si="96"/>
        <v>0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-4.5474735088646412E-13</v>
      </c>
      <c r="O80" s="14">
        <f>N80*VLOOKUP('Données projet'!$B$9,Paramètres!$A$1:$I$89,3,0)*VLOOKUP('Données projet'!$B$9,Paramètres!$A$1:$I$89,5,0)</f>
        <v>-2.5420376914553347E-13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388.88381485322674</v>
      </c>
      <c r="T80" s="62">
        <f t="shared" si="88"/>
        <v>355.82695155276218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8.7526690836338457</v>
      </c>
      <c r="AA80" s="23">
        <f>EXP(-LN(2)/25)*AA79+(1-EXP(-LN(2)/25))/(LN(2)/25)*Calculateur!V80*Calculateur!X80*VLOOKUP('Données projet'!$B$9,Paramètres!$A$1:$I$89,3,0)*0.475*44/12</f>
        <v>3.8070419673587548</v>
      </c>
      <c r="AB80" s="23">
        <f>EXP(-LN(2)/2)*AB79+(1-EXP(-LN(2)/2))/(LN(2)/2)*V80*Y80*VLOOKUP('Données projet'!$B$9,Paramètres!$A$1:$I$89,3,0)*0.475*44/12</f>
        <v>4.0876385726724035E-7</v>
      </c>
      <c r="AC80" s="24">
        <f t="shared" si="57"/>
        <v>12.559711459756457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4.9658410716801891E-14</v>
      </c>
      <c r="AK80" s="14">
        <f t="shared" si="89"/>
        <v>8.0934058173791862E-13</v>
      </c>
      <c r="AL80" s="22">
        <f t="shared" si="58"/>
        <v>1.4960899118586383E-12</v>
      </c>
      <c r="AM80" s="62">
        <f t="shared" si="59"/>
        <v>293.33333333333479</v>
      </c>
      <c r="AN80" s="62">
        <f ca="1">AVERAGE(OFFSET($AM$3,0,0,'Données projet'!$E$10+1,1))-AVERAGE(OFFSET($H$3,0,0,'Données projet'!$E$10+1,1))</f>
        <v>321.62968871874483</v>
      </c>
      <c r="AO80" s="62">
        <f t="shared" si="90"/>
        <v>389.91636841473559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1.4406901389815909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3.079502995930582E-6</v>
      </c>
      <c r="AX80" s="23">
        <f t="shared" si="60"/>
        <v>1.4406932184845869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318.19999999999965</v>
      </c>
      <c r="BE80" s="14">
        <f>BD80*VLOOKUP('Données projet'!$B$11,Paramètres!$A$1:$I$89,3,0)*VLOOKUP('Données projet'!$B$11,Paramètres!$A$1:$I$89,5,0)</f>
        <v>233.30423999999974</v>
      </c>
      <c r="BF80" s="14">
        <f t="shared" si="91"/>
        <v>56.996541275200826</v>
      </c>
      <c r="BG80" s="22">
        <f t="shared" si="61"/>
        <v>505.60719405430768</v>
      </c>
      <c r="BH80" s="62">
        <f t="shared" si="62"/>
        <v>798.94052738764094</v>
      </c>
      <c r="BI80" s="62">
        <f ca="1">AVERAGE(OFFSET($BH$3,0,0,'Données projet'!$E$11+1,1))-AVERAGE(OFFSET($H$3,0,0,'Données projet'!$E$11+1,1))</f>
        <v>327.81662150328646</v>
      </c>
      <c r="BJ80" s="62">
        <f t="shared" si="92"/>
        <v>320.24200483294322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1.2008920205905714E-6</v>
      </c>
      <c r="BS80" s="24">
        <f t="shared" si="63"/>
        <v>1.2008920205905714E-6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2.8421709430404007E-14</v>
      </c>
      <c r="BZ80" s="14">
        <f>BY80*VLOOKUP('Données projet'!$B$12,Paramètres!$A$1:$I$89,3,0)*VLOOKUP('Données projet'!$B$12,Paramètres!$A$1:$I$89,5,0)</f>
        <v>1.5518253349000589E-14</v>
      </c>
      <c r="CA80" s="14">
        <f t="shared" si="93"/>
        <v>2.8958815659671149E-13</v>
      </c>
      <c r="CB80" s="22">
        <f t="shared" si="64"/>
        <v>5.3139366398878183E-13</v>
      </c>
      <c r="CC80" s="62">
        <f t="shared" si="65"/>
        <v>293.33333333333383</v>
      </c>
      <c r="CD80" s="62">
        <f ca="1">AVERAGE(OFFSET($CC$3,0,0,'Données projet'!$E$12+1,1))-AVERAGE(OFFSET($H$3,0,0,'Données projet'!$E$12+1,1))</f>
        <v>170.27677128684815</v>
      </c>
      <c r="CE80" s="62">
        <f t="shared" si="94"/>
        <v>243.47439640666289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1.6987974117587348</v>
      </c>
      <c r="CL80" s="23">
        <f>EXP(-LN(2)/25)*CL79+(1-EXP(-LN(2)/25))/(LN(2)/25)*Calculateur!CG80*Calculateur!CI80*VLOOKUP('Données projet'!$B$12,Paramètres!$A$1:$I$89,3,0)*0.475*44/12</f>
        <v>4.9172854823861005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6.6160828941448351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0</v>
      </c>
      <c r="CZ80" s="62">
        <f t="shared" si="96"/>
        <v>0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-4.5474735088646412E-13</v>
      </c>
      <c r="O81" s="14">
        <f>N81*VLOOKUP('Données projet'!$B$9,Paramètres!$A$1:$I$89,3,0)*VLOOKUP('Données projet'!$B$9,Paramètres!$A$1:$I$89,5,0)</f>
        <v>-2.5420376914553347E-13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388.88381485322674</v>
      </c>
      <c r="T81" s="62">
        <f t="shared" si="88"/>
        <v>355.82695155276218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8.5810345815047846</v>
      </c>
      <c r="AA81" s="23">
        <f>EXP(-LN(2)/25)*AA80+(1-EXP(-LN(2)/25))/(LN(2)/25)*Calculateur!V81*Calculateur!X81*VLOOKUP('Données projet'!$B$9,Paramètres!$A$1:$I$89,3,0)*0.475*44/12</f>
        <v>3.7029382045576935</v>
      </c>
      <c r="AB81" s="23">
        <f>EXP(-LN(2)/2)*AB80+(1-EXP(-LN(2)/2))/(LN(2)/2)*V81*Y81*VLOOKUP('Données projet'!$B$9,Paramètres!$A$1:$I$89,3,0)*0.475*44/12</f>
        <v>2.8903969537763567E-7</v>
      </c>
      <c r="AC81" s="24">
        <f t="shared" si="57"/>
        <v>12.283973075102173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4.9658410716801891E-14</v>
      </c>
      <c r="AK81" s="14">
        <f t="shared" si="89"/>
        <v>8.0934058173791862E-13</v>
      </c>
      <c r="AL81" s="22">
        <f t="shared" si="58"/>
        <v>1.4960899118586383E-12</v>
      </c>
      <c r="AM81" s="62">
        <f t="shared" si="59"/>
        <v>293.33333333333479</v>
      </c>
      <c r="AN81" s="62">
        <f ca="1">AVERAGE(OFFSET($AM$3,0,0,'Données projet'!$E$10+1,1))-AVERAGE(OFFSET($H$3,0,0,'Données projet'!$E$10+1,1))</f>
        <v>321.62968871874483</v>
      </c>
      <c r="AO81" s="62">
        <f t="shared" si="90"/>
        <v>389.91636841473559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1.4124390840903789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2.1775374511068036E-6</v>
      </c>
      <c r="AX81" s="23">
        <f t="shared" si="60"/>
        <v>1.4124412616278299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321.79999999999967</v>
      </c>
      <c r="BE81" s="14">
        <f>BD81*VLOOKUP('Données projet'!$B$11,Paramètres!$A$1:$I$89,3,0)*VLOOKUP('Données projet'!$B$11,Paramètres!$A$1:$I$89,5,0)</f>
        <v>235.94375999999977</v>
      </c>
      <c r="BF81" s="14">
        <f t="shared" si="91"/>
        <v>57.565946798257798</v>
      </c>
      <c r="BG81" s="22">
        <f t="shared" si="61"/>
        <v>511.19607267363199</v>
      </c>
      <c r="BH81" s="62">
        <f t="shared" si="62"/>
        <v>804.52940600696525</v>
      </c>
      <c r="BI81" s="62">
        <f ca="1">AVERAGE(OFFSET($BH$3,0,0,'Données projet'!$E$11+1,1))-AVERAGE(OFFSET($H$3,0,0,'Données projet'!$E$11+1,1))</f>
        <v>327.81662150328646</v>
      </c>
      <c r="BJ81" s="62">
        <f t="shared" si="92"/>
        <v>320.24200483294322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8.4915889123240807E-7</v>
      </c>
      <c r="BS81" s="24">
        <f t="shared" si="63"/>
        <v>8.4915889123240807E-7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2.8421709430404007E-14</v>
      </c>
      <c r="BZ81" s="14">
        <f>BY81*VLOOKUP('Données projet'!$B$12,Paramètres!$A$1:$I$89,3,0)*VLOOKUP('Données projet'!$B$12,Paramètres!$A$1:$I$89,5,0)</f>
        <v>1.5518253349000589E-14</v>
      </c>
      <c r="CA81" s="14">
        <f t="shared" si="93"/>
        <v>2.8958815659671149E-13</v>
      </c>
      <c r="CB81" s="22">
        <f t="shared" si="64"/>
        <v>5.3139366398878183E-13</v>
      </c>
      <c r="CC81" s="62">
        <f t="shared" si="65"/>
        <v>293.33333333333383</v>
      </c>
      <c r="CD81" s="62">
        <f ca="1">AVERAGE(OFFSET($CC$3,0,0,'Données projet'!$E$12+1,1))-AVERAGE(OFFSET($H$3,0,0,'Données projet'!$E$12+1,1))</f>
        <v>170.27677128684815</v>
      </c>
      <c r="CE81" s="62">
        <f t="shared" si="94"/>
        <v>243.47439640666289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1.6654850306782545</v>
      </c>
      <c r="CL81" s="23">
        <f>EXP(-LN(2)/25)*CL80+(1-EXP(-LN(2)/25))/(LN(2)/25)*Calculateur!CG81*Calculateur!CI81*VLOOKUP('Données projet'!$B$12,Paramètres!$A$1:$I$89,3,0)*0.475*44/12</f>
        <v>4.782822052281448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6.4483070829597029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0</v>
      </c>
      <c r="CZ81" s="62">
        <f t="shared" si="96"/>
        <v>0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-4.5474735088646412E-13</v>
      </c>
      <c r="O82" s="14">
        <f>N82*VLOOKUP('Données projet'!$B$9,Paramètres!$A$1:$I$89,3,0)*VLOOKUP('Données projet'!$B$9,Paramètres!$A$1:$I$89,5,0)</f>
        <v>-2.5420376914553347E-13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388.88381485322674</v>
      </c>
      <c r="T82" s="62">
        <f t="shared" si="88"/>
        <v>355.82695155276218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8.4127657272757652</v>
      </c>
      <c r="AA82" s="23">
        <f>EXP(-LN(2)/25)*AA81+(1-EXP(-LN(2)/25))/(LN(2)/25)*Calculateur!V82*Calculateur!X82*VLOOKUP('Données projet'!$B$9,Paramètres!$A$1:$I$89,3,0)*0.475*44/12</f>
        <v>3.6016811646250062</v>
      </c>
      <c r="AB82" s="23">
        <f>EXP(-LN(2)/2)*AB81+(1-EXP(-LN(2)/2))/(LN(2)/2)*V82*Y82*VLOOKUP('Données projet'!$B$9,Paramètres!$A$1:$I$89,3,0)*0.475*44/12</f>
        <v>2.0438192863362018E-7</v>
      </c>
      <c r="AC82" s="24">
        <f t="shared" si="57"/>
        <v>12.0144470962827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4.9658410716801891E-14</v>
      </c>
      <c r="AK82" s="14">
        <f t="shared" si="89"/>
        <v>8.0934058173791862E-13</v>
      </c>
      <c r="AL82" s="22">
        <f t="shared" si="58"/>
        <v>1.4960899118586383E-12</v>
      </c>
      <c r="AM82" s="62">
        <f t="shared" si="59"/>
        <v>293.33333333333479</v>
      </c>
      <c r="AN82" s="62">
        <f ca="1">AVERAGE(OFFSET($AM$3,0,0,'Données projet'!$E$10+1,1))-AVERAGE(OFFSET($H$3,0,0,'Données projet'!$E$10+1,1))</f>
        <v>321.62968871874483</v>
      </c>
      <c r="AO82" s="62">
        <f t="shared" si="90"/>
        <v>389.91636841473559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1.3847420151541414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1.539751497965291E-6</v>
      </c>
      <c r="AX82" s="23">
        <f t="shared" si="60"/>
        <v>1.3847435549056393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325.39999999999969</v>
      </c>
      <c r="BE82" s="14">
        <f>BD82*VLOOKUP('Données projet'!$B$11,Paramètres!$A$1:$I$89,3,0)*VLOOKUP('Données projet'!$B$11,Paramètres!$A$1:$I$89,5,0)</f>
        <v>238.58327999999977</v>
      </c>
      <c r="BF82" s="14">
        <f t="shared" si="91"/>
        <v>58.134611321731605</v>
      </c>
      <c r="BG82" s="22">
        <f t="shared" si="61"/>
        <v>516.78366071868209</v>
      </c>
      <c r="BH82" s="62">
        <f t="shared" si="62"/>
        <v>810.11699405201534</v>
      </c>
      <c r="BI82" s="62">
        <f ca="1">AVERAGE(OFFSET($BH$3,0,0,'Données projet'!$E$11+1,1))-AVERAGE(OFFSET($H$3,0,0,'Données projet'!$E$11+1,1))</f>
        <v>327.81662150328646</v>
      </c>
      <c r="BJ82" s="62">
        <f t="shared" si="92"/>
        <v>320.24200483294322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6.0044601029528568E-7</v>
      </c>
      <c r="BS82" s="24">
        <f t="shared" si="63"/>
        <v>6.0044601029528568E-7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2.8421709430404007E-14</v>
      </c>
      <c r="BZ82" s="14">
        <f>BY82*VLOOKUP('Données projet'!$B$12,Paramètres!$A$1:$I$89,3,0)*VLOOKUP('Données projet'!$B$12,Paramètres!$A$1:$I$89,5,0)</f>
        <v>1.5518253349000589E-14</v>
      </c>
      <c r="CA82" s="14">
        <f t="shared" si="93"/>
        <v>2.8958815659671149E-13</v>
      </c>
      <c r="CB82" s="22">
        <f t="shared" si="64"/>
        <v>5.3139366398878183E-13</v>
      </c>
      <c r="CC82" s="62">
        <f t="shared" si="65"/>
        <v>293.33333333333383</v>
      </c>
      <c r="CD82" s="62">
        <f ca="1">AVERAGE(OFFSET($CC$3,0,0,'Données projet'!$E$12+1,1))-AVERAGE(OFFSET($H$3,0,0,'Données projet'!$E$12+1,1))</f>
        <v>170.27677128684815</v>
      </c>
      <c r="CE82" s="62">
        <f t="shared" si="94"/>
        <v>243.47439640666289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1.6328258850722162</v>
      </c>
      <c r="CL82" s="23">
        <f>EXP(-LN(2)/25)*CL81+(1-EXP(-LN(2)/25))/(LN(2)/25)*Calculateur!CG82*Calculateur!CI82*VLOOKUP('Données projet'!$B$12,Paramètres!$A$1:$I$89,3,0)*0.475*44/12</f>
        <v>4.6520355317441311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6.284861416816347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0</v>
      </c>
      <c r="CZ82" s="62">
        <f t="shared" si="96"/>
        <v>0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-4.5474735088646412E-13</v>
      </c>
      <c r="O83" s="14">
        <f>N83*VLOOKUP('Données projet'!$B$9,Paramètres!$A$1:$I$89,3,0)*VLOOKUP('Données projet'!$B$9,Paramètres!$A$1:$I$89,5,0)</f>
        <v>-2.5420376914553347E-13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388.88381485322674</v>
      </c>
      <c r="T83" s="62">
        <f t="shared" si="88"/>
        <v>355.82695155276218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8.2477965226443093</v>
      </c>
      <c r="AA83" s="23">
        <f>EXP(-LN(2)/25)*AA82+(1-EXP(-LN(2)/25))/(LN(2)/25)*Calculateur!V83*Calculateur!X83*VLOOKUP('Données projet'!$B$9,Paramètres!$A$1:$I$89,3,0)*0.475*44/12</f>
        <v>3.5031930037741548</v>
      </c>
      <c r="AB83" s="23">
        <f>EXP(-LN(2)/2)*AB82+(1-EXP(-LN(2)/2))/(LN(2)/2)*V83*Y83*VLOOKUP('Données projet'!$B$9,Paramètres!$A$1:$I$89,3,0)*0.475*44/12</f>
        <v>1.4451984768881783E-7</v>
      </c>
      <c r="AC83" s="24">
        <f t="shared" si="57"/>
        <v>11.750989670938313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4.9658410716801891E-14</v>
      </c>
      <c r="AK83" s="14">
        <f t="shared" si="89"/>
        <v>8.0934058173791862E-13</v>
      </c>
      <c r="AL83" s="22">
        <f t="shared" si="58"/>
        <v>1.4960899118586383E-12</v>
      </c>
      <c r="AM83" s="62">
        <f t="shared" si="59"/>
        <v>293.33333333333479</v>
      </c>
      <c r="AN83" s="62">
        <f ca="1">AVERAGE(OFFSET($AM$3,0,0,'Données projet'!$E$10+1,1))-AVERAGE(OFFSET($H$3,0,0,'Données projet'!$E$10+1,1))</f>
        <v>321.62968871874483</v>
      </c>
      <c r="AO83" s="62">
        <f t="shared" si="90"/>
        <v>389.91636841473559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1.3575880688461996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1.0887687255534018E-6</v>
      </c>
      <c r="AX83" s="23">
        <f t="shared" si="60"/>
        <v>1.3575891576149253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329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328.99999999999972</v>
      </c>
      <c r="BE83" s="14">
        <f>BD83*VLOOKUP('Données projet'!$B$11,Paramètres!$A$1:$I$89,3,0)*VLOOKUP('Données projet'!$B$11,Paramètres!$A$1:$I$89,5,0)</f>
        <v>241.22279999999978</v>
      </c>
      <c r="BF83" s="14">
        <f t="shared" si="91"/>
        <v>58.702543992248778</v>
      </c>
      <c r="BG83" s="22">
        <f t="shared" si="61"/>
        <v>522.36997411983293</v>
      </c>
      <c r="BH83" s="62">
        <f t="shared" si="62"/>
        <v>815.70330745316619</v>
      </c>
      <c r="BI83" s="62">
        <f ca="1">AVERAGE(OFFSET($BH$3,0,0,'Données projet'!$E$11+1,1))-AVERAGE(OFFSET($H$3,0,0,'Données projet'!$E$11+1,1))</f>
        <v>327.81662150328646</v>
      </c>
      <c r="BJ83" s="62">
        <f t="shared" si="92"/>
        <v>320.24200483294322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11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4.2457944561620403E-7</v>
      </c>
      <c r="BS83" s="24">
        <f t="shared" si="63"/>
        <v>4.2457944561620403E-7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2.8421709430404007E-14</v>
      </c>
      <c r="BZ83" s="14">
        <f>BY83*VLOOKUP('Données projet'!$B$12,Paramètres!$A$1:$I$89,3,0)*VLOOKUP('Données projet'!$B$12,Paramètres!$A$1:$I$89,5,0)</f>
        <v>1.5518253349000589E-14</v>
      </c>
      <c r="CA83" s="14">
        <f t="shared" si="93"/>
        <v>2.8958815659671149E-13</v>
      </c>
      <c r="CB83" s="22">
        <f t="shared" si="64"/>
        <v>5.3139366398878183E-13</v>
      </c>
      <c r="CC83" s="62">
        <f t="shared" si="65"/>
        <v>293.33333333333383</v>
      </c>
      <c r="CD83" s="62">
        <f ca="1">AVERAGE(OFFSET($CC$3,0,0,'Données projet'!$E$12+1,1))-AVERAGE(OFFSET($H$3,0,0,'Données projet'!$E$12+1,1))</f>
        <v>170.27677128684815</v>
      </c>
      <c r="CE83" s="62">
        <f t="shared" si="94"/>
        <v>243.47439640666289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1.6008071653914004</v>
      </c>
      <c r="CL83" s="23">
        <f>EXP(-LN(2)/25)*CL82+(1-EXP(-LN(2)/25))/(LN(2)/25)*Calculateur!CG83*Calculateur!CI83*VLOOKUP('Données projet'!$B$12,Paramètres!$A$1:$I$89,3,0)*0.475*44/12</f>
        <v>4.5248253754886711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6.1256325408800718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0</v>
      </c>
      <c r="CZ83" s="62">
        <f t="shared" si="96"/>
        <v>0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-4.5474735088646412E-13</v>
      </c>
      <c r="O84" s="14">
        <f>N84*VLOOKUP('Données projet'!$B$9,Paramètres!$A$1:$I$89,3,0)*VLOOKUP('Données projet'!$B$9,Paramètres!$A$1:$I$89,5,0)</f>
        <v>-2.5420376914553347E-13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388.88381485322674</v>
      </c>
      <c r="T84" s="62">
        <f t="shared" si="88"/>
        <v>355.82695155276218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8.0860622634943962</v>
      </c>
      <c r="AA84" s="23">
        <f>EXP(-LN(2)/25)*AA83+(1-EXP(-LN(2)/25))/(LN(2)/25)*Calculateur!V84*Calculateur!X84*VLOOKUP('Données projet'!$B$9,Paramètres!$A$1:$I$89,3,0)*0.475*44/12</f>
        <v>3.4073980068610372</v>
      </c>
      <c r="AB84" s="23">
        <f>EXP(-LN(2)/2)*AB83+(1-EXP(-LN(2)/2))/(LN(2)/2)*V84*Y84*VLOOKUP('Données projet'!$B$9,Paramètres!$A$1:$I$89,3,0)*0.475*44/12</f>
        <v>1.0219096431681009E-7</v>
      </c>
      <c r="AC84" s="24">
        <f t="shared" si="57"/>
        <v>11.493460372546398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4.9658410716801891E-14</v>
      </c>
      <c r="AK84" s="14">
        <f t="shared" si="89"/>
        <v>8.0934058173791862E-13</v>
      </c>
      <c r="AL84" s="22">
        <f t="shared" si="58"/>
        <v>1.4960899118586383E-12</v>
      </c>
      <c r="AM84" s="62">
        <f t="shared" si="59"/>
        <v>293.33333333333479</v>
      </c>
      <c r="AN84" s="62">
        <f ca="1">AVERAGE(OFFSET($AM$3,0,0,'Données projet'!$E$10+1,1))-AVERAGE(OFFSET($H$3,0,0,'Données projet'!$E$10+1,1))</f>
        <v>321.62968871874483</v>
      </c>
      <c r="AO84" s="62">
        <f t="shared" si="90"/>
        <v>389.91636841473559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1.3309665948630849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7.6987574898264551E-7</v>
      </c>
      <c r="AX84" s="23">
        <f t="shared" si="60"/>
        <v>1.3309673647388338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317.99999999999972</v>
      </c>
      <c r="BE84" s="14">
        <f>BD84*VLOOKUP('Données projet'!$B$11,Paramètres!$A$1:$I$89,3,0)*VLOOKUP('Données projet'!$B$11,Paramètres!$A$1:$I$89,5,0)</f>
        <v>233.1575999999998</v>
      </c>
      <c r="BF84" s="14">
        <f t="shared" si="91"/>
        <v>56.964885721091697</v>
      </c>
      <c r="BG84" s="22">
        <f t="shared" si="61"/>
        <v>505.29666263090093</v>
      </c>
      <c r="BH84" s="62">
        <f t="shared" si="62"/>
        <v>798.62999596423424</v>
      </c>
      <c r="BI84" s="62">
        <f ca="1">AVERAGE(OFFSET($BH$3,0,0,'Données projet'!$E$11+1,1))-AVERAGE(OFFSET($H$3,0,0,'Données projet'!$E$11+1,1))</f>
        <v>327.81662150328646</v>
      </c>
      <c r="BJ84" s="62">
        <f t="shared" si="92"/>
        <v>320.24200483294322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3.0022300514764284E-7</v>
      </c>
      <c r="BS84" s="24">
        <f t="shared" si="63"/>
        <v>3.0022300514764284E-7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2.8421709430404007E-14</v>
      </c>
      <c r="BZ84" s="14">
        <f>BY84*VLOOKUP('Données projet'!$B$12,Paramètres!$A$1:$I$89,3,0)*VLOOKUP('Données projet'!$B$12,Paramètres!$A$1:$I$89,5,0)</f>
        <v>1.5518253349000589E-14</v>
      </c>
      <c r="CA84" s="14">
        <f t="shared" si="93"/>
        <v>2.8958815659671149E-13</v>
      </c>
      <c r="CB84" s="22">
        <f t="shared" si="64"/>
        <v>5.3139366398878183E-13</v>
      </c>
      <c r="CC84" s="62">
        <f t="shared" si="65"/>
        <v>293.33333333333383</v>
      </c>
      <c r="CD84" s="62">
        <f ca="1">AVERAGE(OFFSET($CC$3,0,0,'Données projet'!$E$12+1,1))-AVERAGE(OFFSET($H$3,0,0,'Données projet'!$E$12+1,1))</f>
        <v>170.27677128684815</v>
      </c>
      <c r="CE84" s="62">
        <f t="shared" si="94"/>
        <v>243.47439640666289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1.5694163132740349</v>
      </c>
      <c r="CL84" s="23">
        <f>EXP(-LN(2)/25)*CL83+(1-EXP(-LN(2)/25))/(LN(2)/25)*Calculateur!CG84*Calculateur!CI84*VLOOKUP('Données projet'!$B$12,Paramètres!$A$1:$I$89,3,0)*0.475*44/12</f>
        <v>4.4010937876457081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5.9705101009197428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0</v>
      </c>
      <c r="CZ84" s="62">
        <f t="shared" si="96"/>
        <v>0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-4.5474735088646412E-13</v>
      </c>
      <c r="O85" s="14">
        <f>N85*VLOOKUP('Données projet'!$B$9,Paramètres!$A$1:$I$89,3,0)*VLOOKUP('Données projet'!$B$9,Paramètres!$A$1:$I$89,5,0)</f>
        <v>-2.5420376914553347E-13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388.88381485322674</v>
      </c>
      <c r="T85" s="62">
        <f t="shared" si="88"/>
        <v>355.82695155276218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7.9274995145182565</v>
      </c>
      <c r="AA85" s="23">
        <f>EXP(-LN(2)/25)*AA84+(1-EXP(-LN(2)/25))/(LN(2)/25)*Calculateur!V85*Calculateur!X85*VLOOKUP('Données projet'!$B$9,Paramètres!$A$1:$I$89,3,0)*0.475*44/12</f>
        <v>3.3142225291761487</v>
      </c>
      <c r="AB85" s="23">
        <f>EXP(-LN(2)/2)*AB84+(1-EXP(-LN(2)/2))/(LN(2)/2)*V85*Y85*VLOOKUP('Données projet'!$B$9,Paramètres!$A$1:$I$89,3,0)*0.475*44/12</f>
        <v>7.2259923844408917E-8</v>
      </c>
      <c r="AC85" s="24">
        <f t="shared" si="57"/>
        <v>11.24172211595433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4.9658410716801891E-14</v>
      </c>
      <c r="AK85" s="14">
        <f t="shared" si="89"/>
        <v>8.0934058173791862E-13</v>
      </c>
      <c r="AL85" s="22">
        <f t="shared" si="58"/>
        <v>1.4960899118586383E-12</v>
      </c>
      <c r="AM85" s="62">
        <f t="shared" si="59"/>
        <v>293.33333333333479</v>
      </c>
      <c r="AN85" s="62">
        <f ca="1">AVERAGE(OFFSET($AM$3,0,0,'Données projet'!$E$10+1,1))-AVERAGE(OFFSET($H$3,0,0,'Données projet'!$E$10+1,1))</f>
        <v>321.62968871874483</v>
      </c>
      <c r="AO85" s="62">
        <f t="shared" si="90"/>
        <v>389.91636841473559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1.3048671517472832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5.4438436277670089E-7</v>
      </c>
      <c r="AX85" s="23">
        <f t="shared" si="60"/>
        <v>1.3048676961316459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317.99999999999972</v>
      </c>
      <c r="BE85" s="14">
        <f>BD85*VLOOKUP('Données projet'!$B$11,Paramètres!$A$1:$I$89,3,0)*VLOOKUP('Données projet'!$B$11,Paramètres!$A$1:$I$89,5,0)</f>
        <v>233.1575999999998</v>
      </c>
      <c r="BF85" s="14">
        <f t="shared" si="91"/>
        <v>56.964885721091697</v>
      </c>
      <c r="BG85" s="22">
        <f t="shared" si="61"/>
        <v>505.29666263090093</v>
      </c>
      <c r="BH85" s="62">
        <f t="shared" si="62"/>
        <v>798.62999596423424</v>
      </c>
      <c r="BI85" s="62">
        <f ca="1">AVERAGE(OFFSET($BH$3,0,0,'Données projet'!$E$11+1,1))-AVERAGE(OFFSET($H$3,0,0,'Données projet'!$E$11+1,1))</f>
        <v>327.81662150328646</v>
      </c>
      <c r="BJ85" s="62">
        <f t="shared" si="92"/>
        <v>320.24200483294322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2.1228972280810202E-7</v>
      </c>
      <c r="BS85" s="24">
        <f t="shared" si="63"/>
        <v>2.1228972280810202E-7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2.8421709430404007E-14</v>
      </c>
      <c r="BZ85" s="14">
        <f>BY85*VLOOKUP('Données projet'!$B$12,Paramètres!$A$1:$I$89,3,0)*VLOOKUP('Données projet'!$B$12,Paramètres!$A$1:$I$89,5,0)</f>
        <v>1.5518253349000589E-14</v>
      </c>
      <c r="CA85" s="14">
        <f t="shared" si="93"/>
        <v>2.8958815659671149E-13</v>
      </c>
      <c r="CB85" s="22">
        <f t="shared" si="64"/>
        <v>5.3139366398878183E-13</v>
      </c>
      <c r="CC85" s="62">
        <f t="shared" si="65"/>
        <v>293.33333333333383</v>
      </c>
      <c r="CD85" s="62">
        <f ca="1">AVERAGE(OFFSET($CC$3,0,0,'Données projet'!$E$12+1,1))-AVERAGE(OFFSET($H$3,0,0,'Données projet'!$E$12+1,1))</f>
        <v>170.27677128684815</v>
      </c>
      <c r="CE85" s="62">
        <f t="shared" si="94"/>
        <v>243.47439640666289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1.5386410166201616</v>
      </c>
      <c r="CL85" s="23">
        <f>EXP(-LN(2)/25)*CL84+(1-EXP(-LN(2)/25))/(LN(2)/25)*Calculateur!CG85*Calculateur!CI85*VLOOKUP('Données projet'!$B$12,Paramètres!$A$1:$I$89,3,0)*0.475*44/12</f>
        <v>4.2807456465790725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5.8193866631992339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0</v>
      </c>
      <c r="CZ85" s="62">
        <f t="shared" si="96"/>
        <v>0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-4.5474735088646412E-13</v>
      </c>
      <c r="O86" s="14">
        <f>N86*VLOOKUP('Données projet'!$B$9,Paramètres!$A$1:$I$89,3,0)*VLOOKUP('Données projet'!$B$9,Paramètres!$A$1:$I$89,5,0)</f>
        <v>-2.5420376914553347E-13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388.88381485322674</v>
      </c>
      <c r="T86" s="62">
        <f t="shared" si="88"/>
        <v>355.82695155276218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7.7720460843358117</v>
      </c>
      <c r="AA86" s="23">
        <f>EXP(-LN(2)/25)*AA85+(1-EXP(-LN(2)/25))/(LN(2)/25)*Calculateur!V86*Calculateur!X86*VLOOKUP('Données projet'!$B$9,Paramètres!$A$1:$I$89,3,0)*0.475*44/12</f>
        <v>3.2235949398284389</v>
      </c>
      <c r="AB86" s="23">
        <f>EXP(-LN(2)/2)*AB85+(1-EXP(-LN(2)/2))/(LN(2)/2)*V86*Y86*VLOOKUP('Données projet'!$B$9,Paramètres!$A$1:$I$89,3,0)*0.475*44/12</f>
        <v>5.1095482158405044E-8</v>
      </c>
      <c r="AC86" s="24">
        <f t="shared" si="57"/>
        <v>10.995641075259732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4.9658410716801891E-14</v>
      </c>
      <c r="AK86" s="14">
        <f t="shared" si="89"/>
        <v>8.0934058173791862E-13</v>
      </c>
      <c r="AL86" s="22">
        <f t="shared" si="58"/>
        <v>1.4960899118586383E-12</v>
      </c>
      <c r="AM86" s="62">
        <f t="shared" si="59"/>
        <v>293.33333333333479</v>
      </c>
      <c r="AN86" s="62">
        <f ca="1">AVERAGE(OFFSET($AM$3,0,0,'Données projet'!$E$10+1,1))-AVERAGE(OFFSET($H$3,0,0,'Données projet'!$E$10+1,1))</f>
        <v>321.62968871874483</v>
      </c>
      <c r="AO86" s="62">
        <f t="shared" si="90"/>
        <v>389.91636841473559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1.279279502791894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3.8493787449132275E-7</v>
      </c>
      <c r="AX86" s="23">
        <f t="shared" si="60"/>
        <v>1.2792798877297684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317.99999999999972</v>
      </c>
      <c r="BE86" s="14">
        <f>BD86*VLOOKUP('Données projet'!$B$11,Paramètres!$A$1:$I$89,3,0)*VLOOKUP('Données projet'!$B$11,Paramètres!$A$1:$I$89,5,0)</f>
        <v>233.1575999999998</v>
      </c>
      <c r="BF86" s="14">
        <f t="shared" si="91"/>
        <v>56.964885721091697</v>
      </c>
      <c r="BG86" s="22">
        <f t="shared" si="61"/>
        <v>505.29666263090093</v>
      </c>
      <c r="BH86" s="62">
        <f t="shared" si="62"/>
        <v>798.62999596423424</v>
      </c>
      <c r="BI86" s="62">
        <f ca="1">AVERAGE(OFFSET($BH$3,0,0,'Données projet'!$E$11+1,1))-AVERAGE(OFFSET($H$3,0,0,'Données projet'!$E$11+1,1))</f>
        <v>327.81662150328646</v>
      </c>
      <c r="BJ86" s="62">
        <f t="shared" si="92"/>
        <v>320.24200483294322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1.5011150257382142E-7</v>
      </c>
      <c r="BS86" s="24">
        <f t="shared" si="63"/>
        <v>1.5011150257382142E-7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2.8421709430404007E-14</v>
      </c>
      <c r="BZ86" s="14">
        <f>BY86*VLOOKUP('Données projet'!$B$12,Paramètres!$A$1:$I$89,3,0)*VLOOKUP('Données projet'!$B$12,Paramètres!$A$1:$I$89,5,0)</f>
        <v>1.5518253349000589E-14</v>
      </c>
      <c r="CA86" s="14">
        <f t="shared" si="93"/>
        <v>2.8958815659671149E-13</v>
      </c>
      <c r="CB86" s="22">
        <f t="shared" si="64"/>
        <v>5.3139366398878183E-13</v>
      </c>
      <c r="CC86" s="62">
        <f t="shared" si="65"/>
        <v>293.33333333333383</v>
      </c>
      <c r="CD86" s="62">
        <f ca="1">AVERAGE(OFFSET($CC$3,0,0,'Données projet'!$E$12+1,1))-AVERAGE(OFFSET($H$3,0,0,'Données projet'!$E$12+1,1))</f>
        <v>170.27677128684815</v>
      </c>
      <c r="CE86" s="62">
        <f t="shared" si="94"/>
        <v>243.47439640666289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1.5084692047625934</v>
      </c>
      <c r="CL86" s="23">
        <f>EXP(-LN(2)/25)*CL85+(1-EXP(-LN(2)/25))/(LN(2)/25)*Calculateur!CG86*Calculateur!CI86*VLOOKUP('Données projet'!$B$12,Paramètres!$A$1:$I$89,3,0)*0.475*44/12</f>
        <v>4.1636884317587377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5.6721576365213311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0</v>
      </c>
      <c r="CZ86" s="62">
        <f t="shared" si="96"/>
        <v>0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-4.5474735088646412E-13</v>
      </c>
      <c r="O87" s="14">
        <f>N87*VLOOKUP('Données projet'!$B$9,Paramètres!$A$1:$I$89,3,0)*VLOOKUP('Données projet'!$B$9,Paramètres!$A$1:$I$89,5,0)</f>
        <v>-2.5420376914553347E-13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388.88381485322674</v>
      </c>
      <c r="T87" s="62">
        <f t="shared" si="88"/>
        <v>355.82695155276218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7.6196410011020141</v>
      </c>
      <c r="AA87" s="23">
        <f>EXP(-LN(2)/25)*AA86+(1-EXP(-LN(2)/25))/(LN(2)/25)*Calculateur!V87*Calculateur!X87*VLOOKUP('Données projet'!$B$9,Paramètres!$A$1:$I$89,3,0)*0.475*44/12</f>
        <v>3.13544556667734</v>
      </c>
      <c r="AB87" s="23">
        <f>EXP(-LN(2)/2)*AB86+(1-EXP(-LN(2)/2))/(LN(2)/2)*V87*Y87*VLOOKUP('Données projet'!$B$9,Paramètres!$A$1:$I$89,3,0)*0.475*44/12</f>
        <v>3.6129961922204459E-8</v>
      </c>
      <c r="AC87" s="24">
        <f t="shared" si="57"/>
        <v>10.755086603909316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4.9658410716801891E-14</v>
      </c>
      <c r="AK87" s="14">
        <f t="shared" si="89"/>
        <v>8.0934058173791862E-13</v>
      </c>
      <c r="AL87" s="22">
        <f t="shared" si="58"/>
        <v>1.4960899118586383E-12</v>
      </c>
      <c r="AM87" s="62">
        <f t="shared" si="59"/>
        <v>293.33333333333479</v>
      </c>
      <c r="AN87" s="62">
        <f ca="1">AVERAGE(OFFSET($AM$3,0,0,'Données projet'!$E$10+1,1))-AVERAGE(OFFSET($H$3,0,0,'Données projet'!$E$10+1,1))</f>
        <v>321.62968871874483</v>
      </c>
      <c r="AO87" s="62">
        <f t="shared" si="90"/>
        <v>389.91636841473559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1.254193612025595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2.7219218138835045E-7</v>
      </c>
      <c r="AX87" s="23">
        <f t="shared" si="60"/>
        <v>1.2541938842177764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317.99999999999972</v>
      </c>
      <c r="BE87" s="14">
        <f>BD87*VLOOKUP('Données projet'!$B$11,Paramètres!$A$1:$I$89,3,0)*VLOOKUP('Données projet'!$B$11,Paramètres!$A$1:$I$89,5,0)</f>
        <v>233.1575999999998</v>
      </c>
      <c r="BF87" s="14">
        <f t="shared" si="91"/>
        <v>56.964885721091697</v>
      </c>
      <c r="BG87" s="22">
        <f t="shared" si="61"/>
        <v>505.29666263090093</v>
      </c>
      <c r="BH87" s="62">
        <f t="shared" si="62"/>
        <v>798.62999596423424</v>
      </c>
      <c r="BI87" s="62">
        <f ca="1">AVERAGE(OFFSET($BH$3,0,0,'Données projet'!$E$11+1,1))-AVERAGE(OFFSET($H$3,0,0,'Données projet'!$E$11+1,1))</f>
        <v>327.81662150328646</v>
      </c>
      <c r="BJ87" s="62">
        <f t="shared" si="92"/>
        <v>320.24200483294322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1.0614486140405101E-7</v>
      </c>
      <c r="BS87" s="24">
        <f t="shared" si="63"/>
        <v>1.0614486140405101E-7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2.8421709430404007E-14</v>
      </c>
      <c r="BZ87" s="14">
        <f>BY87*VLOOKUP('Données projet'!$B$12,Paramètres!$A$1:$I$89,3,0)*VLOOKUP('Données projet'!$B$12,Paramètres!$A$1:$I$89,5,0)</f>
        <v>1.5518253349000589E-14</v>
      </c>
      <c r="CA87" s="14">
        <f t="shared" si="93"/>
        <v>2.8958815659671149E-13</v>
      </c>
      <c r="CB87" s="22">
        <f t="shared" si="64"/>
        <v>5.3139366398878183E-13</v>
      </c>
      <c r="CC87" s="62">
        <f t="shared" si="65"/>
        <v>293.33333333333383</v>
      </c>
      <c r="CD87" s="62">
        <f ca="1">AVERAGE(OFFSET($CC$3,0,0,'Données projet'!$E$12+1,1))-AVERAGE(OFFSET($H$3,0,0,'Données projet'!$E$12+1,1))</f>
        <v>170.27677128684815</v>
      </c>
      <c r="CE87" s="62">
        <f t="shared" si="94"/>
        <v>243.47439640666289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1.4788890437325639</v>
      </c>
      <c r="CL87" s="23">
        <f>EXP(-LN(2)/25)*CL86+(1-EXP(-LN(2)/25))/(LN(2)/25)*Calculateur!CG87*Calculateur!CI87*VLOOKUP('Données projet'!$B$12,Paramètres!$A$1:$I$89,3,0)*0.475*44/12</f>
        <v>4.0498321526334369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5.5287211963660008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0</v>
      </c>
      <c r="CZ87" s="62">
        <f t="shared" si="96"/>
        <v>0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-4.5474735088646412E-13</v>
      </c>
      <c r="O88" s="14">
        <f>N88*VLOOKUP('Données projet'!$B$9,Paramètres!$A$1:$I$89,3,0)*VLOOKUP('Données projet'!$B$9,Paramètres!$A$1:$I$89,5,0)</f>
        <v>-2.5420376914553347E-13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388.88381485322674</v>
      </c>
      <c r="T88" s="62">
        <f t="shared" si="88"/>
        <v>355.82695155276218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7.4702244885925095</v>
      </c>
      <c r="AA88" s="23">
        <f>EXP(-LN(2)/25)*AA87+(1-EXP(-LN(2)/25))/(LN(2)/25)*Calculateur!V88*Calculateur!X88*VLOOKUP('Données projet'!$B$9,Paramètres!$A$1:$I$89,3,0)*0.475*44/12</f>
        <v>3.0497066427706319</v>
      </c>
      <c r="AB88" s="23">
        <f>EXP(-LN(2)/2)*AB87+(1-EXP(-LN(2)/2))/(LN(2)/2)*V88*Y88*VLOOKUP('Données projet'!$B$9,Paramètres!$A$1:$I$89,3,0)*0.475*44/12</f>
        <v>2.5547741079202522E-8</v>
      </c>
      <c r="AC88" s="24">
        <f t="shared" si="57"/>
        <v>10.519931156910882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4.9658410716801891E-14</v>
      </c>
      <c r="AK88" s="14">
        <f t="shared" si="89"/>
        <v>8.0934058173791862E-13</v>
      </c>
      <c r="AL88" s="22">
        <f t="shared" si="58"/>
        <v>1.4960899118586383E-12</v>
      </c>
      <c r="AM88" s="62">
        <f t="shared" si="59"/>
        <v>293.33333333333479</v>
      </c>
      <c r="AN88" s="62">
        <f ca="1">AVERAGE(OFFSET($AM$3,0,0,'Données projet'!$E$10+1,1))-AVERAGE(OFFSET($H$3,0,0,'Données projet'!$E$10+1,1))</f>
        <v>321.62968871874483</v>
      </c>
      <c r="AO88" s="62">
        <f t="shared" si="90"/>
        <v>389.91636841473559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1.2295996402763407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1.9246893724566138E-7</v>
      </c>
      <c r="AX88" s="23">
        <f t="shared" si="60"/>
        <v>1.229599832745278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317.99999999999972</v>
      </c>
      <c r="BE88" s="14">
        <f>BD88*VLOOKUP('Données projet'!$B$11,Paramètres!$A$1:$I$89,3,0)*VLOOKUP('Données projet'!$B$11,Paramètres!$A$1:$I$89,5,0)</f>
        <v>233.1575999999998</v>
      </c>
      <c r="BF88" s="14">
        <f t="shared" si="91"/>
        <v>56.964885721091697</v>
      </c>
      <c r="BG88" s="22">
        <f t="shared" si="61"/>
        <v>505.29666263090093</v>
      </c>
      <c r="BH88" s="62">
        <f t="shared" si="62"/>
        <v>798.62999596423424</v>
      </c>
      <c r="BI88" s="62">
        <f ca="1">AVERAGE(OFFSET($BH$3,0,0,'Données projet'!$E$11+1,1))-AVERAGE(OFFSET($H$3,0,0,'Données projet'!$E$11+1,1))</f>
        <v>327.81662150328646</v>
      </c>
      <c r="BJ88" s="62">
        <f t="shared" si="92"/>
        <v>320.24200483294322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7.505575128691071E-8</v>
      </c>
      <c r="BS88" s="24">
        <f t="shared" si="63"/>
        <v>7.505575128691071E-8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2.8421709430404007E-14</v>
      </c>
      <c r="BZ88" s="14">
        <f>BY88*VLOOKUP('Données projet'!$B$12,Paramètres!$A$1:$I$89,3,0)*VLOOKUP('Données projet'!$B$12,Paramètres!$A$1:$I$89,5,0)</f>
        <v>1.5518253349000589E-14</v>
      </c>
      <c r="CA88" s="14">
        <f t="shared" si="93"/>
        <v>2.8958815659671149E-13</v>
      </c>
      <c r="CB88" s="22">
        <f t="shared" si="64"/>
        <v>5.3139366398878183E-13</v>
      </c>
      <c r="CC88" s="62">
        <f t="shared" si="65"/>
        <v>293.33333333333383</v>
      </c>
      <c r="CD88" s="62">
        <f ca="1">AVERAGE(OFFSET($CC$3,0,0,'Données projet'!$E$12+1,1))-AVERAGE(OFFSET($H$3,0,0,'Données projet'!$E$12+1,1))</f>
        <v>170.27677128684815</v>
      </c>
      <c r="CE88" s="62">
        <f t="shared" si="94"/>
        <v>243.47439640666289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1.4498889316182166</v>
      </c>
      <c r="CL88" s="23">
        <f>EXP(-LN(2)/25)*CL87+(1-EXP(-LN(2)/25))/(LN(2)/25)*Calculateur!CG88*Calculateur!CI88*VLOOKUP('Données projet'!$B$12,Paramètres!$A$1:$I$89,3,0)*0.475*44/12</f>
        <v>3.9390892794482588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5.3889782110664752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0</v>
      </c>
      <c r="CZ88" s="62">
        <f t="shared" si="96"/>
        <v>0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-4.5474735088646412E-13</v>
      </c>
      <c r="O89" s="14">
        <f>N89*VLOOKUP('Données projet'!$B$9,Paramètres!$A$1:$I$89,3,0)*VLOOKUP('Données projet'!$B$9,Paramètres!$A$1:$I$89,5,0)</f>
        <v>-2.5420376914553347E-13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388.88381485322674</v>
      </c>
      <c r="T89" s="62">
        <f t="shared" si="88"/>
        <v>355.82695155276218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7.3237379427582425</v>
      </c>
      <c r="AA89" s="23">
        <f>EXP(-LN(2)/25)*AA88+(1-EXP(-LN(2)/25))/(LN(2)/25)*Calculateur!V89*Calculateur!X89*VLOOKUP('Données projet'!$B$9,Paramètres!$A$1:$I$89,3,0)*0.475*44/12</f>
        <v>2.9663122542469669</v>
      </c>
      <c r="AB89" s="23">
        <f>EXP(-LN(2)/2)*AB88+(1-EXP(-LN(2)/2))/(LN(2)/2)*V89*Y89*VLOOKUP('Données projet'!$B$9,Paramètres!$A$1:$I$89,3,0)*0.475*44/12</f>
        <v>1.8064980961102229E-8</v>
      </c>
      <c r="AC89" s="24">
        <f t="shared" si="57"/>
        <v>10.29005021507019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4.9658410716801891E-14</v>
      </c>
      <c r="AK89" s="14">
        <f t="shared" si="89"/>
        <v>8.0934058173791862E-13</v>
      </c>
      <c r="AL89" s="22">
        <f t="shared" si="58"/>
        <v>1.4960899118586383E-12</v>
      </c>
      <c r="AM89" s="62">
        <f t="shared" si="59"/>
        <v>293.33333333333479</v>
      </c>
      <c r="AN89" s="62">
        <f ca="1">AVERAGE(OFFSET($AM$3,0,0,'Données projet'!$E$10+1,1))-AVERAGE(OFFSET($H$3,0,0,'Données projet'!$E$10+1,1))</f>
        <v>321.62968871874483</v>
      </c>
      <c r="AO89" s="62">
        <f t="shared" si="90"/>
        <v>389.91636841473559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1.2054879413122477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1.3609609069417522E-7</v>
      </c>
      <c r="AX89" s="23">
        <f t="shared" si="60"/>
        <v>1.2054880774083383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317.99999999999972</v>
      </c>
      <c r="BE89" s="14">
        <f>BD89*VLOOKUP('Données projet'!$B$11,Paramètres!$A$1:$I$89,3,0)*VLOOKUP('Données projet'!$B$11,Paramètres!$A$1:$I$89,5,0)</f>
        <v>233.1575999999998</v>
      </c>
      <c r="BF89" s="14">
        <f t="shared" si="91"/>
        <v>56.964885721091697</v>
      </c>
      <c r="BG89" s="22">
        <f t="shared" si="61"/>
        <v>505.29666263090093</v>
      </c>
      <c r="BH89" s="62">
        <f t="shared" si="62"/>
        <v>798.62999596423424</v>
      </c>
      <c r="BI89" s="62">
        <f ca="1">AVERAGE(OFFSET($BH$3,0,0,'Données projet'!$E$11+1,1))-AVERAGE(OFFSET($H$3,0,0,'Données projet'!$E$11+1,1))</f>
        <v>327.81662150328646</v>
      </c>
      <c r="BJ89" s="62">
        <f t="shared" si="92"/>
        <v>320.24200483294322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5.3072430702025504E-8</v>
      </c>
      <c r="BS89" s="24">
        <f t="shared" si="63"/>
        <v>5.3072430702025504E-8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2.8421709430404007E-14</v>
      </c>
      <c r="BZ89" s="14">
        <f>BY89*VLOOKUP('Données projet'!$B$12,Paramètres!$A$1:$I$89,3,0)*VLOOKUP('Données projet'!$B$12,Paramètres!$A$1:$I$89,5,0)</f>
        <v>1.5518253349000589E-14</v>
      </c>
      <c r="CA89" s="14">
        <f t="shared" si="93"/>
        <v>2.8958815659671149E-13</v>
      </c>
      <c r="CB89" s="22">
        <f t="shared" si="64"/>
        <v>5.3139366398878183E-13</v>
      </c>
      <c r="CC89" s="62">
        <f t="shared" si="65"/>
        <v>293.33333333333383</v>
      </c>
      <c r="CD89" s="62">
        <f ca="1">AVERAGE(OFFSET($CC$3,0,0,'Données projet'!$E$12+1,1))-AVERAGE(OFFSET($H$3,0,0,'Données projet'!$E$12+1,1))</f>
        <v>170.27677128684815</v>
      </c>
      <c r="CE89" s="62">
        <f t="shared" si="94"/>
        <v>243.47439640666289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1.4214574940141098</v>
      </c>
      <c r="CL89" s="23">
        <f>EXP(-LN(2)/25)*CL88+(1-EXP(-LN(2)/25))/(LN(2)/25)*Calculateur!CG89*Calculateur!CI89*VLOOKUP('Données projet'!$B$12,Paramètres!$A$1:$I$89,3,0)*0.475*44/12</f>
        <v>3.8313746759540437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5.2528321699681531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0</v>
      </c>
      <c r="CZ89" s="62">
        <f t="shared" si="96"/>
        <v>0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-4.5474735088646412E-13</v>
      </c>
      <c r="O90" s="14">
        <f>N90*VLOOKUP('Données projet'!$B$9,Paramètres!$A$1:$I$89,3,0)*VLOOKUP('Données projet'!$B$9,Paramètres!$A$1:$I$89,5,0)</f>
        <v>-2.5420376914553347E-13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388.88381485322674</v>
      </c>
      <c r="T90" s="62">
        <f t="shared" si="88"/>
        <v>355.82695155276218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7.180123908739815</v>
      </c>
      <c r="AA90" s="23">
        <f>EXP(-LN(2)/25)*AA89+(1-EXP(-LN(2)/25))/(LN(2)/25)*Calculateur!V90*Calculateur!X90*VLOOKUP('Données projet'!$B$9,Paramètres!$A$1:$I$89,3,0)*0.475*44/12</f>
        <v>2.8851982896630015</v>
      </c>
      <c r="AB90" s="23">
        <f>EXP(-LN(2)/2)*AB89+(1-EXP(-LN(2)/2))/(LN(2)/2)*V90*Y90*VLOOKUP('Données projet'!$B$9,Paramètres!$A$1:$I$89,3,0)*0.475*44/12</f>
        <v>1.2773870539601261E-8</v>
      </c>
      <c r="AC90" s="24">
        <f t="shared" si="57"/>
        <v>10.065322211176687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4.9658410716801891E-14</v>
      </c>
      <c r="AK90" s="14">
        <f t="shared" si="89"/>
        <v>8.0934058173791862E-13</v>
      </c>
      <c r="AL90" s="22">
        <f t="shared" si="58"/>
        <v>1.4960899118586383E-12</v>
      </c>
      <c r="AM90" s="62">
        <f t="shared" si="59"/>
        <v>293.33333333333479</v>
      </c>
      <c r="AN90" s="62">
        <f ca="1">AVERAGE(OFFSET($AM$3,0,0,'Données projet'!$E$10+1,1))-AVERAGE(OFFSET($H$3,0,0,'Données projet'!$E$10+1,1))</f>
        <v>321.62968871874483</v>
      </c>
      <c r="AO90" s="62">
        <f t="shared" si="90"/>
        <v>389.91636841473559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1.1818490580581564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9.6234468622830688E-8</v>
      </c>
      <c r="AX90" s="23">
        <f t="shared" si="60"/>
        <v>1.181849154292625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317.99999999999972</v>
      </c>
      <c r="BE90" s="14">
        <f>BD90*VLOOKUP('Données projet'!$B$11,Paramètres!$A$1:$I$89,3,0)*VLOOKUP('Données projet'!$B$11,Paramètres!$A$1:$I$89,5,0)</f>
        <v>233.1575999999998</v>
      </c>
      <c r="BF90" s="14">
        <f t="shared" si="91"/>
        <v>56.964885721091697</v>
      </c>
      <c r="BG90" s="22">
        <f t="shared" si="61"/>
        <v>505.29666263090093</v>
      </c>
      <c r="BH90" s="62">
        <f t="shared" si="62"/>
        <v>798.62999596423424</v>
      </c>
      <c r="BI90" s="62">
        <f ca="1">AVERAGE(OFFSET($BH$3,0,0,'Données projet'!$E$11+1,1))-AVERAGE(OFFSET($H$3,0,0,'Données projet'!$E$11+1,1))</f>
        <v>327.81662150328646</v>
      </c>
      <c r="BJ90" s="62">
        <f t="shared" si="92"/>
        <v>320.24200483294322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3.7527875643455355E-8</v>
      </c>
      <c r="BS90" s="24">
        <f t="shared" si="63"/>
        <v>3.7527875643455355E-8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2.8421709430404007E-14</v>
      </c>
      <c r="BZ90" s="14">
        <f>BY90*VLOOKUP('Données projet'!$B$12,Paramètres!$A$1:$I$89,3,0)*VLOOKUP('Données projet'!$B$12,Paramètres!$A$1:$I$89,5,0)</f>
        <v>1.5518253349000589E-14</v>
      </c>
      <c r="CA90" s="14">
        <f t="shared" si="93"/>
        <v>2.8958815659671149E-13</v>
      </c>
      <c r="CB90" s="22">
        <f t="shared" si="64"/>
        <v>5.3139366398878183E-13</v>
      </c>
      <c r="CC90" s="62">
        <f t="shared" si="65"/>
        <v>293.33333333333383</v>
      </c>
      <c r="CD90" s="62">
        <f ca="1">AVERAGE(OFFSET($CC$3,0,0,'Données projet'!$E$12+1,1))-AVERAGE(OFFSET($H$3,0,0,'Données projet'!$E$12+1,1))</f>
        <v>170.27677128684815</v>
      </c>
      <c r="CE90" s="62">
        <f t="shared" si="94"/>
        <v>243.47439640666289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1.3935835795599549</v>
      </c>
      <c r="CL90" s="23">
        <f>EXP(-LN(2)/25)*CL89+(1-EXP(-LN(2)/25))/(LN(2)/25)*Calculateur!CG90*Calculateur!CI90*VLOOKUP('Données projet'!$B$12,Paramètres!$A$1:$I$89,3,0)*0.475*44/12</f>
        <v>3.7266055339568429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5.1201891135167976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0</v>
      </c>
      <c r="CZ90" s="62">
        <f t="shared" si="96"/>
        <v>0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-4.5474735088646412E-13</v>
      </c>
      <c r="O91" s="14">
        <f>N91*VLOOKUP('Données projet'!$B$9,Paramètres!$A$1:$I$89,3,0)*VLOOKUP('Données projet'!$B$9,Paramètres!$A$1:$I$89,5,0)</f>
        <v>-2.5420376914553347E-13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388.88381485322674</v>
      </c>
      <c r="T91" s="62">
        <f t="shared" si="88"/>
        <v>355.82695155276218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7.0393260583325779</v>
      </c>
      <c r="AA91" s="23">
        <f>EXP(-LN(2)/25)*AA90+(1-EXP(-LN(2)/25))/(LN(2)/25)*Calculateur!V91*Calculateur!X91*VLOOKUP('Données projet'!$B$9,Paramètres!$A$1:$I$89,3,0)*0.475*44/12</f>
        <v>2.806302390706183</v>
      </c>
      <c r="AB91" s="23">
        <f>EXP(-LN(2)/2)*AB90+(1-EXP(-LN(2)/2))/(LN(2)/2)*V91*Y91*VLOOKUP('Données projet'!$B$9,Paramètres!$A$1:$I$89,3,0)*0.475*44/12</f>
        <v>9.0324904805511146E-9</v>
      </c>
      <c r="AC91" s="24">
        <f t="shared" si="57"/>
        <v>9.8456284580712516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4.9658410716801891E-14</v>
      </c>
      <c r="AK91" s="14">
        <f t="shared" si="89"/>
        <v>8.0934058173791862E-13</v>
      </c>
      <c r="AL91" s="22">
        <f t="shared" si="58"/>
        <v>1.4960899118586383E-12</v>
      </c>
      <c r="AM91" s="62">
        <f t="shared" si="59"/>
        <v>293.33333333333479</v>
      </c>
      <c r="AN91" s="62">
        <f ca="1">AVERAGE(OFFSET($AM$3,0,0,'Données projet'!$E$10+1,1))-AVERAGE(OFFSET($H$3,0,0,'Données projet'!$E$10+1,1))</f>
        <v>321.62968871874483</v>
      </c>
      <c r="AO91" s="62">
        <f t="shared" si="90"/>
        <v>389.91636841473559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1.1586737188863827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6.8048045347087612E-8</v>
      </c>
      <c r="AX91" s="23">
        <f t="shared" si="60"/>
        <v>1.1586737869344281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317.99999999999972</v>
      </c>
      <c r="BE91" s="14">
        <f>BD91*VLOOKUP('Données projet'!$B$11,Paramètres!$A$1:$I$89,3,0)*VLOOKUP('Données projet'!$B$11,Paramètres!$A$1:$I$89,5,0)</f>
        <v>233.1575999999998</v>
      </c>
      <c r="BF91" s="14">
        <f t="shared" si="91"/>
        <v>56.964885721091697</v>
      </c>
      <c r="BG91" s="22">
        <f t="shared" si="61"/>
        <v>505.29666263090093</v>
      </c>
      <c r="BH91" s="62">
        <f t="shared" si="62"/>
        <v>798.62999596423424</v>
      </c>
      <c r="BI91" s="62">
        <f ca="1">AVERAGE(OFFSET($BH$3,0,0,'Données projet'!$E$11+1,1))-AVERAGE(OFFSET($H$3,0,0,'Données projet'!$E$11+1,1))</f>
        <v>327.81662150328646</v>
      </c>
      <c r="BJ91" s="62">
        <f t="shared" si="92"/>
        <v>320.24200483294322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2.6536215351012752E-8</v>
      </c>
      <c r="BS91" s="24">
        <f t="shared" si="63"/>
        <v>2.6536215351012752E-8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2.8421709430404007E-14</v>
      </c>
      <c r="BZ91" s="14">
        <f>BY91*VLOOKUP('Données projet'!$B$12,Paramètres!$A$1:$I$89,3,0)*VLOOKUP('Données projet'!$B$12,Paramètres!$A$1:$I$89,5,0)</f>
        <v>1.5518253349000589E-14</v>
      </c>
      <c r="CA91" s="14">
        <f t="shared" si="93"/>
        <v>2.8958815659671149E-13</v>
      </c>
      <c r="CB91" s="22">
        <f t="shared" si="64"/>
        <v>5.3139366398878183E-13</v>
      </c>
      <c r="CC91" s="62">
        <f t="shared" si="65"/>
        <v>293.33333333333383</v>
      </c>
      <c r="CD91" s="62">
        <f ca="1">AVERAGE(OFFSET($CC$3,0,0,'Données projet'!$E$12+1,1))-AVERAGE(OFFSET($H$3,0,0,'Données projet'!$E$12+1,1))</f>
        <v>170.27677128684815</v>
      </c>
      <c r="CE91" s="62">
        <f t="shared" si="94"/>
        <v>243.47439640666289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1.3662562555668369</v>
      </c>
      <c r="CL91" s="23">
        <f>EXP(-LN(2)/25)*CL90+(1-EXP(-LN(2)/25))/(LN(2)/25)*Calculateur!CG91*Calculateur!CI91*VLOOKUP('Données projet'!$B$12,Paramètres!$A$1:$I$89,3,0)*0.475*44/12</f>
        <v>3.6247013096571252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4.9909575652239617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0</v>
      </c>
      <c r="CZ91" s="62">
        <f t="shared" si="96"/>
        <v>0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-4.5474735088646412E-13</v>
      </c>
      <c r="O92" s="14">
        <f>N92*VLOOKUP('Données projet'!$B$9,Paramètres!$A$1:$I$89,3,0)*VLOOKUP('Données projet'!$B$9,Paramètres!$A$1:$I$89,5,0)</f>
        <v>-2.5420376914553347E-13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388.88381485322674</v>
      </c>
      <c r="T92" s="62">
        <f t="shared" si="88"/>
        <v>355.82695155276218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6.9012891678936175</v>
      </c>
      <c r="AA92" s="23">
        <f>EXP(-LN(2)/25)*AA91+(1-EXP(-LN(2)/25))/(LN(2)/25)*Calculateur!V92*Calculateur!X92*VLOOKUP('Données projet'!$B$9,Paramètres!$A$1:$I$89,3,0)*0.475*44/12</f>
        <v>2.7295639042552935</v>
      </c>
      <c r="AB92" s="23">
        <f>EXP(-LN(2)/2)*AB91+(1-EXP(-LN(2)/2))/(LN(2)/2)*V92*Y92*VLOOKUP('Données projet'!$B$9,Paramètres!$A$1:$I$89,3,0)*0.475*44/12</f>
        <v>6.3869352698006305E-9</v>
      </c>
      <c r="AC92" s="24">
        <f t="shared" si="57"/>
        <v>9.6308530785358464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4.9658410716801891E-14</v>
      </c>
      <c r="AK92" s="14">
        <f t="shared" si="89"/>
        <v>8.0934058173791862E-13</v>
      </c>
      <c r="AL92" s="22">
        <f t="shared" si="58"/>
        <v>1.4960899118586383E-12</v>
      </c>
      <c r="AM92" s="62">
        <f t="shared" si="59"/>
        <v>293.33333333333479</v>
      </c>
      <c r="AN92" s="62">
        <f ca="1">AVERAGE(OFFSET($AM$3,0,0,'Données projet'!$E$10+1,1))-AVERAGE(OFFSET($H$3,0,0,'Données projet'!$E$10+1,1))</f>
        <v>321.62968871874483</v>
      </c>
      <c r="AO92" s="62">
        <f t="shared" si="90"/>
        <v>389.91636841473559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1.1359528339802063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4.8117234311415344E-8</v>
      </c>
      <c r="AX92" s="23">
        <f t="shared" si="60"/>
        <v>1.1359528820974407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317.99999999999972</v>
      </c>
      <c r="BE92" s="14">
        <f>BD92*VLOOKUP('Données projet'!$B$11,Paramètres!$A$1:$I$89,3,0)*VLOOKUP('Données projet'!$B$11,Paramètres!$A$1:$I$89,5,0)</f>
        <v>233.1575999999998</v>
      </c>
      <c r="BF92" s="14">
        <f t="shared" si="91"/>
        <v>56.964885721091697</v>
      </c>
      <c r="BG92" s="22">
        <f t="shared" si="61"/>
        <v>505.29666263090093</v>
      </c>
      <c r="BH92" s="62">
        <f t="shared" si="62"/>
        <v>798.62999596423424</v>
      </c>
      <c r="BI92" s="62">
        <f ca="1">AVERAGE(OFFSET($BH$3,0,0,'Données projet'!$E$11+1,1))-AVERAGE(OFFSET($H$3,0,0,'Données projet'!$E$11+1,1))</f>
        <v>327.81662150328646</v>
      </c>
      <c r="BJ92" s="62">
        <f t="shared" si="92"/>
        <v>320.24200483294322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1.8763937821727677E-8</v>
      </c>
      <c r="BS92" s="24">
        <f t="shared" si="63"/>
        <v>1.8763937821727677E-8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2.8421709430404007E-14</v>
      </c>
      <c r="BZ92" s="14">
        <f>BY92*VLOOKUP('Données projet'!$B$12,Paramètres!$A$1:$I$89,3,0)*VLOOKUP('Données projet'!$B$12,Paramètres!$A$1:$I$89,5,0)</f>
        <v>1.5518253349000589E-14</v>
      </c>
      <c r="CA92" s="14">
        <f t="shared" si="93"/>
        <v>2.8958815659671149E-13</v>
      </c>
      <c r="CB92" s="22">
        <f t="shared" si="64"/>
        <v>5.3139366398878183E-13</v>
      </c>
      <c r="CC92" s="62">
        <f t="shared" si="65"/>
        <v>293.33333333333383</v>
      </c>
      <c r="CD92" s="62">
        <f ca="1">AVERAGE(OFFSET($CC$3,0,0,'Données projet'!$E$12+1,1))-AVERAGE(OFFSET($H$3,0,0,'Données projet'!$E$12+1,1))</f>
        <v>170.27677128684815</v>
      </c>
      <c r="CE92" s="62">
        <f t="shared" si="94"/>
        <v>243.47439640666289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1.3394648037292023</v>
      </c>
      <c r="CL92" s="23">
        <f>EXP(-LN(2)/25)*CL91+(1-EXP(-LN(2)/25))/(LN(2)/25)*Calculateur!CG92*Calculateur!CI92*VLOOKUP('Données projet'!$B$12,Paramètres!$A$1:$I$89,3,0)*0.475*44/12</f>
        <v>3.5255836617297938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4.8650484654589956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0</v>
      </c>
      <c r="CZ92" s="62">
        <f t="shared" si="96"/>
        <v>0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-4.5474735088646412E-13</v>
      </c>
      <c r="O93" s="14">
        <f>N93*VLOOKUP('Données projet'!$B$9,Paramètres!$A$1:$I$89,3,0)*VLOOKUP('Données projet'!$B$9,Paramètres!$A$1:$I$89,5,0)</f>
        <v>-2.5420376914553347E-13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388.88381485322674</v>
      </c>
      <c r="T93" s="62">
        <f t="shared" si="88"/>
        <v>355.82695155276218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6.7659590966819749</v>
      </c>
      <c r="AA93" s="23">
        <f>EXP(-LN(2)/25)*AA92+(1-EXP(-LN(2)/25))/(LN(2)/25)*Calculateur!V93*Calculateur!X93*VLOOKUP('Données projet'!$B$9,Paramètres!$A$1:$I$89,3,0)*0.475*44/12</f>
        <v>2.6549238357519052</v>
      </c>
      <c r="AB93" s="23">
        <f>EXP(-LN(2)/2)*AB92+(1-EXP(-LN(2)/2))/(LN(2)/2)*V93*Y93*VLOOKUP('Données projet'!$B$9,Paramètres!$A$1:$I$89,3,0)*0.475*44/12</f>
        <v>4.5162452402755573E-9</v>
      </c>
      <c r="AC93" s="24">
        <f t="shared" si="57"/>
        <v>9.4208829369501252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4.9658410716801891E-14</v>
      </c>
      <c r="AK93" s="14">
        <f t="shared" si="89"/>
        <v>8.0934058173791862E-13</v>
      </c>
      <c r="AL93" s="22">
        <f t="shared" si="58"/>
        <v>1.4960899118586383E-12</v>
      </c>
      <c r="AM93" s="62">
        <f t="shared" si="59"/>
        <v>293.33333333333479</v>
      </c>
      <c r="AN93" s="62">
        <f ca="1">AVERAGE(OFFSET($AM$3,0,0,'Données projet'!$E$10+1,1))-AVERAGE(OFFSET($H$3,0,0,'Données projet'!$E$10+1,1))</f>
        <v>321.62968871874483</v>
      </c>
      <c r="AO93" s="62">
        <f t="shared" si="90"/>
        <v>389.91636841473559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1.1136774917686687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3.4024022673543806E-8</v>
      </c>
      <c r="AX93" s="23">
        <f t="shared" si="60"/>
        <v>1.1136775257926914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317.99999999999972</v>
      </c>
      <c r="BE93" s="14">
        <f>BD93*VLOOKUP('Données projet'!$B$11,Paramètres!$A$1:$I$89,3,0)*VLOOKUP('Données projet'!$B$11,Paramètres!$A$1:$I$89,5,0)</f>
        <v>233.1575999999998</v>
      </c>
      <c r="BF93" s="14">
        <f t="shared" si="91"/>
        <v>56.964885721091697</v>
      </c>
      <c r="BG93" s="22">
        <f t="shared" si="61"/>
        <v>505.29666263090093</v>
      </c>
      <c r="BH93" s="62">
        <f t="shared" si="62"/>
        <v>798.62999596423424</v>
      </c>
      <c r="BI93" s="62">
        <f ca="1">AVERAGE(OFFSET($BH$3,0,0,'Données projet'!$E$11+1,1))-AVERAGE(OFFSET($H$3,0,0,'Données projet'!$E$11+1,1))</f>
        <v>327.81662150328646</v>
      </c>
      <c r="BJ93" s="62">
        <f t="shared" si="92"/>
        <v>320.24200483294322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1.3268107675506376E-8</v>
      </c>
      <c r="BS93" s="24">
        <f t="shared" si="63"/>
        <v>1.3268107675506376E-8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2.8421709430404007E-14</v>
      </c>
      <c r="BZ93" s="14">
        <f>BY93*VLOOKUP('Données projet'!$B$12,Paramètres!$A$1:$I$89,3,0)*VLOOKUP('Données projet'!$B$12,Paramètres!$A$1:$I$89,5,0)</f>
        <v>1.5518253349000589E-14</v>
      </c>
      <c r="CA93" s="14">
        <f t="shared" si="93"/>
        <v>2.8958815659671149E-13</v>
      </c>
      <c r="CB93" s="22">
        <f t="shared" si="64"/>
        <v>5.3139366398878183E-13</v>
      </c>
      <c r="CC93" s="62">
        <f t="shared" si="65"/>
        <v>293.33333333333383</v>
      </c>
      <c r="CD93" s="62">
        <f ca="1">AVERAGE(OFFSET($CC$3,0,0,'Données projet'!$E$12+1,1))-AVERAGE(OFFSET($H$3,0,0,'Données projet'!$E$12+1,1))</f>
        <v>170.27677128684815</v>
      </c>
      <c r="CE93" s="62">
        <f t="shared" si="94"/>
        <v>243.47439640666289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1.3131987159209315</v>
      </c>
      <c r="CL93" s="23">
        <f>EXP(-LN(2)/25)*CL92+(1-EXP(-LN(2)/25))/(LN(2)/25)*Calculateur!CG93*Calculateur!CI93*VLOOKUP('Données projet'!$B$12,Paramètres!$A$1:$I$89,3,0)*0.475*44/12</f>
        <v>3.4291763910974056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4.7423751070183373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0</v>
      </c>
      <c r="CZ93" s="62">
        <f t="shared" si="96"/>
        <v>0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-4.5474735088646412E-13</v>
      </c>
      <c r="O94" s="14">
        <f>N94*VLOOKUP('Données projet'!$B$9,Paramètres!$A$1:$I$89,3,0)*VLOOKUP('Données projet'!$B$9,Paramètres!$A$1:$I$89,5,0)</f>
        <v>-2.5420376914553347E-13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388.88381485322674</v>
      </c>
      <c r="T94" s="62">
        <f t="shared" si="88"/>
        <v>355.82695155276218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6.6332827656236004</v>
      </c>
      <c r="AA94" s="23">
        <f>EXP(-LN(2)/25)*AA93+(1-EXP(-LN(2)/25))/(LN(2)/25)*Calculateur!V94*Calculateur!X94*VLOOKUP('Données projet'!$B$9,Paramètres!$A$1:$I$89,3,0)*0.475*44/12</f>
        <v>2.5823248038468929</v>
      </c>
      <c r="AB94" s="23">
        <f>EXP(-LN(2)/2)*AB93+(1-EXP(-LN(2)/2))/(LN(2)/2)*V94*Y94*VLOOKUP('Données projet'!$B$9,Paramètres!$A$1:$I$89,3,0)*0.475*44/12</f>
        <v>3.1934676349003153E-9</v>
      </c>
      <c r="AC94" s="24">
        <f t="shared" si="57"/>
        <v>9.2156075726639592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4.9658410716801891E-14</v>
      </c>
      <c r="AK94" s="14">
        <f t="shared" si="89"/>
        <v>8.0934058173791862E-13</v>
      </c>
      <c r="AL94" s="22">
        <f t="shared" si="58"/>
        <v>1.4960899118586383E-12</v>
      </c>
      <c r="AM94" s="62">
        <f t="shared" si="59"/>
        <v>293.33333333333479</v>
      </c>
      <c r="AN94" s="62">
        <f ca="1">AVERAGE(OFFSET($AM$3,0,0,'Données projet'!$E$10+1,1))-AVERAGE(OFFSET($H$3,0,0,'Données projet'!$E$10+1,1))</f>
        <v>321.62968871874483</v>
      </c>
      <c r="AO94" s="62">
        <f t="shared" si="90"/>
        <v>389.91636841473559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1.0918389554312822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2.4058617155707672E-8</v>
      </c>
      <c r="AX94" s="23">
        <f t="shared" si="60"/>
        <v>1.0918389794898993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317.99999999999972</v>
      </c>
      <c r="BE94" s="14">
        <f>BD94*VLOOKUP('Données projet'!$B$11,Paramètres!$A$1:$I$89,3,0)*VLOOKUP('Données projet'!$B$11,Paramètres!$A$1:$I$89,5,0)</f>
        <v>233.1575999999998</v>
      </c>
      <c r="BF94" s="14">
        <f t="shared" si="91"/>
        <v>56.964885721091697</v>
      </c>
      <c r="BG94" s="22">
        <f t="shared" si="61"/>
        <v>505.29666263090093</v>
      </c>
      <c r="BH94" s="62">
        <f t="shared" si="62"/>
        <v>798.62999596423424</v>
      </c>
      <c r="BI94" s="62">
        <f ca="1">AVERAGE(OFFSET($BH$3,0,0,'Données projet'!$E$11+1,1))-AVERAGE(OFFSET($H$3,0,0,'Données projet'!$E$11+1,1))</f>
        <v>327.81662150328646</v>
      </c>
      <c r="BJ94" s="62">
        <f t="shared" si="92"/>
        <v>320.24200483294322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9.3819689108638387E-9</v>
      </c>
      <c r="BS94" s="24">
        <f t="shared" si="63"/>
        <v>9.3819689108638387E-9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2.8421709430404007E-14</v>
      </c>
      <c r="BZ94" s="14">
        <f>BY94*VLOOKUP('Données projet'!$B$12,Paramètres!$A$1:$I$89,3,0)*VLOOKUP('Données projet'!$B$12,Paramètres!$A$1:$I$89,5,0)</f>
        <v>1.5518253349000589E-14</v>
      </c>
      <c r="CA94" s="14">
        <f t="shared" si="93"/>
        <v>2.8958815659671149E-13</v>
      </c>
      <c r="CB94" s="22">
        <f t="shared" si="64"/>
        <v>5.3139366398878183E-13</v>
      </c>
      <c r="CC94" s="62">
        <f t="shared" si="65"/>
        <v>293.33333333333383</v>
      </c>
      <c r="CD94" s="62">
        <f ca="1">AVERAGE(OFFSET($CC$3,0,0,'Données projet'!$E$12+1,1))-AVERAGE(OFFSET($H$3,0,0,'Données projet'!$E$12+1,1))</f>
        <v>170.27677128684815</v>
      </c>
      <c r="CE94" s="62">
        <f t="shared" si="94"/>
        <v>243.47439640666289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1.2874476900738494</v>
      </c>
      <c r="CL94" s="23">
        <f>EXP(-LN(2)/25)*CL93+(1-EXP(-LN(2)/25))/(LN(2)/25)*Calculateur!CG94*Calculateur!CI94*VLOOKUP('Données projet'!$B$12,Paramètres!$A$1:$I$89,3,0)*0.475*44/12</f>
        <v>3.3354053823502983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4.6228530724241477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0</v>
      </c>
      <c r="CZ94" s="62">
        <f t="shared" si="96"/>
        <v>0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-4.5474735088646412E-13</v>
      </c>
      <c r="O95" s="14">
        <f>N95*VLOOKUP('Données projet'!$B$9,Paramètres!$A$1:$I$89,3,0)*VLOOKUP('Données projet'!$B$9,Paramètres!$A$1:$I$89,5,0)</f>
        <v>-2.5420376914553347E-13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388.88381485322674</v>
      </c>
      <c r="T95" s="62">
        <f t="shared" si="88"/>
        <v>355.82695155276218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6.5032081364927086</v>
      </c>
      <c r="AA95" s="23">
        <f>EXP(-LN(2)/25)*AA94+(1-EXP(-LN(2)/25))/(LN(2)/25)*Calculateur!V95*Calculateur!X95*VLOOKUP('Données projet'!$B$9,Paramètres!$A$1:$I$89,3,0)*0.475*44/12</f>
        <v>2.5117109962871402</v>
      </c>
      <c r="AB95" s="23">
        <f>EXP(-LN(2)/2)*AB94+(1-EXP(-LN(2)/2))/(LN(2)/2)*V95*Y95*VLOOKUP('Données projet'!$B$9,Paramètres!$A$1:$I$89,3,0)*0.475*44/12</f>
        <v>2.2581226201377787E-9</v>
      </c>
      <c r="AC95" s="24">
        <f t="shared" si="57"/>
        <v>9.0149191350379709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4.9658410716801891E-14</v>
      </c>
      <c r="AK95" s="14">
        <f t="shared" si="89"/>
        <v>8.0934058173791862E-13</v>
      </c>
      <c r="AL95" s="22">
        <f t="shared" si="58"/>
        <v>1.4960899118586383E-12</v>
      </c>
      <c r="AM95" s="62">
        <f t="shared" si="59"/>
        <v>293.33333333333479</v>
      </c>
      <c r="AN95" s="62">
        <f ca="1">AVERAGE(OFFSET($AM$3,0,0,'Données projet'!$E$10+1,1))-AVERAGE(OFFSET($H$3,0,0,'Données projet'!$E$10+1,1))</f>
        <v>321.62968871874483</v>
      </c>
      <c r="AO95" s="62">
        <f t="shared" si="90"/>
        <v>389.91636841473559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1.0704286594712797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1.7012011336771903E-8</v>
      </c>
      <c r="AX95" s="23">
        <f t="shared" si="60"/>
        <v>1.0704286764832911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317.99999999999972</v>
      </c>
      <c r="BE95" s="14">
        <f>BD95*VLOOKUP('Données projet'!$B$11,Paramètres!$A$1:$I$89,3,0)*VLOOKUP('Données projet'!$B$11,Paramètres!$A$1:$I$89,5,0)</f>
        <v>233.1575999999998</v>
      </c>
      <c r="BF95" s="14">
        <f t="shared" si="91"/>
        <v>56.964885721091697</v>
      </c>
      <c r="BG95" s="22">
        <f t="shared" si="61"/>
        <v>505.29666263090093</v>
      </c>
      <c r="BH95" s="62">
        <f t="shared" si="62"/>
        <v>798.62999596423424</v>
      </c>
      <c r="BI95" s="62">
        <f ca="1">AVERAGE(OFFSET($BH$3,0,0,'Données projet'!$E$11+1,1))-AVERAGE(OFFSET($H$3,0,0,'Données projet'!$E$11+1,1))</f>
        <v>327.81662150328646</v>
      </c>
      <c r="BJ95" s="62">
        <f t="shared" si="92"/>
        <v>320.24200483294322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6.634053837753188E-9</v>
      </c>
      <c r="BS95" s="24">
        <f t="shared" si="63"/>
        <v>6.634053837753188E-9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2.8421709430404007E-14</v>
      </c>
      <c r="BZ95" s="14">
        <f>BY95*VLOOKUP('Données projet'!$B$12,Paramètres!$A$1:$I$89,3,0)*VLOOKUP('Données projet'!$B$12,Paramètres!$A$1:$I$89,5,0)</f>
        <v>1.5518253349000589E-14</v>
      </c>
      <c r="CA95" s="14">
        <f t="shared" si="93"/>
        <v>2.8958815659671149E-13</v>
      </c>
      <c r="CB95" s="22">
        <f t="shared" si="64"/>
        <v>5.3139366398878183E-13</v>
      </c>
      <c r="CC95" s="62">
        <f t="shared" si="65"/>
        <v>293.33333333333383</v>
      </c>
      <c r="CD95" s="62">
        <f ca="1">AVERAGE(OFFSET($CC$3,0,0,'Données projet'!$E$12+1,1))-AVERAGE(OFFSET($H$3,0,0,'Données projet'!$E$12+1,1))</f>
        <v>170.27677128684815</v>
      </c>
      <c r="CE95" s="62">
        <f t="shared" si="94"/>
        <v>243.47439640666289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1.2622016261370537</v>
      </c>
      <c r="CL95" s="23">
        <f>EXP(-LN(2)/25)*CL94+(1-EXP(-LN(2)/25))/(LN(2)/25)*Calculateur!CG95*Calculateur!CI95*VLOOKUP('Données projet'!$B$12,Paramètres!$A$1:$I$89,3,0)*0.475*44/12</f>
        <v>3.2441985467685837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4.5064001729056375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0</v>
      </c>
      <c r="CZ95" s="62">
        <f t="shared" si="96"/>
        <v>0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-4.5474735088646412E-13</v>
      </c>
      <c r="O96" s="14">
        <f>N96*VLOOKUP('Données projet'!$B$9,Paramètres!$A$1:$I$89,3,0)*VLOOKUP('Données projet'!$B$9,Paramètres!$A$1:$I$89,5,0)</f>
        <v>-2.5420376914553347E-13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388.88381485322674</v>
      </c>
      <c r="T96" s="62">
        <f t="shared" si="88"/>
        <v>355.82695155276218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6.3756841915013842</v>
      </c>
      <c r="AA96" s="23">
        <f>EXP(-LN(2)/25)*AA95+(1-EXP(-LN(2)/25))/(LN(2)/25)*Calculateur!V96*Calculateur!X96*VLOOKUP('Données projet'!$B$9,Paramètres!$A$1:$I$89,3,0)*0.475*44/12</f>
        <v>2.4430281270085277</v>
      </c>
      <c r="AB96" s="23">
        <f>EXP(-LN(2)/2)*AB95+(1-EXP(-LN(2)/2))/(LN(2)/2)*V96*Y96*VLOOKUP('Données projet'!$B$9,Paramètres!$A$1:$I$89,3,0)*0.475*44/12</f>
        <v>1.5967338174501576E-9</v>
      </c>
      <c r="AC96" s="24">
        <f t="shared" si="57"/>
        <v>8.8187123201066449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4.9658410716801891E-14</v>
      </c>
      <c r="AK96" s="14">
        <f t="shared" si="89"/>
        <v>8.0934058173791862E-13</v>
      </c>
      <c r="AL96" s="22">
        <f t="shared" si="58"/>
        <v>1.4960899118586383E-12</v>
      </c>
      <c r="AM96" s="62">
        <f t="shared" si="59"/>
        <v>293.33333333333479</v>
      </c>
      <c r="AN96" s="62">
        <f ca="1">AVERAGE(OFFSET($AM$3,0,0,'Données projet'!$E$10+1,1))-AVERAGE(OFFSET($H$3,0,0,'Données projet'!$E$10+1,1))</f>
        <v>321.62968871874483</v>
      </c>
      <c r="AO96" s="62">
        <f t="shared" si="90"/>
        <v>389.91636841473559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1.0494382063560621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1.2029308577853836E-8</v>
      </c>
      <c r="AX96" s="23">
        <f t="shared" si="60"/>
        <v>1.0494382183853708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317.99999999999972</v>
      </c>
      <c r="BE96" s="14">
        <f>BD96*VLOOKUP('Données projet'!$B$11,Paramètres!$A$1:$I$89,3,0)*VLOOKUP('Données projet'!$B$11,Paramètres!$A$1:$I$89,5,0)</f>
        <v>233.1575999999998</v>
      </c>
      <c r="BF96" s="14">
        <f t="shared" si="91"/>
        <v>56.964885721091697</v>
      </c>
      <c r="BG96" s="22">
        <f t="shared" si="61"/>
        <v>505.29666263090093</v>
      </c>
      <c r="BH96" s="62">
        <f t="shared" si="62"/>
        <v>798.62999596423424</v>
      </c>
      <c r="BI96" s="62">
        <f ca="1">AVERAGE(OFFSET($BH$3,0,0,'Données projet'!$E$11+1,1))-AVERAGE(OFFSET($H$3,0,0,'Données projet'!$E$11+1,1))</f>
        <v>327.81662150328646</v>
      </c>
      <c r="BJ96" s="62">
        <f t="shared" si="92"/>
        <v>320.24200483294322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4.6909844554319193E-9</v>
      </c>
      <c r="BS96" s="24">
        <f t="shared" si="63"/>
        <v>4.6909844554319193E-9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2.8421709430404007E-14</v>
      </c>
      <c r="BZ96" s="14">
        <f>BY96*VLOOKUP('Données projet'!$B$12,Paramètres!$A$1:$I$89,3,0)*VLOOKUP('Données projet'!$B$12,Paramètres!$A$1:$I$89,5,0)</f>
        <v>1.5518253349000589E-14</v>
      </c>
      <c r="CA96" s="14">
        <f t="shared" si="93"/>
        <v>2.8958815659671149E-13</v>
      </c>
      <c r="CB96" s="22">
        <f t="shared" si="64"/>
        <v>5.3139366398878183E-13</v>
      </c>
      <c r="CC96" s="62">
        <f t="shared" si="65"/>
        <v>293.33333333333383</v>
      </c>
      <c r="CD96" s="62">
        <f ca="1">AVERAGE(OFFSET($CC$3,0,0,'Données projet'!$E$12+1,1))-AVERAGE(OFFSET($H$3,0,0,'Données projet'!$E$12+1,1))</f>
        <v>170.27677128684815</v>
      </c>
      <c r="CE96" s="62">
        <f t="shared" si="94"/>
        <v>243.47439640666289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1.23745062211548</v>
      </c>
      <c r="CL96" s="23">
        <f>EXP(-LN(2)/25)*CL95+(1-EXP(-LN(2)/25))/(LN(2)/25)*Calculateur!CG96*Calculateur!CI96*VLOOKUP('Données projet'!$B$12,Paramètres!$A$1:$I$89,3,0)*0.475*44/12</f>
        <v>3.1554857669022098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4.3929363890176898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0</v>
      </c>
      <c r="CZ96" s="62">
        <f t="shared" si="96"/>
        <v>0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-4.5474735088646412E-13</v>
      </c>
      <c r="O97" s="14">
        <f>N97*VLOOKUP('Données projet'!$B$9,Paramètres!$A$1:$I$89,3,0)*VLOOKUP('Données projet'!$B$9,Paramètres!$A$1:$I$89,5,0)</f>
        <v>-2.5420376914553347E-13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388.88381485322674</v>
      </c>
      <c r="T97" s="62">
        <f t="shared" si="88"/>
        <v>355.82695155276218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6.2506609132894138</v>
      </c>
      <c r="AA97" s="23">
        <f>EXP(-LN(2)/25)*AA96+(1-EXP(-LN(2)/25))/(LN(2)/25)*Calculateur!V97*Calculateur!X97*VLOOKUP('Données projet'!$B$9,Paramètres!$A$1:$I$89,3,0)*0.475*44/12</f>
        <v>2.376223394402214</v>
      </c>
      <c r="AB97" s="23">
        <f>EXP(-LN(2)/2)*AB96+(1-EXP(-LN(2)/2))/(LN(2)/2)*V97*Y97*VLOOKUP('Données projet'!$B$9,Paramètres!$A$1:$I$89,3,0)*0.475*44/12</f>
        <v>1.1290613100688893E-9</v>
      </c>
      <c r="AC97" s="24">
        <f t="shared" si="57"/>
        <v>8.6268843088206886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4.9658410716801891E-14</v>
      </c>
      <c r="AK97" s="14">
        <f t="shared" si="89"/>
        <v>8.0934058173791862E-13</v>
      </c>
      <c r="AL97" s="22">
        <f t="shared" si="58"/>
        <v>1.4960899118586383E-12</v>
      </c>
      <c r="AM97" s="62">
        <f t="shared" si="59"/>
        <v>293.33333333333479</v>
      </c>
      <c r="AN97" s="62">
        <f ca="1">AVERAGE(OFFSET($AM$3,0,0,'Données projet'!$E$10+1,1))-AVERAGE(OFFSET($H$3,0,0,'Données projet'!$E$10+1,1))</f>
        <v>321.62968871874483</v>
      </c>
      <c r="AO97" s="62">
        <f t="shared" si="90"/>
        <v>389.91636841473559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1.0288593632235217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8.5060056683859514E-9</v>
      </c>
      <c r="AX97" s="23">
        <f t="shared" si="60"/>
        <v>1.0288593717295273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317.99999999999972</v>
      </c>
      <c r="BE97" s="14">
        <f>BD97*VLOOKUP('Données projet'!$B$11,Paramètres!$A$1:$I$89,3,0)*VLOOKUP('Données projet'!$B$11,Paramètres!$A$1:$I$89,5,0)</f>
        <v>233.1575999999998</v>
      </c>
      <c r="BF97" s="14">
        <f t="shared" si="91"/>
        <v>56.964885721091697</v>
      </c>
      <c r="BG97" s="22">
        <f t="shared" si="61"/>
        <v>505.29666263090093</v>
      </c>
      <c r="BH97" s="62">
        <f t="shared" si="62"/>
        <v>798.62999596423424</v>
      </c>
      <c r="BI97" s="62">
        <f ca="1">AVERAGE(OFFSET($BH$3,0,0,'Données projet'!$E$11+1,1))-AVERAGE(OFFSET($H$3,0,0,'Données projet'!$E$11+1,1))</f>
        <v>327.81662150328646</v>
      </c>
      <c r="BJ97" s="62">
        <f t="shared" si="92"/>
        <v>320.24200483294322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3.317026918876594E-9</v>
      </c>
      <c r="BS97" s="24">
        <f t="shared" si="63"/>
        <v>3.317026918876594E-9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2.8421709430404007E-14</v>
      </c>
      <c r="BZ97" s="14">
        <f>BY97*VLOOKUP('Données projet'!$B$12,Paramètres!$A$1:$I$89,3,0)*VLOOKUP('Données projet'!$B$12,Paramètres!$A$1:$I$89,5,0)</f>
        <v>1.5518253349000589E-14</v>
      </c>
      <c r="CA97" s="14">
        <f t="shared" si="93"/>
        <v>2.8958815659671149E-13</v>
      </c>
      <c r="CB97" s="22">
        <f t="shared" si="64"/>
        <v>5.3139366398878183E-13</v>
      </c>
      <c r="CC97" s="62">
        <f t="shared" si="65"/>
        <v>293.33333333333383</v>
      </c>
      <c r="CD97" s="62">
        <f ca="1">AVERAGE(OFFSET($CC$3,0,0,'Données projet'!$E$12+1,1))-AVERAGE(OFFSET($H$3,0,0,'Données projet'!$E$12+1,1))</f>
        <v>170.27677128684815</v>
      </c>
      <c r="CE97" s="62">
        <f t="shared" si="94"/>
        <v>243.47439640666289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1.2131849701861475</v>
      </c>
      <c r="CL97" s="23">
        <f>EXP(-LN(2)/25)*CL96+(1-EXP(-LN(2)/25))/(LN(2)/25)*Calculateur!CG97*Calculateur!CI97*VLOOKUP('Données projet'!$B$12,Paramètres!$A$1:$I$89,3,0)*0.475*44/12</f>
        <v>3.0691988426664842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4.2823838128526317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0</v>
      </c>
      <c r="CZ97" s="62">
        <f t="shared" si="96"/>
        <v>0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-4.5474735088646412E-13</v>
      </c>
      <c r="O98" s="14">
        <f>N98*VLOOKUP('Données projet'!$B$9,Paramètres!$A$1:$I$89,3,0)*VLOOKUP('Données projet'!$B$9,Paramètres!$A$1:$I$89,5,0)</f>
        <v>-2.5420376914553347E-13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388.88381485322674</v>
      </c>
      <c r="T98" s="62">
        <f t="shared" si="88"/>
        <v>355.82695155276218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6.1280892653065093</v>
      </c>
      <c r="AA98" s="23">
        <f>EXP(-LN(2)/25)*AA97+(1-EXP(-LN(2)/25))/(LN(2)/25)*Calculateur!V98*Calculateur!X98*VLOOKUP('Données projet'!$B$9,Paramètres!$A$1:$I$89,3,0)*0.475*44/12</f>
        <v>2.3112454407221281</v>
      </c>
      <c r="AB98" s="23">
        <f>EXP(-LN(2)/2)*AB97+(1-EXP(-LN(2)/2))/(LN(2)/2)*V98*Y98*VLOOKUP('Données projet'!$B$9,Paramètres!$A$1:$I$89,3,0)*0.475*44/12</f>
        <v>7.9836690872507882E-10</v>
      </c>
      <c r="AC98" s="24">
        <f t="shared" si="57"/>
        <v>8.4393347068270046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4.9658410716801891E-14</v>
      </c>
      <c r="AK98" s="14">
        <f t="shared" si="89"/>
        <v>8.0934058173791862E-13</v>
      </c>
      <c r="AL98" s="22">
        <f t="shared" si="58"/>
        <v>1.4960899118586383E-12</v>
      </c>
      <c r="AM98" s="62">
        <f t="shared" si="59"/>
        <v>293.33333333333479</v>
      </c>
      <c r="AN98" s="62">
        <f ca="1">AVERAGE(OFFSET($AM$3,0,0,'Données projet'!$E$10+1,1))-AVERAGE(OFFSET($H$3,0,0,'Données projet'!$E$10+1,1))</f>
        <v>321.62968871874483</v>
      </c>
      <c r="AO98" s="62">
        <f t="shared" si="90"/>
        <v>389.91636841473559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1.0086840586529553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6.014654288926918E-9</v>
      </c>
      <c r="AX98" s="23">
        <f t="shared" si="60"/>
        <v>1.0086840646676096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317.99999999999972</v>
      </c>
      <c r="BE98" s="14">
        <f>BD98*VLOOKUP('Données projet'!$B$11,Paramètres!$A$1:$I$89,3,0)*VLOOKUP('Données projet'!$B$11,Paramètres!$A$1:$I$89,5,0)</f>
        <v>233.1575999999998</v>
      </c>
      <c r="BF98" s="14">
        <f t="shared" si="91"/>
        <v>56.964885721091697</v>
      </c>
      <c r="BG98" s="22">
        <f t="shared" si="61"/>
        <v>505.29666263090093</v>
      </c>
      <c r="BH98" s="62">
        <f t="shared" si="62"/>
        <v>798.62999596423424</v>
      </c>
      <c r="BI98" s="62">
        <f ca="1">AVERAGE(OFFSET($BH$3,0,0,'Données projet'!$E$11+1,1))-AVERAGE(OFFSET($H$3,0,0,'Données projet'!$E$11+1,1))</f>
        <v>327.81662150328646</v>
      </c>
      <c r="BJ98" s="62">
        <f t="shared" si="92"/>
        <v>320.24200483294322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2.3454922277159597E-9</v>
      </c>
      <c r="BS98" s="24">
        <f t="shared" si="63"/>
        <v>2.3454922277159597E-9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2.8421709430404007E-14</v>
      </c>
      <c r="BZ98" s="14">
        <f>BY98*VLOOKUP('Données projet'!$B$12,Paramètres!$A$1:$I$89,3,0)*VLOOKUP('Données projet'!$B$12,Paramètres!$A$1:$I$89,5,0)</f>
        <v>1.5518253349000589E-14</v>
      </c>
      <c r="CA98" s="14">
        <f t="shared" si="93"/>
        <v>2.8958815659671149E-13</v>
      </c>
      <c r="CB98" s="22">
        <f t="shared" si="64"/>
        <v>5.3139366398878183E-13</v>
      </c>
      <c r="CC98" s="62">
        <f t="shared" si="65"/>
        <v>293.33333333333383</v>
      </c>
      <c r="CD98" s="62">
        <f ca="1">AVERAGE(OFFSET($CC$3,0,0,'Données projet'!$E$12+1,1))-AVERAGE(OFFSET($H$3,0,0,'Données projet'!$E$12+1,1))</f>
        <v>170.27677128684815</v>
      </c>
      <c r="CE98" s="62">
        <f t="shared" si="94"/>
        <v>243.47439640666289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1.1893951528905631</v>
      </c>
      <c r="CL98" s="23">
        <f>EXP(-LN(2)/25)*CL97+(1-EXP(-LN(2)/25))/(LN(2)/25)*Calculateur!CG98*Calculateur!CI98*VLOOKUP('Données projet'!$B$12,Paramètres!$A$1:$I$89,3,0)*0.475*44/12</f>
        <v>2.9852714389116168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4.1746665918021799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0</v>
      </c>
      <c r="CZ98" s="62">
        <f t="shared" si="96"/>
        <v>0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-4.5474735088646412E-13</v>
      </c>
      <c r="O99" s="14">
        <f>N99*VLOOKUP('Données projet'!$B$9,Paramètres!$A$1:$I$89,3,0)*VLOOKUP('Données projet'!$B$9,Paramètres!$A$1:$I$89,5,0)</f>
        <v>-2.5420376914553347E-13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388.88381485322674</v>
      </c>
      <c r="T99" s="62">
        <f t="shared" si="88"/>
        <v>355.82695155276218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6.007921172579227</v>
      </c>
      <c r="AA99" s="23">
        <f>EXP(-LN(2)/25)*AA98+(1-EXP(-LN(2)/25))/(LN(2)/25)*Calculateur!V99*Calculateur!X99*VLOOKUP('Données projet'!$B$9,Paramètres!$A$1:$I$89,3,0)*0.475*44/12</f>
        <v>2.2480443126024663</v>
      </c>
      <c r="AB99" s="23">
        <f>EXP(-LN(2)/2)*AB98+(1-EXP(-LN(2)/2))/(LN(2)/2)*V99*Y99*VLOOKUP('Données projet'!$B$9,Paramètres!$A$1:$I$89,3,0)*0.475*44/12</f>
        <v>5.6453065503444466E-10</v>
      </c>
      <c r="AC99" s="24">
        <f t="shared" si="57"/>
        <v>8.2559654857462252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4.9658410716801891E-14</v>
      </c>
      <c r="AK99" s="14">
        <f t="shared" si="89"/>
        <v>8.0934058173791862E-13</v>
      </c>
      <c r="AL99" s="22">
        <f t="shared" si="58"/>
        <v>1.4960899118586383E-12</v>
      </c>
      <c r="AM99" s="62">
        <f t="shared" si="59"/>
        <v>293.33333333333479</v>
      </c>
      <c r="AN99" s="62">
        <f ca="1">AVERAGE(OFFSET($AM$3,0,0,'Données projet'!$E$10+1,1))-AVERAGE(OFFSET($H$3,0,0,'Données projet'!$E$10+1,1))</f>
        <v>321.62968871874483</v>
      </c>
      <c r="AO99" s="62">
        <f t="shared" si="90"/>
        <v>389.91636841473559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0.9889043794992971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4.2530028341929757E-9</v>
      </c>
      <c r="AX99" s="23">
        <f t="shared" si="60"/>
        <v>0.98890438375229994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317.99999999999972</v>
      </c>
      <c r="BE99" s="14">
        <f>BD99*VLOOKUP('Données projet'!$B$11,Paramètres!$A$1:$I$89,3,0)*VLOOKUP('Données projet'!$B$11,Paramètres!$A$1:$I$89,5,0)</f>
        <v>233.1575999999998</v>
      </c>
      <c r="BF99" s="14">
        <f t="shared" si="91"/>
        <v>56.964885721091697</v>
      </c>
      <c r="BG99" s="22">
        <f t="shared" si="61"/>
        <v>505.29666263090093</v>
      </c>
      <c r="BH99" s="62">
        <f t="shared" si="62"/>
        <v>798.62999596423424</v>
      </c>
      <c r="BI99" s="62">
        <f ca="1">AVERAGE(OFFSET($BH$3,0,0,'Données projet'!$E$11+1,1))-AVERAGE(OFFSET($H$3,0,0,'Données projet'!$E$11+1,1))</f>
        <v>327.81662150328646</v>
      </c>
      <c r="BJ99" s="62">
        <f t="shared" si="92"/>
        <v>320.24200483294322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1.658513459438297E-9</v>
      </c>
      <c r="BS99" s="24">
        <f t="shared" si="63"/>
        <v>1.658513459438297E-9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2.8421709430404007E-14</v>
      </c>
      <c r="BZ99" s="14">
        <f>BY99*VLOOKUP('Données projet'!$B$12,Paramètres!$A$1:$I$89,3,0)*VLOOKUP('Données projet'!$B$12,Paramètres!$A$1:$I$89,5,0)</f>
        <v>1.5518253349000589E-14</v>
      </c>
      <c r="CA99" s="14">
        <f t="shared" si="93"/>
        <v>2.8958815659671149E-13</v>
      </c>
      <c r="CB99" s="22">
        <f t="shared" si="64"/>
        <v>5.3139366398878183E-13</v>
      </c>
      <c r="CC99" s="62">
        <f t="shared" si="65"/>
        <v>293.33333333333383</v>
      </c>
      <c r="CD99" s="62">
        <f ca="1">AVERAGE(OFFSET($CC$3,0,0,'Données projet'!$E$12+1,1))-AVERAGE(OFFSET($H$3,0,0,'Données projet'!$E$12+1,1))</f>
        <v>170.27677128684815</v>
      </c>
      <c r="CE99" s="62">
        <f t="shared" si="94"/>
        <v>243.47439640666289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1.1660718394017893</v>
      </c>
      <c r="CL99" s="23">
        <f>EXP(-LN(2)/25)*CL98+(1-EXP(-LN(2)/25))/(LN(2)/25)*Calculateur!CG99*Calculateur!CI99*VLOOKUP('Données projet'!$B$12,Paramètres!$A$1:$I$89,3,0)*0.475*44/12</f>
        <v>2.9036390344259768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4.0697108738277663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0</v>
      </c>
      <c r="CZ99" s="62">
        <f t="shared" si="96"/>
        <v>0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-4.5474735088646412E-13</v>
      </c>
      <c r="O100" s="14">
        <f>N100*VLOOKUP('Données projet'!$B$9,Paramètres!$A$1:$I$89,3,0)*VLOOKUP('Données projet'!$B$9,Paramètres!$A$1:$I$89,5,0)</f>
        <v>-2.5420376914553347E-13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388.88381485322674</v>
      </c>
      <c r="T100" s="62">
        <f t="shared" si="88"/>
        <v>355.82695155276218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5.8901095028550277</v>
      </c>
      <c r="AA100" s="23">
        <f>EXP(-LN(2)/25)*AA99+(1-EXP(-LN(2)/25))/(LN(2)/25)*Calculateur!V100*Calculateur!X100*VLOOKUP('Données projet'!$B$9,Paramètres!$A$1:$I$89,3,0)*0.475*44/12</f>
        <v>2.1865714226548394</v>
      </c>
      <c r="AB100" s="23">
        <f>EXP(-LN(2)/2)*AB99+(1-EXP(-LN(2)/2))/(LN(2)/2)*V100*Y100*VLOOKUP('Données projet'!$B$9,Paramètres!$A$1:$I$89,3,0)*0.475*44/12</f>
        <v>3.9918345436253941E-10</v>
      </c>
      <c r="AC100" s="24">
        <f t="shared" si="57"/>
        <v>8.0766809259090504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4.9658410716801891E-14</v>
      </c>
      <c r="AK100" s="14">
        <f t="shared" si="89"/>
        <v>8.0934058173791862E-13</v>
      </c>
      <c r="AL100" s="22">
        <f t="shared" si="58"/>
        <v>1.4960899118586383E-12</v>
      </c>
      <c r="AM100" s="62">
        <f t="shared" si="59"/>
        <v>293.33333333333479</v>
      </c>
      <c r="AN100" s="62">
        <f ca="1">AVERAGE(OFFSET($AM$3,0,0,'Données projet'!$E$10+1,1))-AVERAGE(OFFSET($H$3,0,0,'Données projet'!$E$10+1,1))</f>
        <v>321.62968871874483</v>
      </c>
      <c r="AO100" s="62">
        <f t="shared" si="90"/>
        <v>389.91636841473559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0.96951256778942907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3.007327144463459E-9</v>
      </c>
      <c r="AX100" s="23">
        <f t="shared" si="60"/>
        <v>0.96951257079675623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317.99999999999972</v>
      </c>
      <c r="BE100" s="14">
        <f>BD100*VLOOKUP('Données projet'!$B$11,Paramètres!$A$1:$I$89,3,0)*VLOOKUP('Données projet'!$B$11,Paramètres!$A$1:$I$89,5,0)</f>
        <v>233.1575999999998</v>
      </c>
      <c r="BF100" s="14">
        <f t="shared" si="91"/>
        <v>56.964885721091697</v>
      </c>
      <c r="BG100" s="22">
        <f t="shared" si="61"/>
        <v>505.29666263090093</v>
      </c>
      <c r="BH100" s="62">
        <f t="shared" si="62"/>
        <v>798.62999596423424</v>
      </c>
      <c r="BI100" s="62">
        <f ca="1">AVERAGE(OFFSET($BH$3,0,0,'Données projet'!$E$11+1,1))-AVERAGE(OFFSET($H$3,0,0,'Données projet'!$E$11+1,1))</f>
        <v>327.81662150328646</v>
      </c>
      <c r="BJ100" s="62">
        <f t="shared" si="92"/>
        <v>320.24200483294322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1.1727461138579798E-9</v>
      </c>
      <c r="BS100" s="24">
        <f t="shared" si="63"/>
        <v>1.1727461138579798E-9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2.8421709430404007E-14</v>
      </c>
      <c r="BZ100" s="14">
        <f>BY100*VLOOKUP('Données projet'!$B$12,Paramètres!$A$1:$I$89,3,0)*VLOOKUP('Données projet'!$B$12,Paramètres!$A$1:$I$89,5,0)</f>
        <v>1.5518253349000589E-14</v>
      </c>
      <c r="CA100" s="14">
        <f t="shared" si="93"/>
        <v>2.8958815659671149E-13</v>
      </c>
      <c r="CB100" s="22">
        <f t="shared" si="64"/>
        <v>5.3139366398878183E-13</v>
      </c>
      <c r="CC100" s="62">
        <f t="shared" si="65"/>
        <v>293.33333333333383</v>
      </c>
      <c r="CD100" s="62">
        <f ca="1">AVERAGE(OFFSET($CC$3,0,0,'Données projet'!$E$12+1,1))-AVERAGE(OFFSET($H$3,0,0,'Données projet'!$E$12+1,1))</f>
        <v>170.27677128684815</v>
      </c>
      <c r="CE100" s="62">
        <f t="shared" si="94"/>
        <v>243.47439640666289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1.1432058818647137</v>
      </c>
      <c r="CL100" s="23">
        <f>EXP(-LN(2)/25)*CL99+(1-EXP(-LN(2)/25))/(LN(2)/25)*Calculateur!CG100*Calculateur!CI100*VLOOKUP('Données projet'!$B$12,Paramètres!$A$1:$I$89,3,0)*0.475*44/12</f>
        <v>2.8242388723338578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3.9674447541985716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0</v>
      </c>
      <c r="CZ100" s="62">
        <f t="shared" si="96"/>
        <v>0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-4.5474735088646412E-13</v>
      </c>
      <c r="O101" s="14">
        <f>N101*VLOOKUP('Données projet'!$B$9,Paramètres!$A$1:$I$89,3,0)*VLOOKUP('Données projet'!$B$9,Paramètres!$A$1:$I$89,5,0)</f>
        <v>-2.5420376914553347E-13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388.88381485322674</v>
      </c>
      <c r="T101" s="62">
        <f t="shared" si="88"/>
        <v>355.82695155276218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5.7746080481160966</v>
      </c>
      <c r="AA101" s="23">
        <f>EXP(-LN(2)/25)*AA100+(1-EXP(-LN(2)/25))/(LN(2)/25)*Calculateur!V101*Calculateur!X101*VLOOKUP('Données projet'!$B$9,Paramètres!$A$1:$I$89,3,0)*0.475*44/12</f>
        <v>2.1267795121155491</v>
      </c>
      <c r="AB101" s="23">
        <f>EXP(-LN(2)/2)*AB100+(1-EXP(-LN(2)/2))/(LN(2)/2)*V101*Y101*VLOOKUP('Données projet'!$B$9,Paramètres!$A$1:$I$89,3,0)*0.475*44/12</f>
        <v>2.8226532751722233E-10</v>
      </c>
      <c r="AC101" s="24">
        <f t="shared" si="57"/>
        <v>7.9013875605139114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4.9658410716801891E-14</v>
      </c>
      <c r="AK101" s="14">
        <f t="shared" si="89"/>
        <v>8.0934058173791862E-13</v>
      </c>
      <c r="AL101" s="22">
        <f t="shared" si="58"/>
        <v>1.4960899118586383E-12</v>
      </c>
      <c r="AM101" s="62">
        <f t="shared" si="59"/>
        <v>293.33333333333479</v>
      </c>
      <c r="AN101" s="62">
        <f ca="1">AVERAGE(OFFSET($AM$3,0,0,'Données projet'!$E$10+1,1))-AVERAGE(OFFSET($H$3,0,0,'Données projet'!$E$10+1,1))</f>
        <v>321.62968871874483</v>
      </c>
      <c r="AO101" s="62">
        <f t="shared" si="90"/>
        <v>389.91636841473559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0.95050101767935435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2.1265014170964879E-9</v>
      </c>
      <c r="AX101" s="23">
        <f t="shared" si="60"/>
        <v>0.95050101980585577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317.99999999999972</v>
      </c>
      <c r="BE101" s="14">
        <f>BD101*VLOOKUP('Données projet'!$B$11,Paramètres!$A$1:$I$89,3,0)*VLOOKUP('Données projet'!$B$11,Paramètres!$A$1:$I$89,5,0)</f>
        <v>233.1575999999998</v>
      </c>
      <c r="BF101" s="14">
        <f t="shared" si="91"/>
        <v>56.964885721091697</v>
      </c>
      <c r="BG101" s="22">
        <f t="shared" si="61"/>
        <v>505.29666263090093</v>
      </c>
      <c r="BH101" s="62">
        <f t="shared" si="62"/>
        <v>798.62999596423424</v>
      </c>
      <c r="BI101" s="62">
        <f ca="1">AVERAGE(OFFSET($BH$3,0,0,'Données projet'!$E$11+1,1))-AVERAGE(OFFSET($H$3,0,0,'Données projet'!$E$11+1,1))</f>
        <v>327.81662150328646</v>
      </c>
      <c r="BJ101" s="62">
        <f t="shared" si="92"/>
        <v>320.24200483294322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8.292567297191485E-10</v>
      </c>
      <c r="BS101" s="24">
        <f t="shared" si="63"/>
        <v>8.292567297191485E-10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2.8421709430404007E-14</v>
      </c>
      <c r="BZ101" s="14">
        <f>BY101*VLOOKUP('Données projet'!$B$12,Paramètres!$A$1:$I$89,3,0)*VLOOKUP('Données projet'!$B$12,Paramètres!$A$1:$I$89,5,0)</f>
        <v>1.5518253349000589E-14</v>
      </c>
      <c r="CA101" s="14">
        <f t="shared" si="93"/>
        <v>2.8958815659671149E-13</v>
      </c>
      <c r="CB101" s="22">
        <f t="shared" si="64"/>
        <v>5.3139366398878183E-13</v>
      </c>
      <c r="CC101" s="62">
        <f t="shared" si="65"/>
        <v>293.33333333333383</v>
      </c>
      <c r="CD101" s="62">
        <f ca="1">AVERAGE(OFFSET($CC$3,0,0,'Données projet'!$E$12+1,1))-AVERAGE(OFFSET($H$3,0,0,'Données projet'!$E$12+1,1))</f>
        <v>170.27677128684815</v>
      </c>
      <c r="CE101" s="62">
        <f t="shared" si="94"/>
        <v>243.47439640666289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1.1207883118080832</v>
      </c>
      <c r="CL101" s="23">
        <f>EXP(-LN(2)/25)*CL100+(1-EXP(-LN(2)/25))/(LN(2)/25)*Calculateur!CG101*Calculateur!CI101*VLOOKUP('Données projet'!$B$12,Paramètres!$A$1:$I$89,3,0)*0.475*44/12</f>
        <v>2.747009911849621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3.8677982236577044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0</v>
      </c>
      <c r="CZ101" s="62">
        <f t="shared" si="96"/>
        <v>0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-4.5474735088646412E-13</v>
      </c>
      <c r="O102" s="14">
        <f>N102*VLOOKUP('Données projet'!$B$9,Paramètres!$A$1:$I$89,3,0)*VLOOKUP('Données projet'!$B$9,Paramètres!$A$1:$I$89,5,0)</f>
        <v>-2.5420376914553347E-13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388.88381485322674</v>
      </c>
      <c r="T102" s="62">
        <f t="shared" si="88"/>
        <v>355.82695155276218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5.6613715064556649</v>
      </c>
      <c r="AA102" s="23">
        <f>EXP(-LN(2)/25)*AA101+(1-EXP(-LN(2)/25))/(LN(2)/25)*Calculateur!V102*Calculateur!X102*VLOOKUP('Données projet'!$B$9,Paramètres!$A$1:$I$89,3,0)*0.475*44/12</f>
        <v>2.0686226145142754</v>
      </c>
      <c r="AB102" s="23">
        <f>EXP(-LN(2)/2)*AB101+(1-EXP(-LN(2)/2))/(LN(2)/2)*V102*Y102*VLOOKUP('Données projet'!$B$9,Paramètres!$A$1:$I$89,3,0)*0.475*44/12</f>
        <v>1.995917271812697E-10</v>
      </c>
      <c r="AC102" s="24">
        <f t="shared" si="57"/>
        <v>7.7299941211695318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4.9658410716801891E-14</v>
      </c>
      <c r="AK102" s="14">
        <f t="shared" si="89"/>
        <v>8.0934058173791862E-13</v>
      </c>
      <c r="AL102" s="22">
        <f t="shared" si="58"/>
        <v>1.4960899118586383E-12</v>
      </c>
      <c r="AM102" s="62">
        <f t="shared" si="59"/>
        <v>293.33333333333479</v>
      </c>
      <c r="AN102" s="62">
        <f ca="1">AVERAGE(OFFSET($AM$3,0,0,'Données projet'!$E$10+1,1))-AVERAGE(OFFSET($H$3,0,0,'Données projet'!$E$10+1,1))</f>
        <v>321.62968871874483</v>
      </c>
      <c r="AO102" s="62">
        <f t="shared" si="90"/>
        <v>389.91636841473559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0.93186227247103759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1.5036635722317295E-9</v>
      </c>
      <c r="AX102" s="23">
        <f t="shared" si="60"/>
        <v>0.93186227397470112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317.99999999999972</v>
      </c>
      <c r="BE102" s="14">
        <f>BD102*VLOOKUP('Données projet'!$B$11,Paramètres!$A$1:$I$89,3,0)*VLOOKUP('Données projet'!$B$11,Paramètres!$A$1:$I$89,5,0)</f>
        <v>233.1575999999998</v>
      </c>
      <c r="BF102" s="14">
        <f t="shared" si="91"/>
        <v>56.964885721091697</v>
      </c>
      <c r="BG102" s="22">
        <f t="shared" si="61"/>
        <v>505.29666263090093</v>
      </c>
      <c r="BH102" s="62">
        <f t="shared" si="62"/>
        <v>798.62999596423424</v>
      </c>
      <c r="BI102" s="62">
        <f ca="1">AVERAGE(OFFSET($BH$3,0,0,'Données projet'!$E$11+1,1))-AVERAGE(OFFSET($H$3,0,0,'Données projet'!$E$11+1,1))</f>
        <v>327.81662150328646</v>
      </c>
      <c r="BJ102" s="62">
        <f t="shared" si="92"/>
        <v>320.24200483294322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5.8637305692898992E-10</v>
      </c>
      <c r="BS102" s="24">
        <f t="shared" si="63"/>
        <v>5.8637305692898992E-10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2.8421709430404007E-14</v>
      </c>
      <c r="BZ102" s="14">
        <f>BY102*VLOOKUP('Données projet'!$B$12,Paramètres!$A$1:$I$89,3,0)*VLOOKUP('Données projet'!$B$12,Paramètres!$A$1:$I$89,5,0)</f>
        <v>1.5518253349000589E-14</v>
      </c>
      <c r="CA102" s="14">
        <f t="shared" si="93"/>
        <v>2.8958815659671149E-13</v>
      </c>
      <c r="CB102" s="22">
        <f t="shared" si="64"/>
        <v>5.3139366398878183E-13</v>
      </c>
      <c r="CC102" s="62">
        <f t="shared" si="65"/>
        <v>293.33333333333383</v>
      </c>
      <c r="CD102" s="62">
        <f ca="1">AVERAGE(OFFSET($CC$3,0,0,'Données projet'!$E$12+1,1))-AVERAGE(OFFSET($H$3,0,0,'Données projet'!$E$12+1,1))</f>
        <v>170.27677128684815</v>
      </c>
      <c r="CE102" s="62">
        <f t="shared" si="94"/>
        <v>243.47439640666289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1.0988103366268958</v>
      </c>
      <c r="CL102" s="23">
        <f>EXP(-LN(2)/25)*CL101+(1-EXP(-LN(2)/25))/(LN(2)/25)*Calculateur!CG102*Calculateur!CI102*VLOOKUP('Données projet'!$B$12,Paramètres!$A$1:$I$89,3,0)*0.475*44/12</f>
        <v>2.67189278135112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3.7707031179780159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0</v>
      </c>
      <c r="CZ102" s="62">
        <f t="shared" si="96"/>
        <v>0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-4.5474735088646412E-13</v>
      </c>
      <c r="O103" s="14">
        <f>N103*VLOOKUP('Données projet'!$B$9,Paramètres!$A$1:$I$89,3,0)*VLOOKUP('Données projet'!$B$9,Paramètres!$A$1:$I$89,5,0)</f>
        <v>-2.5420376914553347E-13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388.88381485322674</v>
      </c>
      <c r="T103" s="62">
        <f t="shared" si="88"/>
        <v>355.82695155276218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5.5503554643097237</v>
      </c>
      <c r="AA103" s="23">
        <f>EXP(-LN(2)/25)*AA102+(1-EXP(-LN(2)/25))/(LN(2)/25)*Calculateur!V103*Calculateur!X103*VLOOKUP('Données projet'!$B$9,Paramètres!$A$1:$I$89,3,0)*0.475*44/12</f>
        <v>2.0120560203362472</v>
      </c>
      <c r="AB103" s="23">
        <f>EXP(-LN(2)/2)*AB102+(1-EXP(-LN(2)/2))/(LN(2)/2)*V103*Y103*VLOOKUP('Données projet'!$B$9,Paramètres!$A$1:$I$89,3,0)*0.475*44/12</f>
        <v>1.4113266375861117E-10</v>
      </c>
      <c r="AC103" s="24">
        <f t="shared" si="57"/>
        <v>7.5624114847871029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4.9658410716801891E-14</v>
      </c>
      <c r="AK103" s="14">
        <f t="shared" si="89"/>
        <v>8.0934058173791862E-13</v>
      </c>
      <c r="AL103" s="22">
        <f t="shared" si="58"/>
        <v>1.4960899118586383E-12</v>
      </c>
      <c r="AM103" s="62">
        <f t="shared" si="59"/>
        <v>293.33333333333479</v>
      </c>
      <c r="AN103" s="62">
        <f ca="1">AVERAGE(OFFSET($AM$3,0,0,'Données projet'!$E$10+1,1))-AVERAGE(OFFSET($H$3,0,0,'Données projet'!$E$10+1,1))</f>
        <v>321.62968871874483</v>
      </c>
      <c r="AO103" s="62">
        <f t="shared" si="90"/>
        <v>389.91636841473559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0.91358902168774392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1.0632507085482439E-9</v>
      </c>
      <c r="AX103" s="23">
        <f t="shared" si="60"/>
        <v>0.91358902275099463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317.99999999999972</v>
      </c>
      <c r="BE103" s="14">
        <f>BD103*VLOOKUP('Données projet'!$B$11,Paramètres!$A$1:$I$89,3,0)*VLOOKUP('Données projet'!$B$11,Paramètres!$A$1:$I$89,5,0)</f>
        <v>233.1575999999998</v>
      </c>
      <c r="BF103" s="14">
        <f t="shared" si="91"/>
        <v>56.964885721091697</v>
      </c>
      <c r="BG103" s="22">
        <f t="shared" si="61"/>
        <v>505.29666263090093</v>
      </c>
      <c r="BH103" s="62">
        <f t="shared" si="62"/>
        <v>798.62999596423424</v>
      </c>
      <c r="BI103" s="62">
        <f ca="1">AVERAGE(OFFSET($BH$3,0,0,'Données projet'!$E$11+1,1))-AVERAGE(OFFSET($H$3,0,0,'Données projet'!$E$11+1,1))</f>
        <v>327.81662150328646</v>
      </c>
      <c r="BJ103" s="62">
        <f t="shared" si="92"/>
        <v>320.24200483294322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4.1462836485957425E-10</v>
      </c>
      <c r="BS103" s="24">
        <f t="shared" si="63"/>
        <v>4.1462836485957425E-10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2.8421709430404007E-14</v>
      </c>
      <c r="BZ103" s="14">
        <f>BY103*VLOOKUP('Données projet'!$B$12,Paramètres!$A$1:$I$89,3,0)*VLOOKUP('Données projet'!$B$12,Paramètres!$A$1:$I$89,5,0)</f>
        <v>1.5518253349000589E-14</v>
      </c>
      <c r="CA103" s="14">
        <f t="shared" si="93"/>
        <v>2.8958815659671149E-13</v>
      </c>
      <c r="CB103" s="22">
        <f t="shared" si="64"/>
        <v>5.3139366398878183E-13</v>
      </c>
      <c r="CC103" s="62">
        <f t="shared" si="65"/>
        <v>293.33333333333383</v>
      </c>
      <c r="CD103" s="62">
        <f ca="1">AVERAGE(OFFSET($CC$3,0,0,'Données projet'!$E$12+1,1))-AVERAGE(OFFSET($H$3,0,0,'Données projet'!$E$12+1,1))</f>
        <v>170.27677128684815</v>
      </c>
      <c r="CE103" s="62">
        <f t="shared" si="94"/>
        <v>243.47439640666289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1.07726333613377</v>
      </c>
      <c r="CL103" s="23">
        <f>EXP(-LN(2)/25)*CL102+(1-EXP(-LN(2)/25))/(LN(2)/25)*Calculateur!CG103*Calculateur!CI103*VLOOKUP('Données projet'!$B$12,Paramètres!$A$1:$I$89,3,0)*0.475*44/12</f>
        <v>2.598829732736339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3.676093068870109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0</v>
      </c>
      <c r="CZ103" s="62">
        <f t="shared" si="96"/>
        <v>0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-4.5474735088646412E-13</v>
      </c>
      <c r="O104" s="14">
        <f>N104*VLOOKUP('Données projet'!$B$9,Paramètres!$A$1:$I$89,3,0)*VLOOKUP('Données projet'!$B$9,Paramètres!$A$1:$I$89,5,0)</f>
        <v>-2.5420376914553347E-13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388.88381485322674</v>
      </c>
      <c r="T104" s="62">
        <f t="shared" si="88"/>
        <v>355.82695155276218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5.4415163790371643</v>
      </c>
      <c r="AA104" s="23">
        <f>EXP(-LN(2)/25)*AA103+(1-EXP(-LN(2)/25))/(LN(2)/25)*Calculateur!V104*Calculateur!X104*VLOOKUP('Données projet'!$B$9,Paramètres!$A$1:$I$89,3,0)*0.475*44/12</f>
        <v>1.9570362426507251</v>
      </c>
      <c r="AB104" s="23">
        <f>EXP(-LN(2)/2)*AB103+(1-EXP(-LN(2)/2))/(LN(2)/2)*V104*Y104*VLOOKUP('Données projet'!$B$9,Paramètres!$A$1:$I$89,3,0)*0.475*44/12</f>
        <v>9.9795863590634852E-11</v>
      </c>
      <c r="AC104" s="24">
        <f t="shared" si="57"/>
        <v>7.3985526217876849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4.9658410716801891E-14</v>
      </c>
      <c r="AK104" s="14">
        <f t="shared" si="89"/>
        <v>8.0934058173791862E-13</v>
      </c>
      <c r="AL104" s="22">
        <f t="shared" si="58"/>
        <v>1.4960899118586383E-12</v>
      </c>
      <c r="AM104" s="62">
        <f t="shared" si="59"/>
        <v>293.33333333333479</v>
      </c>
      <c r="AN104" s="62">
        <f ca="1">AVERAGE(OFFSET($AM$3,0,0,'Données projet'!$E$10+1,1))-AVERAGE(OFFSET($H$3,0,0,'Données projet'!$E$10+1,1))</f>
        <v>321.62968871874483</v>
      </c>
      <c r="AO104" s="62">
        <f t="shared" si="90"/>
        <v>389.91636841473559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0.89567409820672816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7.5183178611586475E-10</v>
      </c>
      <c r="AX104" s="23">
        <f t="shared" si="60"/>
        <v>0.89567409895855998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317.99999999999972</v>
      </c>
      <c r="BE104" s="14">
        <f>BD104*VLOOKUP('Données projet'!$B$11,Paramètres!$A$1:$I$89,3,0)*VLOOKUP('Données projet'!$B$11,Paramètres!$A$1:$I$89,5,0)</f>
        <v>233.1575999999998</v>
      </c>
      <c r="BF104" s="14">
        <f t="shared" si="91"/>
        <v>56.964885721091697</v>
      </c>
      <c r="BG104" s="22">
        <f t="shared" si="61"/>
        <v>505.29666263090093</v>
      </c>
      <c r="BH104" s="62">
        <f t="shared" si="62"/>
        <v>798.62999596423424</v>
      </c>
      <c r="BI104" s="62">
        <f ca="1">AVERAGE(OFFSET($BH$3,0,0,'Données projet'!$E$11+1,1))-AVERAGE(OFFSET($H$3,0,0,'Données projet'!$E$11+1,1))</f>
        <v>327.81662150328646</v>
      </c>
      <c r="BJ104" s="62">
        <f t="shared" si="92"/>
        <v>320.24200483294322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2.9318652846449496E-10</v>
      </c>
      <c r="BS104" s="24">
        <f t="shared" si="63"/>
        <v>2.9318652846449496E-10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2.8421709430404007E-14</v>
      </c>
      <c r="BZ104" s="14">
        <f>BY104*VLOOKUP('Données projet'!$B$12,Paramètres!$A$1:$I$89,3,0)*VLOOKUP('Données projet'!$B$12,Paramètres!$A$1:$I$89,5,0)</f>
        <v>1.5518253349000589E-14</v>
      </c>
      <c r="CA104" s="14">
        <f t="shared" si="93"/>
        <v>2.8958815659671149E-13</v>
      </c>
      <c r="CB104" s="22">
        <f t="shared" si="64"/>
        <v>5.3139366398878183E-13</v>
      </c>
      <c r="CC104" s="62">
        <f t="shared" si="65"/>
        <v>293.33333333333383</v>
      </c>
      <c r="CD104" s="62">
        <f ca="1">AVERAGE(OFFSET($CC$3,0,0,'Données projet'!$E$12+1,1))-AVERAGE(OFFSET($H$3,0,0,'Données projet'!$E$12+1,1))</f>
        <v>170.27677128684815</v>
      </c>
      <c r="CE104" s="62">
        <f t="shared" si="94"/>
        <v>243.47439640666289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1.0561388591779419</v>
      </c>
      <c r="CL104" s="23">
        <f>EXP(-LN(2)/25)*CL103+(1-EXP(-LN(2)/25))/(LN(2)/25)*Calculateur!CG104*Calculateur!CI104*VLOOKUP('Données projet'!$B$12,Paramètres!$A$1:$I$89,3,0)*0.475*44/12</f>
        <v>2.5277645970281477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3.5839034562060896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0</v>
      </c>
      <c r="CZ104" s="62">
        <f t="shared" si="96"/>
        <v>0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-4.5474735088646412E-13</v>
      </c>
      <c r="O105" s="14">
        <f>N105*VLOOKUP('Données projet'!$B$9,Paramètres!$A$1:$I$89,3,0)*VLOOKUP('Données projet'!$B$9,Paramètres!$A$1:$I$89,5,0)</f>
        <v>-2.5420376914553347E-13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388.88381485322674</v>
      </c>
      <c r="T105" s="62">
        <f t="shared" si="88"/>
        <v>355.82695155276218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5.3348115618415131</v>
      </c>
      <c r="AA105" s="23">
        <f>EXP(-LN(2)/25)*AA104+(1-EXP(-LN(2)/25))/(LN(2)/25)*Calculateur!V105*Calculateur!X105*VLOOKUP('Données projet'!$B$9,Paramètres!$A$1:$I$89,3,0)*0.475*44/12</f>
        <v>1.9035209836793778</v>
      </c>
      <c r="AB105" s="23">
        <f>EXP(-LN(2)/2)*AB104+(1-EXP(-LN(2)/2))/(LN(2)/2)*V105*Y105*VLOOKUP('Données projet'!$B$9,Paramètres!$A$1:$I$89,3,0)*0.475*44/12</f>
        <v>7.0566331879305583E-11</v>
      </c>
      <c r="AC105" s="24">
        <f t="shared" si="57"/>
        <v>7.2383325455914571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4.9658410716801891E-14</v>
      </c>
      <c r="AK105" s="14">
        <f t="shared" si="89"/>
        <v>8.0934058173791862E-13</v>
      </c>
      <c r="AL105" s="22">
        <f t="shared" si="58"/>
        <v>1.4960899118586383E-12</v>
      </c>
      <c r="AM105" s="62">
        <f t="shared" si="59"/>
        <v>293.33333333333479</v>
      </c>
      <c r="AN105" s="62">
        <f ca="1">AVERAGE(OFFSET($AM$3,0,0,'Données projet'!$E$10+1,1))-AVERAGE(OFFSET($H$3,0,0,'Données projet'!$E$10+1,1))</f>
        <v>321.62968871874483</v>
      </c>
      <c r="AO105" s="62">
        <f t="shared" si="90"/>
        <v>389.91636841473559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0.8781104754481508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5.3162535427412197E-10</v>
      </c>
      <c r="AX105" s="23">
        <f t="shared" si="60"/>
        <v>0.8781104759797761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317.99999999999972</v>
      </c>
      <c r="BE105" s="14">
        <f>BD105*VLOOKUP('Données projet'!$B$11,Paramètres!$A$1:$I$89,3,0)*VLOOKUP('Données projet'!$B$11,Paramètres!$A$1:$I$89,5,0)</f>
        <v>233.1575999999998</v>
      </c>
      <c r="BF105" s="14">
        <f t="shared" si="91"/>
        <v>56.964885721091697</v>
      </c>
      <c r="BG105" s="22">
        <f t="shared" si="61"/>
        <v>505.29666263090093</v>
      </c>
      <c r="BH105" s="62">
        <f t="shared" si="62"/>
        <v>798.62999596423424</v>
      </c>
      <c r="BI105" s="62">
        <f ca="1">AVERAGE(OFFSET($BH$3,0,0,'Données projet'!$E$11+1,1))-AVERAGE(OFFSET($H$3,0,0,'Données projet'!$E$11+1,1))</f>
        <v>327.81662150328646</v>
      </c>
      <c r="BJ105" s="62">
        <f t="shared" si="92"/>
        <v>320.24200483294322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2.0731418242978713E-10</v>
      </c>
      <c r="BS105" s="24">
        <f t="shared" si="63"/>
        <v>2.0731418242978713E-10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2.8421709430404007E-14</v>
      </c>
      <c r="BZ105" s="14">
        <f>BY105*VLOOKUP('Données projet'!$B$12,Paramètres!$A$1:$I$89,3,0)*VLOOKUP('Données projet'!$B$12,Paramètres!$A$1:$I$89,5,0)</f>
        <v>1.5518253349000589E-14</v>
      </c>
      <c r="CA105" s="14">
        <f t="shared" si="93"/>
        <v>2.8958815659671149E-13</v>
      </c>
      <c r="CB105" s="22">
        <f t="shared" si="64"/>
        <v>5.3139366398878183E-13</v>
      </c>
      <c r="CC105" s="62">
        <f t="shared" si="65"/>
        <v>293.33333333333383</v>
      </c>
      <c r="CD105" s="62">
        <f ca="1">AVERAGE(OFFSET($CC$3,0,0,'Données projet'!$E$12+1,1))-AVERAGE(OFFSET($H$3,0,0,'Données projet'!$E$12+1,1))</f>
        <v>170.27677128684815</v>
      </c>
      <c r="CE105" s="62">
        <f t="shared" si="94"/>
        <v>243.47439640666289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1.0354286203305589</v>
      </c>
      <c r="CL105" s="23">
        <f>EXP(-LN(2)/25)*CL104+(1-EXP(-LN(2)/25))/(LN(2)/25)*Calculateur!CG105*Calculateur!CI105*VLOOKUP('Données projet'!$B$12,Paramètres!$A$1:$I$89,3,0)*0.475*44/12</f>
        <v>2.4586427411930503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3.4940713615236092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0</v>
      </c>
      <c r="CZ105" s="62">
        <f t="shared" si="96"/>
        <v>0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-4.5474735088646412E-13</v>
      </c>
      <c r="O106" s="14">
        <f>N106*VLOOKUP('Données projet'!$B$9,Paramètres!$A$1:$I$89,3,0)*VLOOKUP('Données projet'!$B$9,Paramètres!$A$1:$I$89,5,0)</f>
        <v>-2.5420376914553347E-13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388.88381485322674</v>
      </c>
      <c r="T106" s="62">
        <f t="shared" si="88"/>
        <v>355.82695155276218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5.2301991610275564</v>
      </c>
      <c r="AA106" s="23">
        <f>EXP(-LN(2)/25)*AA105+(1-EXP(-LN(2)/25))/(LN(2)/25)*Calculateur!V106*Calculateur!X106*VLOOKUP('Données projet'!$B$9,Paramètres!$A$1:$I$89,3,0)*0.475*44/12</f>
        <v>1.8514691022788472</v>
      </c>
      <c r="AB106" s="23">
        <f>EXP(-LN(2)/2)*AB105+(1-EXP(-LN(2)/2))/(LN(2)/2)*V106*Y106*VLOOKUP('Données projet'!$B$9,Paramètres!$A$1:$I$89,3,0)*0.475*44/12</f>
        <v>4.9897931795317426E-11</v>
      </c>
      <c r="AC106" s="24">
        <f t="shared" si="57"/>
        <v>7.0816682633563017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4.9658410716801891E-14</v>
      </c>
      <c r="AK106" s="14">
        <f t="shared" si="89"/>
        <v>8.0934058173791862E-13</v>
      </c>
      <c r="AL106" s="22">
        <f t="shared" si="58"/>
        <v>1.4960899118586383E-12</v>
      </c>
      <c r="AM106" s="62">
        <f t="shared" si="59"/>
        <v>293.33333333333479</v>
      </c>
      <c r="AN106" s="62">
        <f ca="1">AVERAGE(OFFSET($AM$3,0,0,'Données projet'!$E$10+1,1))-AVERAGE(OFFSET($H$3,0,0,'Données projet'!$E$10+1,1))</f>
        <v>321.62968871874483</v>
      </c>
      <c r="AO106" s="62">
        <f t="shared" si="90"/>
        <v>389.91636841473559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0.86089126461911702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3.7591589305793238E-10</v>
      </c>
      <c r="AX106" s="23">
        <f t="shared" si="60"/>
        <v>0.86089126499503288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317.99999999999972</v>
      </c>
      <c r="BE106" s="14">
        <f>BD106*VLOOKUP('Données projet'!$B$11,Paramètres!$A$1:$I$89,3,0)*VLOOKUP('Données projet'!$B$11,Paramètres!$A$1:$I$89,5,0)</f>
        <v>233.1575999999998</v>
      </c>
      <c r="BF106" s="14">
        <f t="shared" si="91"/>
        <v>56.964885721091697</v>
      </c>
      <c r="BG106" s="22">
        <f t="shared" si="61"/>
        <v>505.29666263090093</v>
      </c>
      <c r="BH106" s="62">
        <f t="shared" si="62"/>
        <v>798.62999596423424</v>
      </c>
      <c r="BI106" s="62">
        <f ca="1">AVERAGE(OFFSET($BH$3,0,0,'Données projet'!$E$11+1,1))-AVERAGE(OFFSET($H$3,0,0,'Données projet'!$E$11+1,1))</f>
        <v>327.81662150328646</v>
      </c>
      <c r="BJ106" s="62">
        <f t="shared" si="92"/>
        <v>320.24200483294322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1.4659326423224748E-10</v>
      </c>
      <c r="BS106" s="24">
        <f t="shared" si="63"/>
        <v>1.4659326423224748E-10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2.8421709430404007E-14</v>
      </c>
      <c r="BZ106" s="14">
        <f>BY106*VLOOKUP('Données projet'!$B$12,Paramètres!$A$1:$I$89,3,0)*VLOOKUP('Données projet'!$B$12,Paramètres!$A$1:$I$89,5,0)</f>
        <v>1.5518253349000589E-14</v>
      </c>
      <c r="CA106" s="14">
        <f t="shared" si="93"/>
        <v>2.8958815659671149E-13</v>
      </c>
      <c r="CB106" s="22">
        <f t="shared" si="64"/>
        <v>5.3139366398878183E-13</v>
      </c>
      <c r="CC106" s="62">
        <f t="shared" si="65"/>
        <v>293.33333333333383</v>
      </c>
      <c r="CD106" s="62">
        <f ca="1">AVERAGE(OFFSET($CC$3,0,0,'Données projet'!$E$12+1,1))-AVERAGE(OFFSET($H$3,0,0,'Données projet'!$E$12+1,1))</f>
        <v>170.27677128684815</v>
      </c>
      <c r="CE106" s="62">
        <f t="shared" si="94"/>
        <v>243.47439640666289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1.0151244966349748</v>
      </c>
      <c r="CL106" s="23">
        <f>EXP(-LN(2)/25)*CL105+(1-EXP(-LN(2)/25))/(LN(2)/25)*Calculateur!CG106*Calculateur!CI106*VLOOKUP('Données projet'!$B$12,Paramètres!$A$1:$I$89,3,0)*0.475*44/12</f>
        <v>2.391411026140724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3.406535522775699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0</v>
      </c>
      <c r="CZ106" s="62">
        <f t="shared" si="96"/>
        <v>0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-4.5474735088646412E-13</v>
      </c>
      <c r="O107" s="14">
        <f>N107*VLOOKUP('Données projet'!$B$9,Paramètres!$A$1:$I$89,3,0)*VLOOKUP('Données projet'!$B$9,Paramètres!$A$1:$I$89,5,0)</f>
        <v>-2.5420376914553347E-13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388.88381485322674</v>
      </c>
      <c r="T107" s="62">
        <f t="shared" si="88"/>
        <v>355.82695155276218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5.1276381455862978</v>
      </c>
      <c r="AA107" s="23">
        <f>EXP(-LN(2)/25)*AA106+(1-EXP(-LN(2)/25))/(LN(2)/25)*Calculateur!V107*Calculateur!X107*VLOOKUP('Données projet'!$B$9,Paramètres!$A$1:$I$89,3,0)*0.475*44/12</f>
        <v>1.8008405823125035</v>
      </c>
      <c r="AB107" s="23">
        <f>EXP(-LN(2)/2)*AB106+(1-EXP(-LN(2)/2))/(LN(2)/2)*V107*Y107*VLOOKUP('Données projet'!$B$9,Paramètres!$A$1:$I$89,3,0)*0.475*44/12</f>
        <v>3.5283165939652792E-11</v>
      </c>
      <c r="AC107" s="24">
        <f t="shared" si="57"/>
        <v>6.9284787279340838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4.9658410716801891E-14</v>
      </c>
      <c r="AK107" s="14">
        <f t="shared" si="89"/>
        <v>8.0934058173791862E-13</v>
      </c>
      <c r="AL107" s="22">
        <f t="shared" si="58"/>
        <v>1.4960899118586383E-12</v>
      </c>
      <c r="AM107" s="62">
        <f t="shared" si="59"/>
        <v>293.33333333333479</v>
      </c>
      <c r="AN107" s="62">
        <f ca="1">AVERAGE(OFFSET($AM$3,0,0,'Données projet'!$E$10+1,1))-AVERAGE(OFFSET($H$3,0,0,'Données projet'!$E$10+1,1))</f>
        <v>321.62968871874483</v>
      </c>
      <c r="AO107" s="62">
        <f t="shared" si="90"/>
        <v>389.91636841473559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0.84400971201175901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2.6581267713706098E-10</v>
      </c>
      <c r="AX107" s="23">
        <f t="shared" si="60"/>
        <v>0.84400971227757171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317.99999999999972</v>
      </c>
      <c r="BE107" s="14">
        <f>BD107*VLOOKUP('Données projet'!$B$11,Paramètres!$A$1:$I$89,3,0)*VLOOKUP('Données projet'!$B$11,Paramètres!$A$1:$I$89,5,0)</f>
        <v>233.1575999999998</v>
      </c>
      <c r="BF107" s="14">
        <f t="shared" si="91"/>
        <v>56.964885721091697</v>
      </c>
      <c r="BG107" s="22">
        <f t="shared" si="61"/>
        <v>505.29666263090093</v>
      </c>
      <c r="BH107" s="62">
        <f t="shared" si="62"/>
        <v>798.62999596423424</v>
      </c>
      <c r="BI107" s="62">
        <f ca="1">AVERAGE(OFFSET($BH$3,0,0,'Données projet'!$E$11+1,1))-AVERAGE(OFFSET($H$3,0,0,'Données projet'!$E$11+1,1))</f>
        <v>327.81662150328646</v>
      </c>
      <c r="BJ107" s="62">
        <f t="shared" si="92"/>
        <v>320.24200483294322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1.0365709121489356E-10</v>
      </c>
      <c r="BS107" s="24">
        <f t="shared" si="63"/>
        <v>1.0365709121489356E-10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2.8421709430404007E-14</v>
      </c>
      <c r="BZ107" s="14">
        <f>BY107*VLOOKUP('Données projet'!$B$12,Paramètres!$A$1:$I$89,3,0)*VLOOKUP('Données projet'!$B$12,Paramètres!$A$1:$I$89,5,0)</f>
        <v>1.5518253349000589E-14</v>
      </c>
      <c r="CA107" s="14">
        <f t="shared" si="93"/>
        <v>2.8958815659671149E-13</v>
      </c>
      <c r="CB107" s="22">
        <f t="shared" si="64"/>
        <v>5.3139366398878183E-13</v>
      </c>
      <c r="CC107" s="62">
        <f t="shared" si="65"/>
        <v>293.33333333333383</v>
      </c>
      <c r="CD107" s="62">
        <f ca="1">AVERAGE(OFFSET($CC$3,0,0,'Données projet'!$E$12+1,1))-AVERAGE(OFFSET($H$3,0,0,'Données projet'!$E$12+1,1))</f>
        <v>170.27677128684815</v>
      </c>
      <c r="CE107" s="62">
        <f t="shared" si="94"/>
        <v>243.47439640666289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0.99521852442076852</v>
      </c>
      <c r="CL107" s="23">
        <f>EXP(-LN(2)/25)*CL106+(1-EXP(-LN(2)/25))/(LN(2)/25)*Calculateur!CG107*Calculateur!CI107*VLOOKUP('Données projet'!$B$12,Paramètres!$A$1:$I$89,3,0)*0.475*44/12</f>
        <v>2.3260177658720655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3.3212362902928341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0</v>
      </c>
      <c r="CZ107" s="62">
        <f t="shared" si="96"/>
        <v>0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-4.5474735088646412E-13</v>
      </c>
      <c r="O108" s="14">
        <f>N108*VLOOKUP('Données projet'!$B$9,Paramètres!$A$1:$I$89,3,0)*VLOOKUP('Données projet'!$B$9,Paramètres!$A$1:$I$89,5,0)</f>
        <v>-2.5420376914553347E-13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388.88381485322674</v>
      </c>
      <c r="T108" s="62">
        <f t="shared" si="88"/>
        <v>355.82695155276218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5.0270882891017994</v>
      </c>
      <c r="AA108" s="23">
        <f>EXP(-LN(2)/25)*AA107+(1-EXP(-LN(2)/25))/(LN(2)/25)*Calculateur!V108*Calculateur!X108*VLOOKUP('Données projet'!$B$9,Paramètres!$A$1:$I$89,3,0)*0.475*44/12</f>
        <v>1.7515965018870778</v>
      </c>
      <c r="AB108" s="23">
        <f>EXP(-LN(2)/2)*AB107+(1-EXP(-LN(2)/2))/(LN(2)/2)*V108*Y108*VLOOKUP('Données projet'!$B$9,Paramètres!$A$1:$I$89,3,0)*0.475*44/12</f>
        <v>2.4948965897658713E-11</v>
      </c>
      <c r="AC108" s="24">
        <f t="shared" si="57"/>
        <v>6.7786847910138261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4.9658410716801891E-14</v>
      </c>
      <c r="AK108" s="14">
        <f t="shared" si="89"/>
        <v>8.0934058173791862E-13</v>
      </c>
      <c r="AL108" s="22">
        <f t="shared" si="58"/>
        <v>1.4960899118586383E-12</v>
      </c>
      <c r="AM108" s="62">
        <f t="shared" si="59"/>
        <v>293.33333333333479</v>
      </c>
      <c r="AN108" s="62">
        <f ca="1">AVERAGE(OFFSET($AM$3,0,0,'Données projet'!$E$10+1,1))-AVERAGE(OFFSET($H$3,0,0,'Données projet'!$E$10+1,1))</f>
        <v>321.62968871874483</v>
      </c>
      <c r="AO108" s="62">
        <f t="shared" si="90"/>
        <v>389.91636841473559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0.82745919635430099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1.8795794652896619E-10</v>
      </c>
      <c r="AX108" s="23">
        <f t="shared" si="60"/>
        <v>0.82745919654225897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317.99999999999972</v>
      </c>
      <c r="BE108" s="14">
        <f>BD108*VLOOKUP('Données projet'!$B$11,Paramètres!$A$1:$I$89,3,0)*VLOOKUP('Données projet'!$B$11,Paramètres!$A$1:$I$89,5,0)</f>
        <v>233.1575999999998</v>
      </c>
      <c r="BF108" s="14">
        <f t="shared" si="91"/>
        <v>56.964885721091697</v>
      </c>
      <c r="BG108" s="22">
        <f t="shared" si="61"/>
        <v>505.29666263090093</v>
      </c>
      <c r="BH108" s="62">
        <f t="shared" si="62"/>
        <v>798.62999596423424</v>
      </c>
      <c r="BI108" s="62">
        <f ca="1">AVERAGE(OFFSET($BH$3,0,0,'Données projet'!$E$11+1,1))-AVERAGE(OFFSET($H$3,0,0,'Données projet'!$E$11+1,1))</f>
        <v>327.81662150328646</v>
      </c>
      <c r="BJ108" s="62">
        <f t="shared" si="92"/>
        <v>320.24200483294322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7.329663211612374E-11</v>
      </c>
      <c r="BS108" s="24">
        <f t="shared" si="63"/>
        <v>7.329663211612374E-11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2.8421709430404007E-14</v>
      </c>
      <c r="BZ108" s="14">
        <f>BY108*VLOOKUP('Données projet'!$B$12,Paramètres!$A$1:$I$89,3,0)*VLOOKUP('Données projet'!$B$12,Paramètres!$A$1:$I$89,5,0)</f>
        <v>1.5518253349000589E-14</v>
      </c>
      <c r="CA108" s="14">
        <f t="shared" si="93"/>
        <v>2.8958815659671149E-13</v>
      </c>
      <c r="CB108" s="22">
        <f t="shared" si="64"/>
        <v>5.3139366398878183E-13</v>
      </c>
      <c r="CC108" s="62">
        <f t="shared" si="65"/>
        <v>293.33333333333383</v>
      </c>
      <c r="CD108" s="62">
        <f ca="1">AVERAGE(OFFSET($CC$3,0,0,'Données projet'!$E$12+1,1))-AVERAGE(OFFSET($H$3,0,0,'Données projet'!$E$12+1,1))</f>
        <v>170.27677128684815</v>
      </c>
      <c r="CE108" s="62">
        <f t="shared" si="94"/>
        <v>243.47439640666289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0.97570289618023853</v>
      </c>
      <c r="CL108" s="23">
        <f>EXP(-LN(2)/25)*CL107+(1-EXP(-LN(2)/25))/(LN(2)/25)*Calculateur!CG108*Calculateur!CI108*VLOOKUP('Données projet'!$B$12,Paramètres!$A$1:$I$89,3,0)*0.475*44/12</f>
        <v>2.2624126877443356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3.2381155839245741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0</v>
      </c>
      <c r="CZ108" s="62">
        <f t="shared" si="96"/>
        <v>0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-2.5420376914553347E-13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388.88381485322674</v>
      </c>
      <c r="T109" s="62">
        <f t="shared" si="88"/>
        <v>355.82695155276218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4.9285101539736056</v>
      </c>
      <c r="AA109" s="23">
        <f>EXP(-LN(2)/25)*AA108+(1-EXP(-LN(2)/25))/(LN(2)/25)*Calculateur!V109*Calculateur!X109*VLOOKUP('Données projet'!$B$9,Paramètres!$A$1:$I$89,3,0)*0.475*44/12</f>
        <v>1.7036990034305191</v>
      </c>
      <c r="AB109" s="23">
        <f>EXP(-LN(2)/2)*AB108+(1-EXP(-LN(2)/2))/(LN(2)/2)*V109*Y109*VLOOKUP('Données projet'!$B$9,Paramètres!$A$1:$I$89,3,0)*0.475*44/12</f>
        <v>1.7641582969826396E-11</v>
      </c>
      <c r="AC109" s="24">
        <f t="shared" si="57"/>
        <v>6.6322091574217668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4.9658410716801891E-14</v>
      </c>
      <c r="AK109" s="14">
        <f t="shared" si="89"/>
        <v>8.0934058173791862E-13</v>
      </c>
      <c r="AL109" s="22">
        <f t="shared" si="58"/>
        <v>1.4960899118586383E-12</v>
      </c>
      <c r="AM109" s="62">
        <f t="shared" si="59"/>
        <v>293.33333333333479</v>
      </c>
      <c r="AN109" s="62">
        <f ca="1">AVERAGE(OFFSET($AM$3,0,0,'Données projet'!$E$10+1,1))-AVERAGE(OFFSET($H$3,0,0,'Données projet'!$E$10+1,1))</f>
        <v>321.62968871874483</v>
      </c>
      <c r="AO109" s="62">
        <f t="shared" si="90"/>
        <v>389.91636841473559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0.8112332262140679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1.3290633856853049E-10</v>
      </c>
      <c r="AX109" s="23">
        <f t="shared" si="60"/>
        <v>0.81123322634697426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317.99999999999972</v>
      </c>
      <c r="BE109" s="14">
        <f>BD109*VLOOKUP('Données projet'!$B$11,Paramètres!$A$1:$I$89,3,0)*VLOOKUP('Données projet'!$B$11,Paramètres!$A$1:$I$89,5,0)</f>
        <v>233.1575999999998</v>
      </c>
      <c r="BF109" s="14">
        <f t="shared" si="91"/>
        <v>56.964885721091697</v>
      </c>
      <c r="BG109" s="22">
        <f t="shared" si="61"/>
        <v>505.29666263090093</v>
      </c>
      <c r="BH109" s="62">
        <f t="shared" si="62"/>
        <v>798.62999596423424</v>
      </c>
      <c r="BI109" s="62">
        <f ca="1">AVERAGE(OFFSET($BH$3,0,0,'Données projet'!$E$11+1,1))-AVERAGE(OFFSET($H$3,0,0,'Données projet'!$E$11+1,1))</f>
        <v>327.81662150328646</v>
      </c>
      <c r="BJ109" s="62">
        <f t="shared" si="92"/>
        <v>320.24200483294322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5.1828545607446782E-11</v>
      </c>
      <c r="BS109" s="24">
        <f t="shared" si="63"/>
        <v>5.1828545607446782E-11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2.8421709430404007E-14</v>
      </c>
      <c r="BZ109" s="14">
        <f>BY109*VLOOKUP('Données projet'!$B$12,Paramètres!$A$1:$I$89,3,0)*VLOOKUP('Données projet'!$B$12,Paramètres!$A$1:$I$89,5,0)</f>
        <v>1.5518253349000589E-14</v>
      </c>
      <c r="CA109" s="14">
        <f t="shared" si="93"/>
        <v>2.8958815659671149E-13</v>
      </c>
      <c r="CB109" s="22">
        <f t="shared" si="64"/>
        <v>5.3139366398878183E-13</v>
      </c>
      <c r="CC109" s="62">
        <f t="shared" si="65"/>
        <v>293.33333333333383</v>
      </c>
      <c r="CD109" s="62">
        <f ca="1">AVERAGE(OFFSET($CC$3,0,0,'Données projet'!$E$12+1,1))-AVERAGE(OFFSET($H$3,0,0,'Données projet'!$E$12+1,1))</f>
        <v>170.27677128684815</v>
      </c>
      <c r="CE109" s="62">
        <f t="shared" si="94"/>
        <v>243.47439640666289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0.95656995750614748</v>
      </c>
      <c r="CL109" s="23">
        <f>EXP(-LN(2)/25)*CL108+(1-EXP(-LN(2)/25))/(LN(2)/25)*Calculateur!CG109*Calculateur!CI109*VLOOKUP('Données projet'!$B$12,Paramètres!$A$1:$I$89,3,0)*0.475*44/12</f>
        <v>2.2005468938228541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3.1571168513290013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0</v>
      </c>
      <c r="CZ109" s="62">
        <f t="shared" si="96"/>
        <v>0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-2.5420376914553347E-13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388.88381485322674</v>
      </c>
      <c r="T110" s="62">
        <f t="shared" si="88"/>
        <v>355.82695155276218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4.8318650759485502</v>
      </c>
      <c r="AA110" s="23">
        <f>EXP(-LN(2)/25)*AA109+(1-EXP(-LN(2)/25))/(LN(2)/25)*Calculateur!V110*Calculateur!X110*VLOOKUP('Données projet'!$B$9,Paramètres!$A$1:$I$89,3,0)*0.475*44/12</f>
        <v>1.6571112645880748</v>
      </c>
      <c r="AB110" s="23">
        <f>EXP(-LN(2)/2)*AB109+(1-EXP(-LN(2)/2))/(LN(2)/2)*V110*Y110*VLOOKUP('Données projet'!$B$9,Paramètres!$A$1:$I$89,3,0)*0.475*44/12</f>
        <v>1.2474482948829357E-11</v>
      </c>
      <c r="AC110" s="24">
        <f t="shared" si="57"/>
        <v>6.4889763405490992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4.9658410716801891E-14</v>
      </c>
      <c r="AK110" s="14">
        <f t="shared" si="89"/>
        <v>8.0934058173791862E-13</v>
      </c>
      <c r="AL110" s="22">
        <f t="shared" si="58"/>
        <v>1.4960899118586383E-12</v>
      </c>
      <c r="AM110" s="62">
        <f t="shared" si="59"/>
        <v>293.33333333333479</v>
      </c>
      <c r="AN110" s="62">
        <f ca="1">AVERAGE(OFFSET($AM$3,0,0,'Données projet'!$E$10+1,1))-AVERAGE(OFFSET($H$3,0,0,'Données projet'!$E$10+1,1))</f>
        <v>321.62968871874483</v>
      </c>
      <c r="AO110" s="62">
        <f t="shared" si="90"/>
        <v>389.91636841473559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0.79532543745142026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9.3978973264483094E-11</v>
      </c>
      <c r="AX110" s="23">
        <f t="shared" si="60"/>
        <v>0.79532543754539919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317.99999999999972</v>
      </c>
      <c r="BE110" s="14">
        <f>BD110*VLOOKUP('Données projet'!$B$11,Paramètres!$A$1:$I$89,3,0)*VLOOKUP('Données projet'!$B$11,Paramètres!$A$1:$I$89,5,0)</f>
        <v>233.1575999999998</v>
      </c>
      <c r="BF110" s="14">
        <f t="shared" si="91"/>
        <v>56.964885721091697</v>
      </c>
      <c r="BG110" s="22">
        <f t="shared" si="61"/>
        <v>505.29666263090093</v>
      </c>
      <c r="BH110" s="62">
        <f t="shared" si="62"/>
        <v>798.62999596423424</v>
      </c>
      <c r="BI110" s="62">
        <f ca="1">AVERAGE(OFFSET($BH$3,0,0,'Données projet'!$E$11+1,1))-AVERAGE(OFFSET($H$3,0,0,'Données projet'!$E$11+1,1))</f>
        <v>327.81662150328646</v>
      </c>
      <c r="BJ110" s="62">
        <f t="shared" si="92"/>
        <v>320.24200483294322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3.664831605806187E-11</v>
      </c>
      <c r="BS110" s="24">
        <f t="shared" si="63"/>
        <v>3.664831605806187E-11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2.8421709430404007E-14</v>
      </c>
      <c r="BZ110" s="14">
        <f>BY110*VLOOKUP('Données projet'!$B$12,Paramètres!$A$1:$I$89,3,0)*VLOOKUP('Données projet'!$B$12,Paramètres!$A$1:$I$89,5,0)</f>
        <v>1.5518253349000589E-14</v>
      </c>
      <c r="CA110" s="14">
        <f t="shared" si="93"/>
        <v>2.8958815659671149E-13</v>
      </c>
      <c r="CB110" s="22">
        <f t="shared" si="64"/>
        <v>5.3139366398878183E-13</v>
      </c>
      <c r="CC110" s="62">
        <f t="shared" si="65"/>
        <v>293.33333333333383</v>
      </c>
      <c r="CD110" s="62">
        <f ca="1">AVERAGE(OFFSET($CC$3,0,0,'Données projet'!$E$12+1,1))-AVERAGE(OFFSET($H$3,0,0,'Données projet'!$E$12+1,1))</f>
        <v>170.27677128684815</v>
      </c>
      <c r="CE110" s="62">
        <f t="shared" si="94"/>
        <v>243.47439640666289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0.93781220408951516</v>
      </c>
      <c r="CL110" s="23">
        <f>EXP(-LN(2)/25)*CL109+(1-EXP(-LN(2)/25))/(LN(2)/25)*Calculateur!CG110*Calculateur!CI110*VLOOKUP('Données projet'!$B$12,Paramètres!$A$1:$I$89,3,0)*0.475*44/12</f>
        <v>2.1403728232895363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3.0781850273790514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0</v>
      </c>
      <c r="CZ110" s="62">
        <f t="shared" si="96"/>
        <v>0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-2.5420376914553347E-13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388.88381485322674</v>
      </c>
      <c r="T111" s="62">
        <f t="shared" si="88"/>
        <v>355.82695155276218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4.7371151489558887</v>
      </c>
      <c r="AA111" s="23">
        <f>EXP(-LN(2)/25)*AA110+(1-EXP(-LN(2)/25))/(LN(2)/25)*Calculateur!V111*Calculateur!X111*VLOOKUP('Données projet'!$B$9,Paramètres!$A$1:$I$89,3,0)*0.475*44/12</f>
        <v>1.6117974699142199</v>
      </c>
      <c r="AB111" s="23">
        <f>EXP(-LN(2)/2)*AB110+(1-EXP(-LN(2)/2))/(LN(2)/2)*V111*Y111*VLOOKUP('Données projet'!$B$9,Paramètres!$A$1:$I$89,3,0)*0.475*44/12</f>
        <v>8.8207914849131979E-12</v>
      </c>
      <c r="AC111" s="24">
        <f t="shared" si="57"/>
        <v>6.3489126188789289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4.9658410716801891E-14</v>
      </c>
      <c r="AK111" s="14">
        <f t="shared" si="89"/>
        <v>8.0934058173791862E-13</v>
      </c>
      <c r="AL111" s="22">
        <f t="shared" si="58"/>
        <v>1.4960899118586383E-12</v>
      </c>
      <c r="AM111" s="62">
        <f t="shared" si="59"/>
        <v>293.33333333333479</v>
      </c>
      <c r="AN111" s="62">
        <f ca="1">AVERAGE(OFFSET($AM$3,0,0,'Données projet'!$E$10+1,1))-AVERAGE(OFFSET($H$3,0,0,'Données projet'!$E$10+1,1))</f>
        <v>321.62968871874483</v>
      </c>
      <c r="AO111" s="62">
        <f t="shared" si="90"/>
        <v>389.91636841473559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0.77972959072361503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6.6453169284265246E-11</v>
      </c>
      <c r="AX111" s="23">
        <f t="shared" si="60"/>
        <v>0.77972959079006821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317.99999999999972</v>
      </c>
      <c r="BE111" s="14">
        <f>BD111*VLOOKUP('Données projet'!$B$11,Paramètres!$A$1:$I$89,3,0)*VLOOKUP('Données projet'!$B$11,Paramètres!$A$1:$I$89,5,0)</f>
        <v>233.1575999999998</v>
      </c>
      <c r="BF111" s="14">
        <f t="shared" si="91"/>
        <v>56.964885721091697</v>
      </c>
      <c r="BG111" s="22">
        <f t="shared" si="61"/>
        <v>505.29666263090093</v>
      </c>
      <c r="BH111" s="62">
        <f t="shared" si="62"/>
        <v>798.62999596423424</v>
      </c>
      <c r="BI111" s="62">
        <f ca="1">AVERAGE(OFFSET($BH$3,0,0,'Données projet'!$E$11+1,1))-AVERAGE(OFFSET($H$3,0,0,'Données projet'!$E$11+1,1))</f>
        <v>327.81662150328646</v>
      </c>
      <c r="BJ111" s="62">
        <f t="shared" si="92"/>
        <v>320.24200483294322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2.5914272803723391E-11</v>
      </c>
      <c r="BS111" s="24">
        <f t="shared" si="63"/>
        <v>2.5914272803723391E-11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2.8421709430404007E-14</v>
      </c>
      <c r="BZ111" s="14">
        <f>BY111*VLOOKUP('Données projet'!$B$12,Paramètres!$A$1:$I$89,3,0)*VLOOKUP('Données projet'!$B$12,Paramètres!$A$1:$I$89,5,0)</f>
        <v>1.5518253349000589E-14</v>
      </c>
      <c r="CA111" s="14">
        <f t="shared" si="93"/>
        <v>2.8958815659671149E-13</v>
      </c>
      <c r="CB111" s="22">
        <f t="shared" si="64"/>
        <v>5.3139366398878183E-13</v>
      </c>
      <c r="CC111" s="62">
        <f t="shared" si="65"/>
        <v>293.33333333333383</v>
      </c>
      <c r="CD111" s="62">
        <f ca="1">AVERAGE(OFFSET($CC$3,0,0,'Données projet'!$E$12+1,1))-AVERAGE(OFFSET($H$3,0,0,'Données projet'!$E$12+1,1))</f>
        <v>170.27677128684815</v>
      </c>
      <c r="CE111" s="62">
        <f t="shared" si="94"/>
        <v>243.47439640666289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0.91942227877628302</v>
      </c>
      <c r="CL111" s="23">
        <f>EXP(-LN(2)/25)*CL110+(1-EXP(-LN(2)/25))/(LN(2)/25)*Calculateur!CG111*Calculateur!CI111*VLOOKUP('Données projet'!$B$12,Paramètres!$A$1:$I$89,3,0)*0.475*44/12</f>
        <v>2.0818442158793689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3.0012664946556518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0</v>
      </c>
      <c r="CZ111" s="62">
        <f t="shared" si="96"/>
        <v>0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-2.5420376914553347E-13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388.88381485322674</v>
      </c>
      <c r="T112" s="62">
        <f t="shared" si="88"/>
        <v>355.82695155276218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4.6442232102398044</v>
      </c>
      <c r="AA112" s="23">
        <f>EXP(-LN(2)/25)*AA111+(1-EXP(-LN(2)/25))/(LN(2)/25)*Calculateur!V112*Calculateur!X112*VLOOKUP('Données projet'!$B$9,Paramètres!$A$1:$I$89,3,0)*0.475*44/12</f>
        <v>1.5677227833386704</v>
      </c>
      <c r="AB112" s="23">
        <f>EXP(-LN(2)/2)*AB111+(1-EXP(-LN(2)/2))/(LN(2)/2)*V112*Y112*VLOOKUP('Données projet'!$B$9,Paramètres!$A$1:$I$89,3,0)*0.475*44/12</f>
        <v>6.2372414744146783E-12</v>
      </c>
      <c r="AC112" s="24">
        <f t="shared" si="57"/>
        <v>6.2119459935847123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4.9658410716801891E-14</v>
      </c>
      <c r="AK112" s="14">
        <f t="shared" si="89"/>
        <v>8.0934058173791862E-13</v>
      </c>
      <c r="AL112" s="22">
        <f t="shared" si="58"/>
        <v>1.4960899118586383E-12</v>
      </c>
      <c r="AM112" s="62">
        <f t="shared" si="59"/>
        <v>293.33333333333479</v>
      </c>
      <c r="AN112" s="62">
        <f ca="1">AVERAGE(OFFSET($AM$3,0,0,'Données projet'!$E$10+1,1))-AVERAGE(OFFSET($H$3,0,0,'Données projet'!$E$10+1,1))</f>
        <v>321.62968871874483</v>
      </c>
      <c r="AO112" s="62">
        <f t="shared" si="90"/>
        <v>389.91636841473559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0.7644395690376149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4.6989486632241547E-11</v>
      </c>
      <c r="AX112" s="23">
        <f t="shared" si="60"/>
        <v>0.76443956908460442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317.99999999999972</v>
      </c>
      <c r="BE112" s="14">
        <f>BD112*VLOOKUP('Données projet'!$B$11,Paramètres!$A$1:$I$89,3,0)*VLOOKUP('Données projet'!$B$11,Paramètres!$A$1:$I$89,5,0)</f>
        <v>233.1575999999998</v>
      </c>
      <c r="BF112" s="14">
        <f t="shared" si="91"/>
        <v>56.964885721091697</v>
      </c>
      <c r="BG112" s="22">
        <f t="shared" si="61"/>
        <v>505.29666263090093</v>
      </c>
      <c r="BH112" s="62">
        <f t="shared" si="62"/>
        <v>798.62999596423424</v>
      </c>
      <c r="BI112" s="62">
        <f ca="1">AVERAGE(OFFSET($BH$3,0,0,'Données projet'!$E$11+1,1))-AVERAGE(OFFSET($H$3,0,0,'Données projet'!$E$11+1,1))</f>
        <v>327.81662150328646</v>
      </c>
      <c r="BJ112" s="62">
        <f t="shared" si="92"/>
        <v>320.24200483294322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1.8324158029030935E-11</v>
      </c>
      <c r="BS112" s="24">
        <f t="shared" si="63"/>
        <v>1.8324158029030935E-11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2.8421709430404007E-14</v>
      </c>
      <c r="BZ112" s="14">
        <f>BY112*VLOOKUP('Données projet'!$B$12,Paramètres!$A$1:$I$89,3,0)*VLOOKUP('Données projet'!$B$12,Paramètres!$A$1:$I$89,5,0)</f>
        <v>1.5518253349000589E-14</v>
      </c>
      <c r="CA112" s="14">
        <f t="shared" si="93"/>
        <v>2.8958815659671149E-13</v>
      </c>
      <c r="CB112" s="22">
        <f t="shared" si="64"/>
        <v>5.3139366398878183E-13</v>
      </c>
      <c r="CC112" s="62">
        <f t="shared" si="65"/>
        <v>293.33333333333383</v>
      </c>
      <c r="CD112" s="62">
        <f ca="1">AVERAGE(OFFSET($CC$3,0,0,'Données projet'!$E$12+1,1))-AVERAGE(OFFSET($H$3,0,0,'Données projet'!$E$12+1,1))</f>
        <v>170.27677128684815</v>
      </c>
      <c r="CE112" s="62">
        <f t="shared" si="94"/>
        <v>243.47439640666289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0.90139296868169649</v>
      </c>
      <c r="CL112" s="23">
        <f>EXP(-LN(2)/25)*CL111+(1-EXP(-LN(2)/25))/(LN(2)/25)*Calculateur!CG112*Calculateur!CI112*VLOOKUP('Données projet'!$B$12,Paramètres!$A$1:$I$89,3,0)*0.475*44/12</f>
        <v>2.0249160763167184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2.926309044998415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0</v>
      </c>
      <c r="CZ112" s="62">
        <f t="shared" si="96"/>
        <v>0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-2.5420376914553347E-13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388.88381485322674</v>
      </c>
      <c r="T113" s="62">
        <f t="shared" si="88"/>
        <v>355.82695155276218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4.5531528257834548</v>
      </c>
      <c r="AA113" s="23">
        <f>EXP(-LN(2)/25)*AA112+(1-EXP(-LN(2)/25))/(LN(2)/25)*Calculateur!V113*Calculateur!X113*VLOOKUP('Données projet'!$B$9,Paramètres!$A$1:$I$89,3,0)*0.475*44/12</f>
        <v>1.5248533213853164</v>
      </c>
      <c r="AB113" s="23">
        <f>EXP(-LN(2)/2)*AB112+(1-EXP(-LN(2)/2))/(LN(2)/2)*V113*Y113*VLOOKUP('Données projet'!$B$9,Paramètres!$A$1:$I$89,3,0)*0.475*44/12</f>
        <v>4.4103957424565989E-12</v>
      </c>
      <c r="AC113" s="24">
        <f t="shared" si="57"/>
        <v>6.0780061471731823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4.9658410716801891E-14</v>
      </c>
      <c r="AK113" s="14">
        <f t="shared" si="89"/>
        <v>8.0934058173791862E-13</v>
      </c>
      <c r="AL113" s="22">
        <f t="shared" si="58"/>
        <v>1.4960899118586383E-12</v>
      </c>
      <c r="AM113" s="62">
        <f t="shared" si="59"/>
        <v>293.33333333333479</v>
      </c>
      <c r="AN113" s="62">
        <f ca="1">AVERAGE(OFFSET($AM$3,0,0,'Données projet'!$E$10+1,1))-AVERAGE(OFFSET($H$3,0,0,'Données projet'!$E$10+1,1))</f>
        <v>321.62968871874483</v>
      </c>
      <c r="AO113" s="62">
        <f t="shared" si="90"/>
        <v>389.91636841473559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0.74944937535088485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3.3226584642132623E-11</v>
      </c>
      <c r="AX113" s="23">
        <f t="shared" si="60"/>
        <v>0.74944937538411138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317.99999999999972</v>
      </c>
      <c r="BE113" s="14">
        <f>BD113*VLOOKUP('Données projet'!$B$11,Paramètres!$A$1:$I$89,3,0)*VLOOKUP('Données projet'!$B$11,Paramètres!$A$1:$I$89,5,0)</f>
        <v>233.1575999999998</v>
      </c>
      <c r="BF113" s="14">
        <f t="shared" si="91"/>
        <v>56.964885721091697</v>
      </c>
      <c r="BG113" s="22">
        <f t="shared" si="61"/>
        <v>505.29666263090093</v>
      </c>
      <c r="BH113" s="62">
        <f t="shared" si="62"/>
        <v>798.62999596423424</v>
      </c>
      <c r="BI113" s="62">
        <f ca="1">AVERAGE(OFFSET($BH$3,0,0,'Données projet'!$E$11+1,1))-AVERAGE(OFFSET($H$3,0,0,'Données projet'!$E$11+1,1))</f>
        <v>327.81662150328646</v>
      </c>
      <c r="BJ113" s="62">
        <f t="shared" si="92"/>
        <v>320.24200483294322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1.2957136401861695E-11</v>
      </c>
      <c r="BS113" s="24">
        <f t="shared" si="63"/>
        <v>1.2957136401861695E-11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2.8421709430404007E-14</v>
      </c>
      <c r="BZ113" s="14">
        <f>BY113*VLOOKUP('Données projet'!$B$12,Paramètres!$A$1:$I$89,3,0)*VLOOKUP('Données projet'!$B$12,Paramètres!$A$1:$I$89,5,0)</f>
        <v>1.5518253349000589E-14</v>
      </c>
      <c r="CA113" s="14">
        <f t="shared" si="93"/>
        <v>2.8958815659671149E-13</v>
      </c>
      <c r="CB113" s="22">
        <f t="shared" si="64"/>
        <v>5.3139366398878183E-13</v>
      </c>
      <c r="CC113" s="62">
        <f t="shared" si="65"/>
        <v>293.33333333333383</v>
      </c>
      <c r="CD113" s="62">
        <f ca="1">AVERAGE(OFFSET($CC$3,0,0,'Données projet'!$E$12+1,1))-AVERAGE(OFFSET($H$3,0,0,'Données projet'!$E$12+1,1))</f>
        <v>170.27677128684815</v>
      </c>
      <c r="CE113" s="62">
        <f t="shared" si="94"/>
        <v>243.47439640666289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0.88371720236127149</v>
      </c>
      <c r="CL113" s="23">
        <f>EXP(-LN(2)/25)*CL112+(1-EXP(-LN(2)/25))/(LN(2)/25)*Calculateur!CG113*Calculateur!CI113*VLOOKUP('Données projet'!$B$12,Paramètres!$A$1:$I$89,3,0)*0.475*44/12</f>
        <v>1.9695446397241294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2.8532618420854008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0</v>
      </c>
      <c r="CZ113" s="62">
        <f t="shared" si="96"/>
        <v>0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-2.5420376914553347E-13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388.88381485322674</v>
      </c>
      <c r="T114" s="62">
        <f t="shared" si="88"/>
        <v>355.82695155276218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4.463868276018844</v>
      </c>
      <c r="AA114" s="23">
        <f>EXP(-LN(2)/25)*AA113+(1-EXP(-LN(2)/25))/(LN(2)/25)*Calculateur!V114*Calculateur!X114*VLOOKUP('Données projet'!$B$9,Paramètres!$A$1:$I$89,3,0)*0.475*44/12</f>
        <v>1.4831561271234839</v>
      </c>
      <c r="AB114" s="23">
        <f>EXP(-LN(2)/2)*AB113+(1-EXP(-LN(2)/2))/(LN(2)/2)*V114*Y114*VLOOKUP('Données projet'!$B$9,Paramètres!$A$1:$I$89,3,0)*0.475*44/12</f>
        <v>3.1186207372073391E-12</v>
      </c>
      <c r="AC114" s="24">
        <f t="shared" si="57"/>
        <v>5.9470244031454458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4.9658410716801891E-14</v>
      </c>
      <c r="AK114" s="14">
        <f t="shared" si="89"/>
        <v>8.0934058173791862E-13</v>
      </c>
      <c r="AL114" s="22">
        <f t="shared" si="58"/>
        <v>1.4960899118586383E-12</v>
      </c>
      <c r="AM114" s="62">
        <f t="shared" si="59"/>
        <v>293.33333333333479</v>
      </c>
      <c r="AN114" s="62">
        <f ca="1">AVERAGE(OFFSET($AM$3,0,0,'Données projet'!$E$10+1,1))-AVERAGE(OFFSET($H$3,0,0,'Données projet'!$E$10+1,1))</f>
        <v>321.62968871874483</v>
      </c>
      <c r="AO114" s="62">
        <f t="shared" si="90"/>
        <v>389.91636841473559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0.73475313021923616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2.3494743316120774E-11</v>
      </c>
      <c r="AX114" s="23">
        <f t="shared" si="60"/>
        <v>0.73475313024273092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317.99999999999972</v>
      </c>
      <c r="BE114" s="14">
        <f>BD114*VLOOKUP('Données projet'!$B$11,Paramètres!$A$1:$I$89,3,0)*VLOOKUP('Données projet'!$B$11,Paramètres!$A$1:$I$89,5,0)</f>
        <v>233.1575999999998</v>
      </c>
      <c r="BF114" s="14">
        <f t="shared" si="91"/>
        <v>56.964885721091697</v>
      </c>
      <c r="BG114" s="22">
        <f t="shared" si="61"/>
        <v>505.29666263090093</v>
      </c>
      <c r="BH114" s="62">
        <f t="shared" si="62"/>
        <v>798.62999596423424</v>
      </c>
      <c r="BI114" s="62">
        <f ca="1">AVERAGE(OFFSET($BH$3,0,0,'Données projet'!$E$11+1,1))-AVERAGE(OFFSET($H$3,0,0,'Données projet'!$E$11+1,1))</f>
        <v>327.81662150328646</v>
      </c>
      <c r="BJ114" s="62">
        <f t="shared" si="92"/>
        <v>320.24200483294322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9.1620790145154675E-12</v>
      </c>
      <c r="BS114" s="24">
        <f t="shared" si="63"/>
        <v>9.1620790145154675E-12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2.8421709430404007E-14</v>
      </c>
      <c r="BZ114" s="14">
        <f>BY114*VLOOKUP('Données projet'!$B$12,Paramètres!$A$1:$I$89,3,0)*VLOOKUP('Données projet'!$B$12,Paramètres!$A$1:$I$89,5,0)</f>
        <v>1.5518253349000589E-14</v>
      </c>
      <c r="CA114" s="14">
        <f t="shared" si="93"/>
        <v>2.8958815659671149E-13</v>
      </c>
      <c r="CB114" s="22">
        <f t="shared" si="64"/>
        <v>5.3139366398878183E-13</v>
      </c>
      <c r="CC114" s="62">
        <f t="shared" si="65"/>
        <v>293.33333333333383</v>
      </c>
      <c r="CD114" s="62">
        <f ca="1">AVERAGE(OFFSET($CC$3,0,0,'Données projet'!$E$12+1,1))-AVERAGE(OFFSET($H$3,0,0,'Données projet'!$E$12+1,1))</f>
        <v>170.27677128684815</v>
      </c>
      <c r="CE114" s="62">
        <f t="shared" si="94"/>
        <v>243.47439640666289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0.86638804703723715</v>
      </c>
      <c r="CL114" s="23">
        <f>EXP(-LN(2)/25)*CL113+(1-EXP(-LN(2)/25))/(LN(2)/25)*Calculateur!CG114*Calculateur!CI114*VLOOKUP('Données projet'!$B$12,Paramètres!$A$1:$I$89,3,0)*0.475*44/12</f>
        <v>1.9156873379770218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2.782075385014259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0</v>
      </c>
      <c r="CZ114" s="62">
        <f t="shared" si="96"/>
        <v>0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-2.5420376914553347E-13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388.88381485322674</v>
      </c>
      <c r="T115" s="62">
        <f t="shared" si="88"/>
        <v>355.82695155276218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4.3763345418169193</v>
      </c>
      <c r="AA115" s="23">
        <f>EXP(-LN(2)/25)*AA114+(1-EXP(-LN(2)/25))/(LN(2)/25)*Calculateur!V115*Calculateur!X115*VLOOKUP('Données projet'!$B$9,Paramètres!$A$1:$I$89,3,0)*0.475*44/12</f>
        <v>1.4425991448315012</v>
      </c>
      <c r="AB115" s="23">
        <f>EXP(-LN(2)/2)*AB114+(1-EXP(-LN(2)/2))/(LN(2)/2)*V115*Y115*VLOOKUP('Données projet'!$B$9,Paramètres!$A$1:$I$89,3,0)*0.475*44/12</f>
        <v>2.2051978712282995E-12</v>
      </c>
      <c r="AC115" s="24">
        <f t="shared" si="57"/>
        <v>5.8189336866506256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4.9658410716801891E-14</v>
      </c>
      <c r="AK115" s="14">
        <f t="shared" si="89"/>
        <v>8.0934058173791862E-13</v>
      </c>
      <c r="AL115" s="22">
        <f t="shared" si="58"/>
        <v>1.4960899118586383E-12</v>
      </c>
      <c r="AM115" s="62">
        <f t="shared" si="59"/>
        <v>293.33333333333479</v>
      </c>
      <c r="AN115" s="62">
        <f ca="1">AVERAGE(OFFSET($AM$3,0,0,'Données projet'!$E$10+1,1))-AVERAGE(OFFSET($H$3,0,0,'Données projet'!$E$10+1,1))</f>
        <v>321.62968871874483</v>
      </c>
      <c r="AO115" s="62">
        <f t="shared" si="90"/>
        <v>389.91636841473559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0.72034506949079469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1.6613292321066311E-11</v>
      </c>
      <c r="AX115" s="23">
        <f t="shared" si="60"/>
        <v>0.72034506950740795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317.99999999999972</v>
      </c>
      <c r="BE115" s="14">
        <f>BD115*VLOOKUP('Données projet'!$B$11,Paramètres!$A$1:$I$89,3,0)*VLOOKUP('Données projet'!$B$11,Paramètres!$A$1:$I$89,5,0)</f>
        <v>233.1575999999998</v>
      </c>
      <c r="BF115" s="14">
        <f t="shared" si="91"/>
        <v>56.964885721091697</v>
      </c>
      <c r="BG115" s="22">
        <f t="shared" si="61"/>
        <v>505.29666263090093</v>
      </c>
      <c r="BH115" s="62">
        <f t="shared" si="62"/>
        <v>798.62999596423424</v>
      </c>
      <c r="BI115" s="62">
        <f ca="1">AVERAGE(OFFSET($BH$3,0,0,'Données projet'!$E$11+1,1))-AVERAGE(OFFSET($H$3,0,0,'Données projet'!$E$11+1,1))</f>
        <v>327.81662150328646</v>
      </c>
      <c r="BJ115" s="62">
        <f t="shared" si="92"/>
        <v>320.24200483294322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6.4785682009308477E-12</v>
      </c>
      <c r="BS115" s="24">
        <f t="shared" si="63"/>
        <v>6.4785682009308477E-12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2.8421709430404007E-14</v>
      </c>
      <c r="BZ115" s="14">
        <f>BY115*VLOOKUP('Données projet'!$B$12,Paramètres!$A$1:$I$89,3,0)*VLOOKUP('Données projet'!$B$12,Paramètres!$A$1:$I$89,5,0)</f>
        <v>1.5518253349000589E-14</v>
      </c>
      <c r="CA115" s="14">
        <f t="shared" si="93"/>
        <v>2.8958815659671149E-13</v>
      </c>
      <c r="CB115" s="22">
        <f t="shared" si="64"/>
        <v>5.3139366398878183E-13</v>
      </c>
      <c r="CC115" s="62">
        <f t="shared" si="65"/>
        <v>293.33333333333383</v>
      </c>
      <c r="CD115" s="62">
        <f ca="1">AVERAGE(OFFSET($CC$3,0,0,'Données projet'!$E$12+1,1))-AVERAGE(OFFSET($H$3,0,0,'Données projet'!$E$12+1,1))</f>
        <v>170.27677128684815</v>
      </c>
      <c r="CE115" s="62">
        <f t="shared" si="94"/>
        <v>243.47439640666289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0.84939870587936606</v>
      </c>
      <c r="CL115" s="23">
        <f>EXP(-LN(2)/25)*CL114+(1-EXP(-LN(2)/25))/(LN(2)/25)*Calculateur!CG115*Calculateur!CI115*VLOOKUP('Données projet'!$B$12,Paramètres!$A$1:$I$89,3,0)*0.475*44/12</f>
        <v>1.8633027669784215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2.7127014728577876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0</v>
      </c>
      <c r="CZ115" s="62">
        <f t="shared" si="96"/>
        <v>0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-2.5420376914553347E-13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388.88381485322674</v>
      </c>
      <c r="T116" s="62">
        <f t="shared" si="88"/>
        <v>355.82695155276218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4.2905172907523887</v>
      </c>
      <c r="AA116" s="23">
        <f>EXP(-LN(2)/25)*AA115+(1-EXP(-LN(2)/25))/(LN(2)/25)*Calculateur!V116*Calculateur!X116*VLOOKUP('Données projet'!$B$9,Paramètres!$A$1:$I$89,3,0)*0.475*44/12</f>
        <v>1.403151195353092</v>
      </c>
      <c r="AB116" s="23">
        <f>EXP(-LN(2)/2)*AB115+(1-EXP(-LN(2)/2))/(LN(2)/2)*V116*Y116*VLOOKUP('Données projet'!$B$9,Paramètres!$A$1:$I$89,3,0)*0.475*44/12</f>
        <v>1.5593103686036696E-12</v>
      </c>
      <c r="AC116" s="24">
        <f t="shared" si="57"/>
        <v>5.6936684861070406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4.9658410716801891E-14</v>
      </c>
      <c r="AK116" s="14">
        <f t="shared" si="89"/>
        <v>8.0934058173791862E-13</v>
      </c>
      <c r="AL116" s="22">
        <f t="shared" si="58"/>
        <v>1.4960899118586383E-12</v>
      </c>
      <c r="AM116" s="62">
        <f t="shared" si="59"/>
        <v>293.33333333333479</v>
      </c>
      <c r="AN116" s="62">
        <f ca="1">AVERAGE(OFFSET($AM$3,0,0,'Données projet'!$E$10+1,1))-AVERAGE(OFFSET($H$3,0,0,'Données projet'!$E$10+1,1))</f>
        <v>321.62968871874483</v>
      </c>
      <c r="AO116" s="62">
        <f t="shared" si="90"/>
        <v>389.91636841473559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0.70621954204518866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1.1747371658060387E-11</v>
      </c>
      <c r="AX116" s="23">
        <f t="shared" si="60"/>
        <v>0.70621954205693604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317.99999999999972</v>
      </c>
      <c r="BE116" s="14">
        <f>BD116*VLOOKUP('Données projet'!$B$11,Paramètres!$A$1:$I$89,3,0)*VLOOKUP('Données projet'!$B$11,Paramètres!$A$1:$I$89,5,0)</f>
        <v>233.1575999999998</v>
      </c>
      <c r="BF116" s="14">
        <f t="shared" si="91"/>
        <v>56.964885721091697</v>
      </c>
      <c r="BG116" s="22">
        <f t="shared" si="61"/>
        <v>505.29666263090093</v>
      </c>
      <c r="BH116" s="62">
        <f t="shared" si="62"/>
        <v>798.62999596423424</v>
      </c>
      <c r="BI116" s="62">
        <f ca="1">AVERAGE(OFFSET($BH$3,0,0,'Données projet'!$E$11+1,1))-AVERAGE(OFFSET($H$3,0,0,'Données projet'!$E$11+1,1))</f>
        <v>327.81662150328646</v>
      </c>
      <c r="BJ116" s="62">
        <f t="shared" si="92"/>
        <v>320.24200483294322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4.5810395072577337E-12</v>
      </c>
      <c r="BS116" s="24">
        <f t="shared" si="63"/>
        <v>4.5810395072577337E-12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2.8421709430404007E-14</v>
      </c>
      <c r="BZ116" s="14">
        <f>BY116*VLOOKUP('Données projet'!$B$12,Paramètres!$A$1:$I$89,3,0)*VLOOKUP('Données projet'!$B$12,Paramètres!$A$1:$I$89,5,0)</f>
        <v>1.5518253349000589E-14</v>
      </c>
      <c r="CA116" s="14">
        <f t="shared" si="93"/>
        <v>2.8958815659671149E-13</v>
      </c>
      <c r="CB116" s="22">
        <f t="shared" si="64"/>
        <v>5.3139366398878183E-13</v>
      </c>
      <c r="CC116" s="62">
        <f t="shared" si="65"/>
        <v>293.33333333333383</v>
      </c>
      <c r="CD116" s="62">
        <f ca="1">AVERAGE(OFFSET($CC$3,0,0,'Données projet'!$E$12+1,1))-AVERAGE(OFFSET($H$3,0,0,'Données projet'!$E$12+1,1))</f>
        <v>170.27677128684815</v>
      </c>
      <c r="CE116" s="62">
        <f t="shared" si="94"/>
        <v>243.47439640666289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0.83274251533912591</v>
      </c>
      <c r="CL116" s="23">
        <f>EXP(-LN(2)/25)*CL115+(1-EXP(-LN(2)/25))/(LN(2)/25)*Calculateur!CG116*Calculateur!CI116*VLOOKUP('Données projet'!$B$12,Paramètres!$A$1:$I$89,3,0)*0.475*44/12</f>
        <v>1.8123506548285626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2.6450931701676885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0</v>
      </c>
      <c r="CZ116" s="62">
        <f t="shared" si="96"/>
        <v>0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-2.5420376914553347E-13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388.88381485322674</v>
      </c>
      <c r="T117" s="62">
        <f t="shared" si="88"/>
        <v>355.82695155276218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4.2063828636378791</v>
      </c>
      <c r="AA117" s="23">
        <f>EXP(-LN(2)/25)*AA116+(1-EXP(-LN(2)/25))/(LN(2)/25)*Calculateur!V117*Calculateur!X117*VLOOKUP('Données projet'!$B$9,Paramètres!$A$1:$I$89,3,0)*0.475*44/12</f>
        <v>1.3647819521276472</v>
      </c>
      <c r="AB117" s="23">
        <f>EXP(-LN(2)/2)*AB116+(1-EXP(-LN(2)/2))/(LN(2)/2)*V117*Y117*VLOOKUP('Données projet'!$B$9,Paramètres!$A$1:$I$89,3,0)*0.475*44/12</f>
        <v>1.1025989356141497E-12</v>
      </c>
      <c r="AC117" s="24">
        <f t="shared" si="57"/>
        <v>5.571164815766628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4.9658410716801891E-14</v>
      </c>
      <c r="AK117" s="14">
        <f t="shared" si="89"/>
        <v>8.0934058173791862E-13</v>
      </c>
      <c r="AL117" s="22">
        <f t="shared" si="58"/>
        <v>1.4960899118586383E-12</v>
      </c>
      <c r="AM117" s="62">
        <f t="shared" si="59"/>
        <v>293.33333333333479</v>
      </c>
      <c r="AN117" s="62">
        <f ca="1">AVERAGE(OFFSET($AM$3,0,0,'Données projet'!$E$10+1,1))-AVERAGE(OFFSET($H$3,0,0,'Données projet'!$E$10+1,1))</f>
        <v>321.62968871874483</v>
      </c>
      <c r="AO117" s="62">
        <f t="shared" si="90"/>
        <v>389.91636841473559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0.69237100757707004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8.3066461605331557E-12</v>
      </c>
      <c r="AX117" s="23">
        <f t="shared" si="60"/>
        <v>0.69237100758537673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317.99999999999972</v>
      </c>
      <c r="BE117" s="14">
        <f>BD117*VLOOKUP('Données projet'!$B$11,Paramètres!$A$1:$I$89,3,0)*VLOOKUP('Données projet'!$B$11,Paramètres!$A$1:$I$89,5,0)</f>
        <v>233.1575999999998</v>
      </c>
      <c r="BF117" s="14">
        <f t="shared" si="91"/>
        <v>56.964885721091697</v>
      </c>
      <c r="BG117" s="22">
        <f t="shared" si="61"/>
        <v>505.29666263090093</v>
      </c>
      <c r="BH117" s="62">
        <f t="shared" si="62"/>
        <v>798.62999596423424</v>
      </c>
      <c r="BI117" s="62">
        <f ca="1">AVERAGE(OFFSET($BH$3,0,0,'Données projet'!$E$11+1,1))-AVERAGE(OFFSET($H$3,0,0,'Données projet'!$E$11+1,1))</f>
        <v>327.81662150328646</v>
      </c>
      <c r="BJ117" s="62">
        <f t="shared" si="92"/>
        <v>320.24200483294322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3.2392841004654238E-12</v>
      </c>
      <c r="BS117" s="24">
        <f t="shared" si="63"/>
        <v>3.2392841004654238E-12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2.8421709430404007E-14</v>
      </c>
      <c r="BZ117" s="14">
        <f>BY117*VLOOKUP('Données projet'!$B$12,Paramètres!$A$1:$I$89,3,0)*VLOOKUP('Données projet'!$B$12,Paramètres!$A$1:$I$89,5,0)</f>
        <v>1.5518253349000589E-14</v>
      </c>
      <c r="CA117" s="14">
        <f t="shared" si="93"/>
        <v>2.8958815659671149E-13</v>
      </c>
      <c r="CB117" s="22">
        <f t="shared" si="64"/>
        <v>5.3139366398878183E-13</v>
      </c>
      <c r="CC117" s="62">
        <f t="shared" si="65"/>
        <v>293.33333333333383</v>
      </c>
      <c r="CD117" s="62">
        <f ca="1">AVERAGE(OFFSET($CC$3,0,0,'Données projet'!$E$12+1,1))-AVERAGE(OFFSET($H$3,0,0,'Données projet'!$E$12+1,1))</f>
        <v>170.27677128684815</v>
      </c>
      <c r="CE117" s="62">
        <f t="shared" si="94"/>
        <v>243.47439640666289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0.81641294253610674</v>
      </c>
      <c r="CL117" s="23">
        <f>EXP(-LN(2)/25)*CL116+(1-EXP(-LN(2)/25))/(LN(2)/25)*Calculateur!CG117*Calculateur!CI117*VLOOKUP('Données projet'!$B$12,Paramètres!$A$1:$I$89,3,0)*0.475*44/12</f>
        <v>1.7627918308648969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2.5792047734010035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0</v>
      </c>
      <c r="CZ117" s="62">
        <f t="shared" si="96"/>
        <v>0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-2.5420376914553347E-13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388.88381485322674</v>
      </c>
      <c r="T118" s="62">
        <f t="shared" si="88"/>
        <v>355.82695155276218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4.1238982613221511</v>
      </c>
      <c r="AA118" s="23">
        <f>EXP(-LN(2)/25)*AA117+(1-EXP(-LN(2)/25))/(LN(2)/25)*Calculateur!V118*Calculateur!X118*VLOOKUP('Données projet'!$B$9,Paramètres!$A$1:$I$89,3,0)*0.475*44/12</f>
        <v>1.327461917875953</v>
      </c>
      <c r="AB118" s="23">
        <f>EXP(-LN(2)/2)*AB117+(1-EXP(-LN(2)/2))/(LN(2)/2)*V118*Y118*VLOOKUP('Données projet'!$B$9,Paramètres!$A$1:$I$89,3,0)*0.475*44/12</f>
        <v>7.7965518430183478E-13</v>
      </c>
      <c r="AC118" s="24">
        <f t="shared" si="57"/>
        <v>5.4513601791988844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4.9658410716801891E-14</v>
      </c>
      <c r="AK118" s="14">
        <f t="shared" si="89"/>
        <v>8.0934058173791862E-13</v>
      </c>
      <c r="AL118" s="22">
        <f t="shared" si="58"/>
        <v>1.4960899118586383E-12</v>
      </c>
      <c r="AM118" s="62">
        <f t="shared" si="59"/>
        <v>293.33333333333479</v>
      </c>
      <c r="AN118" s="62">
        <f ca="1">AVERAGE(OFFSET($AM$3,0,0,'Données projet'!$E$10+1,1))-AVERAGE(OFFSET($H$3,0,0,'Données projet'!$E$10+1,1))</f>
        <v>321.62968871874483</v>
      </c>
      <c r="AO118" s="62">
        <f t="shared" si="90"/>
        <v>389.91636841473559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0.67879403442309916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5.8736858290301934E-12</v>
      </c>
      <c r="AX118" s="23">
        <f t="shared" si="60"/>
        <v>0.67879403442897279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317.99999999999972</v>
      </c>
      <c r="BE118" s="14">
        <f>BD118*VLOOKUP('Données projet'!$B$11,Paramètres!$A$1:$I$89,3,0)*VLOOKUP('Données projet'!$B$11,Paramètres!$A$1:$I$89,5,0)</f>
        <v>233.1575999999998</v>
      </c>
      <c r="BF118" s="14">
        <f t="shared" si="91"/>
        <v>56.964885721091697</v>
      </c>
      <c r="BG118" s="22">
        <f t="shared" si="61"/>
        <v>505.29666263090093</v>
      </c>
      <c r="BH118" s="62">
        <f t="shared" si="62"/>
        <v>798.62999596423424</v>
      </c>
      <c r="BI118" s="62">
        <f ca="1">AVERAGE(OFFSET($BH$3,0,0,'Données projet'!$E$11+1,1))-AVERAGE(OFFSET($H$3,0,0,'Données projet'!$E$11+1,1))</f>
        <v>327.81662150328646</v>
      </c>
      <c r="BJ118" s="62">
        <f t="shared" si="92"/>
        <v>320.24200483294322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2.2905197536288669E-12</v>
      </c>
      <c r="BS118" s="24">
        <f t="shared" si="63"/>
        <v>2.2905197536288669E-12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2.8421709430404007E-14</v>
      </c>
      <c r="BZ118" s="14">
        <f>BY118*VLOOKUP('Données projet'!$B$12,Paramètres!$A$1:$I$89,3,0)*VLOOKUP('Données projet'!$B$12,Paramètres!$A$1:$I$89,5,0)</f>
        <v>1.5518253349000589E-14</v>
      </c>
      <c r="CA118" s="14">
        <f t="shared" si="93"/>
        <v>2.8958815659671149E-13</v>
      </c>
      <c r="CB118" s="22">
        <f t="shared" si="64"/>
        <v>5.3139366398878183E-13</v>
      </c>
      <c r="CC118" s="62">
        <f t="shared" si="65"/>
        <v>293.33333333333383</v>
      </c>
      <c r="CD118" s="62">
        <f ca="1">AVERAGE(OFFSET($CC$3,0,0,'Données projet'!$E$12+1,1))-AVERAGE(OFFSET($H$3,0,0,'Données projet'!$E$12+1,1))</f>
        <v>170.27677128684815</v>
      </c>
      <c r="CE118" s="62">
        <f t="shared" si="94"/>
        <v>243.47439640666289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0.80040358269569889</v>
      </c>
      <c r="CL118" s="23">
        <f>EXP(-LN(2)/25)*CL117+(1-EXP(-LN(2)/25))/(LN(2)/25)*Calculateur!CG118*Calculateur!CI118*VLOOKUP('Données projet'!$B$12,Paramètres!$A$1:$I$89,3,0)*0.475*44/12</f>
        <v>1.7145881955487028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2.5149917782444016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0</v>
      </c>
      <c r="CZ118" s="62">
        <f t="shared" si="96"/>
        <v>0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-2.5420376914553347E-13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388.88381485322674</v>
      </c>
      <c r="T119" s="62">
        <f t="shared" si="88"/>
        <v>355.82695155276218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4.0430311317471945</v>
      </c>
      <c r="AA119" s="23">
        <f>EXP(-LN(2)/25)*AA118+(1-EXP(-LN(2)/25))/(LN(2)/25)*Calculateur!V119*Calculateur!X119*VLOOKUP('Données projet'!$B$9,Paramètres!$A$1:$I$89,3,0)*0.475*44/12</f>
        <v>1.2911624019234469</v>
      </c>
      <c r="AB119" s="23">
        <f>EXP(-LN(2)/2)*AB118+(1-EXP(-LN(2)/2))/(LN(2)/2)*V119*Y119*VLOOKUP('Données projet'!$B$9,Paramètres!$A$1:$I$89,3,0)*0.475*44/12</f>
        <v>5.5129946780707487E-13</v>
      </c>
      <c r="AC119" s="24">
        <f t="shared" si="57"/>
        <v>5.3341935336711925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4.9658410716801891E-14</v>
      </c>
      <c r="AK119" s="14">
        <f t="shared" si="89"/>
        <v>8.0934058173791862E-13</v>
      </c>
      <c r="AL119" s="22">
        <f t="shared" si="58"/>
        <v>1.4960899118586383E-12</v>
      </c>
      <c r="AM119" s="62">
        <f t="shared" si="59"/>
        <v>293.33333333333479</v>
      </c>
      <c r="AN119" s="62">
        <f ca="1">AVERAGE(OFFSET($AM$3,0,0,'Données projet'!$E$10+1,1))-AVERAGE(OFFSET($H$3,0,0,'Données projet'!$E$10+1,1))</f>
        <v>321.62968871874483</v>
      </c>
      <c r="AO119" s="62">
        <f t="shared" si="90"/>
        <v>389.91636841473559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0.66548329743154178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4.1533230802665779E-12</v>
      </c>
      <c r="AX119" s="23">
        <f t="shared" si="60"/>
        <v>0.66548329743569512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317.99999999999972</v>
      </c>
      <c r="BE119" s="14">
        <f>BD119*VLOOKUP('Données projet'!$B$11,Paramètres!$A$1:$I$89,3,0)*VLOOKUP('Données projet'!$B$11,Paramètres!$A$1:$I$89,5,0)</f>
        <v>233.1575999999998</v>
      </c>
      <c r="BF119" s="14">
        <f t="shared" si="91"/>
        <v>56.964885721091697</v>
      </c>
      <c r="BG119" s="22">
        <f t="shared" si="61"/>
        <v>505.29666263090093</v>
      </c>
      <c r="BH119" s="62">
        <f t="shared" si="62"/>
        <v>798.62999596423424</v>
      </c>
      <c r="BI119" s="62">
        <f ca="1">AVERAGE(OFFSET($BH$3,0,0,'Données projet'!$E$11+1,1))-AVERAGE(OFFSET($H$3,0,0,'Données projet'!$E$11+1,1))</f>
        <v>327.81662150328646</v>
      </c>
      <c r="BJ119" s="62">
        <f t="shared" si="92"/>
        <v>320.24200483294322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1.6196420502327119E-12</v>
      </c>
      <c r="BS119" s="24">
        <f t="shared" si="63"/>
        <v>1.6196420502327119E-12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1.5518253349000589E-14</v>
      </c>
      <c r="CA119" s="14">
        <f t="shared" si="93"/>
        <v>2.8958815659671149E-13</v>
      </c>
      <c r="CB119" s="22">
        <f t="shared" si="64"/>
        <v>5.3139366398878183E-13</v>
      </c>
      <c r="CC119" s="62">
        <f t="shared" si="65"/>
        <v>293.33333333333383</v>
      </c>
      <c r="CD119" s="62">
        <f ca="1">AVERAGE(OFFSET($CC$3,0,0,'Données projet'!$E$12+1,1))-AVERAGE(OFFSET($H$3,0,0,'Données projet'!$E$12+1,1))</f>
        <v>170.27677128684815</v>
      </c>
      <c r="CE119" s="62">
        <f t="shared" si="94"/>
        <v>243.47439640666289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0.7847081566370161</v>
      </c>
      <c r="CL119" s="23">
        <f>EXP(-LN(2)/25)*CL118+(1-EXP(-LN(2)/25))/(LN(2)/25)*Calculateur!CG119*Calculateur!CI119*VLOOKUP('Données projet'!$B$12,Paramètres!$A$1:$I$89,3,0)*0.475*44/12</f>
        <v>1.6677026911751491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2.4524108478121653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0</v>
      </c>
      <c r="CZ119" s="62">
        <f t="shared" si="96"/>
        <v>0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-2.5420376914553347E-13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388.88381485322674</v>
      </c>
      <c r="T120" s="62">
        <f t="shared" si="88"/>
        <v>355.82695155276218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3.9637497572591247</v>
      </c>
      <c r="AA120" s="23">
        <f>EXP(-LN(2)/25)*AA119+(1-EXP(-LN(2)/25))/(LN(2)/25)*Calculateur!V120*Calculateur!X120*VLOOKUP('Données projet'!$B$9,Paramètres!$A$1:$I$89,3,0)*0.475*44/12</f>
        <v>1.2558554981435706</v>
      </c>
      <c r="AB120" s="23">
        <f>EXP(-LN(2)/2)*AB119+(1-EXP(-LN(2)/2))/(LN(2)/2)*V120*Y120*VLOOKUP('Données projet'!$B$9,Paramètres!$A$1:$I$89,3,0)*0.475*44/12</f>
        <v>3.8982759215091739E-13</v>
      </c>
      <c r="AC120" s="24">
        <f t="shared" si="57"/>
        <v>5.219605255403085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4.9658410716801891E-14</v>
      </c>
      <c r="AK120" s="14">
        <f t="shared" si="89"/>
        <v>8.0934058173791862E-13</v>
      </c>
      <c r="AL120" s="22">
        <f t="shared" si="58"/>
        <v>1.4960899118586383E-12</v>
      </c>
      <c r="AM120" s="62">
        <f t="shared" si="59"/>
        <v>293.33333333333479</v>
      </c>
      <c r="AN120" s="62">
        <f ca="1">AVERAGE(OFFSET($AM$3,0,0,'Données projet'!$E$10+1,1))-AVERAGE(OFFSET($H$3,0,0,'Données projet'!$E$10+1,1))</f>
        <v>321.62968871874483</v>
      </c>
      <c r="AO120" s="62">
        <f t="shared" si="90"/>
        <v>389.91636841473559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0.65243357587364093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2.9368429145150967E-12</v>
      </c>
      <c r="AX120" s="23">
        <f t="shared" si="60"/>
        <v>0.6524335758765778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317.99999999999972</v>
      </c>
      <c r="BE120" s="14">
        <f>BD120*VLOOKUP('Données projet'!$B$11,Paramètres!$A$1:$I$89,3,0)*VLOOKUP('Données projet'!$B$11,Paramètres!$A$1:$I$89,5,0)</f>
        <v>233.1575999999998</v>
      </c>
      <c r="BF120" s="14">
        <f t="shared" si="91"/>
        <v>56.964885721091697</v>
      </c>
      <c r="BG120" s="22">
        <f t="shared" si="61"/>
        <v>505.29666263090093</v>
      </c>
      <c r="BH120" s="62">
        <f t="shared" si="62"/>
        <v>798.62999596423424</v>
      </c>
      <c r="BI120" s="62">
        <f ca="1">AVERAGE(OFFSET($BH$3,0,0,'Données projet'!$E$11+1,1))-AVERAGE(OFFSET($H$3,0,0,'Données projet'!$E$11+1,1))</f>
        <v>327.81662150328646</v>
      </c>
      <c r="BJ120" s="62">
        <f t="shared" si="92"/>
        <v>320.24200483294322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1.1452598768144334E-12</v>
      </c>
      <c r="BS120" s="24">
        <f t="shared" si="63"/>
        <v>1.1452598768144334E-12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1.5518253349000589E-14</v>
      </c>
      <c r="CA120" s="14">
        <f t="shared" si="93"/>
        <v>2.8958815659671149E-13</v>
      </c>
      <c r="CB120" s="22">
        <f t="shared" si="64"/>
        <v>5.3139366398878183E-13</v>
      </c>
      <c r="CC120" s="62">
        <f t="shared" si="65"/>
        <v>293.33333333333383</v>
      </c>
      <c r="CD120" s="62">
        <f ca="1">AVERAGE(OFFSET($CC$3,0,0,'Données projet'!$E$12+1,1))-AVERAGE(OFFSET($H$3,0,0,'Données projet'!$E$12+1,1))</f>
        <v>170.27677128684815</v>
      </c>
      <c r="CE120" s="62">
        <f t="shared" si="94"/>
        <v>243.47439640666289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0.76932050831007948</v>
      </c>
      <c r="CL120" s="23">
        <f>EXP(-LN(2)/25)*CL119+(1-EXP(-LN(2)/25))/(LN(2)/25)*Calculateur!CG120*Calculateur!CI120*VLOOKUP('Données projet'!$B$12,Paramètres!$A$1:$I$89,3,0)*0.475*44/12</f>
        <v>1.6220992733842918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2.3914197816943714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0</v>
      </c>
      <c r="CZ120" s="62">
        <f t="shared" si="96"/>
        <v>0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-2.5420376914553347E-13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388.88381485322674</v>
      </c>
      <c r="T121" s="62">
        <f t="shared" si="88"/>
        <v>355.82695155276218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3.8860230421679023</v>
      </c>
      <c r="AA121" s="23">
        <f>EXP(-LN(2)/25)*AA120+(1-EXP(-LN(2)/25))/(LN(2)/25)*Calculateur!V121*Calculateur!X121*VLOOKUP('Données projet'!$B$9,Paramètres!$A$1:$I$89,3,0)*0.475*44/12</f>
        <v>1.2215140635042643</v>
      </c>
      <c r="AB121" s="23">
        <f>EXP(-LN(2)/2)*AB120+(1-EXP(-LN(2)/2))/(LN(2)/2)*V121*Y121*VLOOKUP('Données projet'!$B$9,Paramètres!$A$1:$I$89,3,0)*0.475*44/12</f>
        <v>2.7564973390353743E-13</v>
      </c>
      <c r="AC121" s="24">
        <f t="shared" si="57"/>
        <v>5.1075371056724421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4.9658410716801891E-14</v>
      </c>
      <c r="AK121" s="14">
        <f t="shared" si="89"/>
        <v>8.0934058173791862E-13</v>
      </c>
      <c r="AL121" s="22">
        <f t="shared" si="58"/>
        <v>1.4960899118586383E-12</v>
      </c>
      <c r="AM121" s="62">
        <f t="shared" si="59"/>
        <v>293.33333333333479</v>
      </c>
      <c r="AN121" s="62">
        <f ca="1">AVERAGE(OFFSET($AM$3,0,0,'Données projet'!$E$10+1,1))-AVERAGE(OFFSET($H$3,0,0,'Données projet'!$E$10+1,1))</f>
        <v>321.62968871874483</v>
      </c>
      <c r="AO121" s="62">
        <f t="shared" si="90"/>
        <v>389.91636841473559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0.63963975139594631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2.0766615401332889E-12</v>
      </c>
      <c r="AX121" s="23">
        <f t="shared" si="60"/>
        <v>0.63963975139802298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317.99999999999972</v>
      </c>
      <c r="BE121" s="14">
        <f>BD121*VLOOKUP('Données projet'!$B$11,Paramètres!$A$1:$I$89,3,0)*VLOOKUP('Données projet'!$B$11,Paramètres!$A$1:$I$89,5,0)</f>
        <v>233.1575999999998</v>
      </c>
      <c r="BF121" s="14">
        <f t="shared" si="91"/>
        <v>56.964885721091697</v>
      </c>
      <c r="BG121" s="22">
        <f t="shared" si="61"/>
        <v>505.29666263090093</v>
      </c>
      <c r="BH121" s="62">
        <f t="shared" si="62"/>
        <v>798.62999596423424</v>
      </c>
      <c r="BI121" s="62">
        <f ca="1">AVERAGE(OFFSET($BH$3,0,0,'Données projet'!$E$11+1,1))-AVERAGE(OFFSET($H$3,0,0,'Données projet'!$E$11+1,1))</f>
        <v>327.81662150328646</v>
      </c>
      <c r="BJ121" s="62">
        <f t="shared" si="92"/>
        <v>320.24200483294322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8.0982102511635596E-13</v>
      </c>
      <c r="BS121" s="24">
        <f t="shared" si="63"/>
        <v>8.0982102511635596E-13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1.5518253349000589E-14</v>
      </c>
      <c r="CA121" s="14">
        <f t="shared" si="93"/>
        <v>2.8958815659671149E-13</v>
      </c>
      <c r="CB121" s="22">
        <f t="shared" si="64"/>
        <v>5.3139366398878183E-13</v>
      </c>
      <c r="CC121" s="62">
        <f t="shared" si="65"/>
        <v>293.33333333333383</v>
      </c>
      <c r="CD121" s="62">
        <f ca="1">AVERAGE(OFFSET($CC$3,0,0,'Données projet'!$E$12+1,1))-AVERAGE(OFFSET($H$3,0,0,'Données projet'!$E$12+1,1))</f>
        <v>170.27677128684815</v>
      </c>
      <c r="CE121" s="62">
        <f t="shared" si="94"/>
        <v>243.47439640666289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0.75423460238129536</v>
      </c>
      <c r="CL121" s="23">
        <f>EXP(-LN(2)/25)*CL120+(1-EXP(-LN(2)/25))/(LN(2)/25)*Calculateur!CG121*Calculateur!CI121*VLOOKUP('Données projet'!$B$12,Paramètres!$A$1:$I$89,3,0)*0.475*44/12</f>
        <v>1.5777428834511049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2.3319774858324003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0</v>
      </c>
      <c r="CZ121" s="62">
        <f t="shared" si="96"/>
        <v>0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-2.5420376914553347E-13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388.88381485322674</v>
      </c>
      <c r="T122" s="62">
        <f t="shared" si="88"/>
        <v>355.82695155276218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3.8098205005510035</v>
      </c>
      <c r="AA122" s="23">
        <f>EXP(-LN(2)/25)*AA121+(1-EXP(-LN(2)/25))/(LN(2)/25)*Calculateur!V122*Calculateur!X122*VLOOKUP('Données projet'!$B$9,Paramètres!$A$1:$I$89,3,0)*0.475*44/12</f>
        <v>1.1881116972011074</v>
      </c>
      <c r="AB122" s="23">
        <f>EXP(-LN(2)/2)*AB121+(1-EXP(-LN(2)/2))/(LN(2)/2)*V122*Y122*VLOOKUP('Données projet'!$B$9,Paramètres!$A$1:$I$89,3,0)*0.475*44/12</f>
        <v>1.949137960754587E-13</v>
      </c>
      <c r="AC122" s="24">
        <f t="shared" si="57"/>
        <v>4.9979321977523057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4.9658410716801891E-14</v>
      </c>
      <c r="AK122" s="14">
        <f t="shared" si="89"/>
        <v>8.0934058173791862E-13</v>
      </c>
      <c r="AL122" s="22">
        <f t="shared" si="58"/>
        <v>1.4960899118586383E-12</v>
      </c>
      <c r="AM122" s="62">
        <f t="shared" si="59"/>
        <v>293.33333333333479</v>
      </c>
      <c r="AN122" s="62">
        <f ca="1">AVERAGE(OFFSET($AM$3,0,0,'Données projet'!$E$10+1,1))-AVERAGE(OFFSET($H$3,0,0,'Données projet'!$E$10+1,1))</f>
        <v>321.62968871874483</v>
      </c>
      <c r="AO122" s="62">
        <f t="shared" si="90"/>
        <v>389.91636841473559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0.62709680601279683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1.4684214572575483E-12</v>
      </c>
      <c r="AX122" s="23">
        <f t="shared" si="60"/>
        <v>0.62709680601426521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317.99999999999972</v>
      </c>
      <c r="BE122" s="14">
        <f>BD122*VLOOKUP('Données projet'!$B$11,Paramètres!$A$1:$I$89,3,0)*VLOOKUP('Données projet'!$B$11,Paramètres!$A$1:$I$89,5,0)</f>
        <v>233.1575999999998</v>
      </c>
      <c r="BF122" s="14">
        <f t="shared" si="91"/>
        <v>56.964885721091697</v>
      </c>
      <c r="BG122" s="22">
        <f t="shared" si="61"/>
        <v>505.29666263090093</v>
      </c>
      <c r="BH122" s="62">
        <f t="shared" si="62"/>
        <v>798.62999596423424</v>
      </c>
      <c r="BI122" s="62">
        <f ca="1">AVERAGE(OFFSET($BH$3,0,0,'Données projet'!$E$11+1,1))-AVERAGE(OFFSET($H$3,0,0,'Données projet'!$E$11+1,1))</f>
        <v>327.81662150328646</v>
      </c>
      <c r="BJ122" s="62">
        <f t="shared" si="92"/>
        <v>320.24200483294322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5.7262993840721672E-13</v>
      </c>
      <c r="BS122" s="24">
        <f t="shared" si="63"/>
        <v>5.7262993840721672E-13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1.5518253349000589E-14</v>
      </c>
      <c r="CA122" s="14">
        <f t="shared" si="93"/>
        <v>2.8958815659671149E-13</v>
      </c>
      <c r="CB122" s="22">
        <f t="shared" si="64"/>
        <v>5.3139366398878183E-13</v>
      </c>
      <c r="CC122" s="62">
        <f t="shared" si="65"/>
        <v>293.33333333333383</v>
      </c>
      <c r="CD122" s="62">
        <f ca="1">AVERAGE(OFFSET($CC$3,0,0,'Données projet'!$E$12+1,1))-AVERAGE(OFFSET($H$3,0,0,'Données projet'!$E$12+1,1))</f>
        <v>170.27677128684815</v>
      </c>
      <c r="CE122" s="62">
        <f t="shared" si="94"/>
        <v>243.47439640666289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0.73944452186628062</v>
      </c>
      <c r="CL122" s="23">
        <f>EXP(-LN(2)/25)*CL121+(1-EXP(-LN(2)/25))/(LN(2)/25)*Calculateur!CG122*Calculateur!CI122*VLOOKUP('Données projet'!$B$12,Paramètres!$A$1:$I$89,3,0)*0.475*44/12</f>
        <v>1.5345994213332421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2.2740439431995227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0</v>
      </c>
      <c r="CZ122" s="62">
        <f t="shared" si="96"/>
        <v>0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-2.5420376914553347E-13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388.88381485322674</v>
      </c>
      <c r="T123" s="62">
        <f t="shared" si="88"/>
        <v>355.82695155276218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3.7351122442962512</v>
      </c>
      <c r="AA123" s="23">
        <f>EXP(-LN(2)/25)*AA122+(1-EXP(-LN(2)/25))/(LN(2)/25)*Calculateur!V123*Calculateur!X123*VLOOKUP('Données projet'!$B$9,Paramètres!$A$1:$I$89,3,0)*0.475*44/12</f>
        <v>1.1556227203610645</v>
      </c>
      <c r="AB123" s="23">
        <f>EXP(-LN(2)/2)*AB122+(1-EXP(-LN(2)/2))/(LN(2)/2)*V123*Y123*VLOOKUP('Données projet'!$B$9,Paramètres!$A$1:$I$89,3,0)*0.475*44/12</f>
        <v>1.3782486695176872E-13</v>
      </c>
      <c r="AC123" s="24">
        <f t="shared" si="57"/>
        <v>4.8907349646574536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4.9658410716801891E-14</v>
      </c>
      <c r="AK123" s="14">
        <f t="shared" si="89"/>
        <v>8.0934058173791862E-13</v>
      </c>
      <c r="AL123" s="22">
        <f t="shared" si="58"/>
        <v>1.4960899118586383E-12</v>
      </c>
      <c r="AM123" s="62">
        <f t="shared" si="59"/>
        <v>293.33333333333479</v>
      </c>
      <c r="AN123" s="62">
        <f ca="1">AVERAGE(OFFSET($AM$3,0,0,'Données projet'!$E$10+1,1))-AVERAGE(OFFSET($H$3,0,0,'Données projet'!$E$10+1,1))</f>
        <v>321.62968871874483</v>
      </c>
      <c r="AO123" s="62">
        <f t="shared" si="90"/>
        <v>389.91636841473559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0.61479982013816969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1.0383307700666445E-12</v>
      </c>
      <c r="AX123" s="23">
        <f t="shared" si="60"/>
        <v>0.61479982013920798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317.99999999999972</v>
      </c>
      <c r="BE123" s="14">
        <f>BD123*VLOOKUP('Données projet'!$B$11,Paramètres!$A$1:$I$89,3,0)*VLOOKUP('Données projet'!$B$11,Paramètres!$A$1:$I$89,5,0)</f>
        <v>233.1575999999998</v>
      </c>
      <c r="BF123" s="14">
        <f t="shared" si="91"/>
        <v>56.964885721091697</v>
      </c>
      <c r="BG123" s="22">
        <f t="shared" si="61"/>
        <v>505.29666263090093</v>
      </c>
      <c r="BH123" s="62">
        <f t="shared" si="62"/>
        <v>798.62999596423424</v>
      </c>
      <c r="BI123" s="62">
        <f ca="1">AVERAGE(OFFSET($BH$3,0,0,'Données projet'!$E$11+1,1))-AVERAGE(OFFSET($H$3,0,0,'Données projet'!$E$11+1,1))</f>
        <v>327.81662150328646</v>
      </c>
      <c r="BJ123" s="62">
        <f t="shared" si="92"/>
        <v>320.24200483294322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4.0491051255817798E-13</v>
      </c>
      <c r="BS123" s="24">
        <f t="shared" si="63"/>
        <v>4.0491051255817798E-13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1.5518253349000589E-14</v>
      </c>
      <c r="CA123" s="14">
        <f t="shared" si="93"/>
        <v>2.8958815659671149E-13</v>
      </c>
      <c r="CB123" s="22">
        <f t="shared" si="64"/>
        <v>5.3139366398878183E-13</v>
      </c>
      <c r="CC123" s="62">
        <f t="shared" si="65"/>
        <v>293.33333333333383</v>
      </c>
      <c r="CD123" s="62">
        <f ca="1">AVERAGE(OFFSET($CC$3,0,0,'Données projet'!$E$12+1,1))-AVERAGE(OFFSET($H$3,0,0,'Données projet'!$E$12+1,1))</f>
        <v>170.27677128684815</v>
      </c>
      <c r="CE123" s="62">
        <f t="shared" si="94"/>
        <v>243.47439640666289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0.72494446580910699</v>
      </c>
      <c r="CL123" s="23">
        <f>EXP(-LN(2)/25)*CL122+(1-EXP(-LN(2)/25))/(LN(2)/25)*Calculateur!CG123*Calculateur!CI123*VLOOKUP('Données projet'!$B$12,Paramètres!$A$1:$I$89,3,0)*0.475*44/12</f>
        <v>1.4926357194558084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2.2175801852649153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0</v>
      </c>
      <c r="CZ123" s="62">
        <f t="shared" si="96"/>
        <v>0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-2.5420376914553347E-13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388.88381485322674</v>
      </c>
      <c r="T124" s="62">
        <f t="shared" si="88"/>
        <v>355.82695155276218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3.6618689713791177</v>
      </c>
      <c r="AA124" s="23">
        <f>EXP(-LN(2)/25)*AA123+(1-EXP(-LN(2)/25))/(LN(2)/25)*Calculateur!V124*Calculateur!X124*VLOOKUP('Données projet'!$B$9,Paramètres!$A$1:$I$89,3,0)*0.475*44/12</f>
        <v>1.1240221563012336</v>
      </c>
      <c r="AB124" s="23">
        <f>EXP(-LN(2)/2)*AB123+(1-EXP(-LN(2)/2))/(LN(2)/2)*V124*Y124*VLOOKUP('Données projet'!$B$9,Paramètres!$A$1:$I$89,3,0)*0.475*44/12</f>
        <v>9.7456898037729348E-14</v>
      </c>
      <c r="AC124" s="24">
        <f t="shared" si="57"/>
        <v>4.7858911276804488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4.9658410716801891E-14</v>
      </c>
      <c r="AK124" s="14">
        <f t="shared" si="89"/>
        <v>8.0934058173791862E-13</v>
      </c>
      <c r="AL124" s="22">
        <f t="shared" si="58"/>
        <v>1.4960899118586383E-12</v>
      </c>
      <c r="AM124" s="62">
        <f t="shared" si="59"/>
        <v>293.33333333333479</v>
      </c>
      <c r="AN124" s="62">
        <f ca="1">AVERAGE(OFFSET($AM$3,0,0,'Données projet'!$E$10+1,1))-AVERAGE(OFFSET($H$3,0,0,'Données projet'!$E$10+1,1))</f>
        <v>321.62968871874483</v>
      </c>
      <c r="AO124" s="62">
        <f t="shared" si="90"/>
        <v>389.91636841473559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0.60274397065612317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7.3421072862877417E-13</v>
      </c>
      <c r="AX124" s="23">
        <f t="shared" si="60"/>
        <v>0.60274397065685736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317.99999999999972</v>
      </c>
      <c r="BE124" s="14">
        <f>BD124*VLOOKUP('Données projet'!$B$11,Paramètres!$A$1:$I$89,3,0)*VLOOKUP('Données projet'!$B$11,Paramètres!$A$1:$I$89,5,0)</f>
        <v>233.1575999999998</v>
      </c>
      <c r="BF124" s="14">
        <f t="shared" si="91"/>
        <v>56.964885721091697</v>
      </c>
      <c r="BG124" s="22">
        <f t="shared" si="61"/>
        <v>505.29666263090093</v>
      </c>
      <c r="BH124" s="62">
        <f t="shared" si="62"/>
        <v>798.62999596423424</v>
      </c>
      <c r="BI124" s="62">
        <f ca="1">AVERAGE(OFFSET($BH$3,0,0,'Données projet'!$E$11+1,1))-AVERAGE(OFFSET($H$3,0,0,'Données projet'!$E$11+1,1))</f>
        <v>327.81662150328646</v>
      </c>
      <c r="BJ124" s="62">
        <f t="shared" si="92"/>
        <v>320.24200483294322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2.8631496920360836E-13</v>
      </c>
      <c r="BS124" s="24">
        <f t="shared" si="63"/>
        <v>2.8631496920360836E-13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1.5518253349000589E-14</v>
      </c>
      <c r="CA124" s="14">
        <f t="shared" si="93"/>
        <v>2.8958815659671149E-13</v>
      </c>
      <c r="CB124" s="22">
        <f t="shared" si="64"/>
        <v>5.3139366398878183E-13</v>
      </c>
      <c r="CC124" s="62">
        <f t="shared" si="65"/>
        <v>293.33333333333383</v>
      </c>
      <c r="CD124" s="62">
        <f ca="1">AVERAGE(OFFSET($CC$3,0,0,'Données projet'!$E$12+1,1))-AVERAGE(OFFSET($H$3,0,0,'Données projet'!$E$12+1,1))</f>
        <v>170.27677128684815</v>
      </c>
      <c r="CE124" s="62">
        <f t="shared" si="94"/>
        <v>243.47439640666289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0.71072874700705369</v>
      </c>
      <c r="CL124" s="23">
        <f>EXP(-LN(2)/25)*CL123+(1-EXP(-LN(2)/25))/(LN(2)/25)*Calculateur!CG124*Calculateur!CI124*VLOOKUP('Données projet'!$B$12,Paramètres!$A$1:$I$89,3,0)*0.475*44/12</f>
        <v>1.4518195172129884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2.162548264220042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0</v>
      </c>
      <c r="CZ124" s="62">
        <f t="shared" si="96"/>
        <v>0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-2.5420376914553347E-13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388.88381485322674</v>
      </c>
      <c r="T125" s="62">
        <f t="shared" si="88"/>
        <v>355.82695155276218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3.5900619543699039</v>
      </c>
      <c r="AA125" s="23">
        <f>EXP(-LN(2)/25)*AA124+(1-EXP(-LN(2)/25))/(LN(2)/25)*Calculateur!V125*Calculateur!X125*VLOOKUP('Données projet'!$B$9,Paramètres!$A$1:$I$89,3,0)*0.475*44/12</f>
        <v>1.0932857113274201</v>
      </c>
      <c r="AB125" s="23">
        <f>EXP(-LN(2)/2)*AB124+(1-EXP(-LN(2)/2))/(LN(2)/2)*V125*Y125*VLOOKUP('Données projet'!$B$9,Paramètres!$A$1:$I$89,3,0)*0.475*44/12</f>
        <v>6.8912433475884358E-14</v>
      </c>
      <c r="AC125" s="24">
        <f t="shared" si="57"/>
        <v>4.6833476656973936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4.9658410716801891E-14</v>
      </c>
      <c r="AK125" s="14">
        <f t="shared" si="89"/>
        <v>8.0934058173791862E-13</v>
      </c>
      <c r="AL125" s="22">
        <f t="shared" si="58"/>
        <v>1.4960899118586383E-12</v>
      </c>
      <c r="AM125" s="62">
        <f t="shared" si="59"/>
        <v>293.33333333333479</v>
      </c>
      <c r="AN125" s="62">
        <f ca="1">AVERAGE(OFFSET($AM$3,0,0,'Données projet'!$E$10+1,1))-AVERAGE(OFFSET($H$3,0,0,'Données projet'!$E$10+1,1))</f>
        <v>321.62968871874483</v>
      </c>
      <c r="AO125" s="62">
        <f t="shared" si="90"/>
        <v>389.91636841473559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0.59092452902907755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5.1916538503332223E-13</v>
      </c>
      <c r="AX125" s="23">
        <f t="shared" si="60"/>
        <v>0.59092452902959669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317.99999999999972</v>
      </c>
      <c r="BE125" s="14">
        <f>BD125*VLOOKUP('Données projet'!$B$11,Paramètres!$A$1:$I$89,3,0)*VLOOKUP('Données projet'!$B$11,Paramètres!$A$1:$I$89,5,0)</f>
        <v>233.1575999999998</v>
      </c>
      <c r="BF125" s="14">
        <f t="shared" si="91"/>
        <v>56.964885721091697</v>
      </c>
      <c r="BG125" s="22">
        <f t="shared" si="61"/>
        <v>505.29666263090093</v>
      </c>
      <c r="BH125" s="62">
        <f t="shared" si="62"/>
        <v>798.62999596423424</v>
      </c>
      <c r="BI125" s="62">
        <f ca="1">AVERAGE(OFFSET($BH$3,0,0,'Données projet'!$E$11+1,1))-AVERAGE(OFFSET($H$3,0,0,'Données projet'!$E$11+1,1))</f>
        <v>327.81662150328646</v>
      </c>
      <c r="BJ125" s="62">
        <f t="shared" si="92"/>
        <v>320.24200483294322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2.0245525627908899E-13</v>
      </c>
      <c r="BS125" s="24">
        <f t="shared" si="63"/>
        <v>2.0245525627908899E-13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1.5518253349000589E-14</v>
      </c>
      <c r="CA125" s="14">
        <f t="shared" si="93"/>
        <v>2.8958815659671149E-13</v>
      </c>
      <c r="CB125" s="22">
        <f t="shared" si="64"/>
        <v>5.3139366398878183E-13</v>
      </c>
      <c r="CC125" s="62">
        <f t="shared" si="65"/>
        <v>293.33333333333383</v>
      </c>
      <c r="CD125" s="62">
        <f ca="1">AVERAGE(OFFSET($CC$3,0,0,'Données projet'!$E$12+1,1))-AVERAGE(OFFSET($H$3,0,0,'Données projet'!$E$12+1,1))</f>
        <v>170.27677128684815</v>
      </c>
      <c r="CE125" s="62">
        <f t="shared" si="94"/>
        <v>243.47439640666289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0.69679178977997625</v>
      </c>
      <c r="CL125" s="23">
        <f>EXP(-LN(2)/25)*CL124+(1-EXP(-LN(2)/25))/(LN(2)/25)*Calculateur!CG125*Calculateur!CI125*VLOOKUP('Données projet'!$B$12,Paramètres!$A$1:$I$89,3,0)*0.475*44/12</f>
        <v>1.4121194361669289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2.1089112259469052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0</v>
      </c>
      <c r="CZ125" s="62">
        <f t="shared" si="96"/>
        <v>0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-2.5420376914553347E-13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388.88381485322674</v>
      </c>
      <c r="T126" s="62">
        <f t="shared" si="88"/>
        <v>355.82695155276218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3.5196630291662854</v>
      </c>
      <c r="AA126" s="23">
        <f>EXP(-LN(2)/25)*AA125+(1-EXP(-LN(2)/25))/(LN(2)/25)*Calculateur!V126*Calculateur!X126*VLOOKUP('Données projet'!$B$9,Paramètres!$A$1:$I$89,3,0)*0.475*44/12</f>
        <v>1.063389756057775</v>
      </c>
      <c r="AB126" s="23">
        <f>EXP(-LN(2)/2)*AB125+(1-EXP(-LN(2)/2))/(LN(2)/2)*V126*Y126*VLOOKUP('Données projet'!$B$9,Paramètres!$A$1:$I$89,3,0)*0.475*44/12</f>
        <v>4.8728449018864674E-14</v>
      </c>
      <c r="AC126" s="24">
        <f t="shared" si="57"/>
        <v>4.5830527852241092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4.9658410716801891E-14</v>
      </c>
      <c r="AK126" s="14">
        <f t="shared" si="89"/>
        <v>8.0934058173791862E-13</v>
      </c>
      <c r="AL126" s="22">
        <f t="shared" si="58"/>
        <v>1.4960899118586383E-12</v>
      </c>
      <c r="AM126" s="62">
        <f t="shared" si="59"/>
        <v>293.33333333333479</v>
      </c>
      <c r="AN126" s="62">
        <f ca="1">AVERAGE(OFFSET($AM$3,0,0,'Données projet'!$E$10+1,1))-AVERAGE(OFFSET($H$3,0,0,'Données projet'!$E$10+1,1))</f>
        <v>321.62968871874483</v>
      </c>
      <c r="AO126" s="62">
        <f t="shared" si="90"/>
        <v>389.91636841473559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0.57933685944319069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3.6710536431438709E-13</v>
      </c>
      <c r="AX126" s="23">
        <f t="shared" si="60"/>
        <v>0.57933685944355784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317.99999999999972</v>
      </c>
      <c r="BE126" s="14">
        <f>BD126*VLOOKUP('Données projet'!$B$11,Paramètres!$A$1:$I$89,3,0)*VLOOKUP('Données projet'!$B$11,Paramètres!$A$1:$I$89,5,0)</f>
        <v>233.1575999999998</v>
      </c>
      <c r="BF126" s="14">
        <f t="shared" si="91"/>
        <v>56.964885721091697</v>
      </c>
      <c r="BG126" s="22">
        <f t="shared" si="61"/>
        <v>505.29666263090093</v>
      </c>
      <c r="BH126" s="62">
        <f t="shared" si="62"/>
        <v>798.62999596423424</v>
      </c>
      <c r="BI126" s="62">
        <f ca="1">AVERAGE(OFFSET($BH$3,0,0,'Données projet'!$E$11+1,1))-AVERAGE(OFFSET($H$3,0,0,'Données projet'!$E$11+1,1))</f>
        <v>327.81662150328646</v>
      </c>
      <c r="BJ126" s="62">
        <f t="shared" si="92"/>
        <v>320.24200483294322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1.4315748460180418E-13</v>
      </c>
      <c r="BS126" s="24">
        <f t="shared" si="63"/>
        <v>1.4315748460180418E-13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1.5518253349000589E-14</v>
      </c>
      <c r="CA126" s="14">
        <f t="shared" si="93"/>
        <v>2.8958815659671149E-13</v>
      </c>
      <c r="CB126" s="22">
        <f t="shared" si="64"/>
        <v>5.3139366398878183E-13</v>
      </c>
      <c r="CC126" s="62">
        <f t="shared" si="65"/>
        <v>293.33333333333383</v>
      </c>
      <c r="CD126" s="62">
        <f ca="1">AVERAGE(OFFSET($CC$3,0,0,'Données projet'!$E$12+1,1))-AVERAGE(OFFSET($H$3,0,0,'Données projet'!$E$12+1,1))</f>
        <v>170.27677128684815</v>
      </c>
      <c r="CE126" s="62">
        <f t="shared" si="94"/>
        <v>243.47439640666289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0.68312812778341736</v>
      </c>
      <c r="CL126" s="23">
        <f>EXP(-LN(2)/25)*CL125+(1-EXP(-LN(2)/25))/(LN(2)/25)*Calculateur!CG126*Calculateur!CI126*VLOOKUP('Données projet'!$B$12,Paramètres!$A$1:$I$89,3,0)*0.475*44/12</f>
        <v>1.3735049559248105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2.0566330837082276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0</v>
      </c>
      <c r="CZ126" s="62">
        <f t="shared" si="96"/>
        <v>0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-2.5420376914553347E-13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388.88381485322674</v>
      </c>
      <c r="T127" s="62">
        <f t="shared" si="88"/>
        <v>355.82695155276218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3.4506445839468052</v>
      </c>
      <c r="AA127" s="23">
        <f>EXP(-LN(2)/25)*AA126+(1-EXP(-LN(2)/25))/(LN(2)/25)*Calculateur!V127*Calculateur!X127*VLOOKUP('Données projet'!$B$9,Paramètres!$A$1:$I$89,3,0)*0.475*44/12</f>
        <v>1.0343113072571382</v>
      </c>
      <c r="AB127" s="23">
        <f>EXP(-LN(2)/2)*AB126+(1-EXP(-LN(2)/2))/(LN(2)/2)*V127*Y127*VLOOKUP('Données projet'!$B$9,Paramètres!$A$1:$I$89,3,0)*0.475*44/12</f>
        <v>3.4456216737942179E-14</v>
      </c>
      <c r="AC127" s="24">
        <f t="shared" si="57"/>
        <v>4.4849558912039784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4.9658410716801891E-14</v>
      </c>
      <c r="AK127" s="14">
        <f t="shared" si="89"/>
        <v>8.0934058173791862E-13</v>
      </c>
      <c r="AL127" s="22">
        <f t="shared" si="58"/>
        <v>1.4960899118586383E-12</v>
      </c>
      <c r="AM127" s="62">
        <f t="shared" si="59"/>
        <v>293.33333333333479</v>
      </c>
      <c r="AN127" s="62">
        <f ca="1">AVERAGE(OFFSET($AM$3,0,0,'Données projet'!$E$10+1,1))-AVERAGE(OFFSET($H$3,0,0,'Données projet'!$E$10+1,1))</f>
        <v>321.62968871874483</v>
      </c>
      <c r="AO127" s="62">
        <f t="shared" si="90"/>
        <v>389.91636841473559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0.56797641699010248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2.5958269251666112E-13</v>
      </c>
      <c r="AX127" s="23">
        <f t="shared" si="60"/>
        <v>0.56797641699036205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317.99999999999972</v>
      </c>
      <c r="BE127" s="14">
        <f>BD127*VLOOKUP('Données projet'!$B$11,Paramètres!$A$1:$I$89,3,0)*VLOOKUP('Données projet'!$B$11,Paramètres!$A$1:$I$89,5,0)</f>
        <v>233.1575999999998</v>
      </c>
      <c r="BF127" s="14">
        <f t="shared" si="91"/>
        <v>56.964885721091697</v>
      </c>
      <c r="BG127" s="22">
        <f t="shared" si="61"/>
        <v>505.29666263090093</v>
      </c>
      <c r="BH127" s="62">
        <f t="shared" si="62"/>
        <v>798.62999596423424</v>
      </c>
      <c r="BI127" s="62">
        <f ca="1">AVERAGE(OFFSET($BH$3,0,0,'Données projet'!$E$11+1,1))-AVERAGE(OFFSET($H$3,0,0,'Données projet'!$E$11+1,1))</f>
        <v>327.81662150328646</v>
      </c>
      <c r="BJ127" s="62">
        <f t="shared" si="92"/>
        <v>320.24200483294322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1.012276281395445E-13</v>
      </c>
      <c r="BS127" s="24">
        <f t="shared" si="63"/>
        <v>1.012276281395445E-13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1.5518253349000589E-14</v>
      </c>
      <c r="CA127" s="14">
        <f t="shared" si="93"/>
        <v>2.8958815659671149E-13</v>
      </c>
      <c r="CB127" s="22">
        <f t="shared" si="64"/>
        <v>5.3139366398878183E-13</v>
      </c>
      <c r="CC127" s="62">
        <f t="shared" si="65"/>
        <v>293.33333333333383</v>
      </c>
      <c r="CD127" s="62">
        <f ca="1">AVERAGE(OFFSET($CC$3,0,0,'Données projet'!$E$12+1,1))-AVERAGE(OFFSET($H$3,0,0,'Données projet'!$E$12+1,1))</f>
        <v>170.27677128684815</v>
      </c>
      <c r="CE127" s="62">
        <f t="shared" si="94"/>
        <v>243.47439640666289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0.66973240186460004</v>
      </c>
      <c r="CL127" s="23">
        <f>EXP(-LN(2)/25)*CL126+(1-EXP(-LN(2)/25))/(LN(2)/25)*Calculateur!CG127*Calculateur!CI127*VLOOKUP('Données projet'!$B$12,Paramètres!$A$1:$I$89,3,0)*0.475*44/12</f>
        <v>1.33594639067556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2.0056787925401602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0</v>
      </c>
      <c r="CZ127" s="62">
        <f t="shared" si="96"/>
        <v>0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-2.5420376914553347E-13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388.88381485322674</v>
      </c>
      <c r="T128" s="62">
        <f t="shared" si="88"/>
        <v>355.82695155276218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3.3829795483409839</v>
      </c>
      <c r="AA128" s="23">
        <f>EXP(-LN(2)/25)*AA127+(1-EXP(-LN(2)/25))/(LN(2)/25)*Calculateur!V128*Calculateur!X128*VLOOKUP('Données projet'!$B$9,Paramètres!$A$1:$I$89,3,0)*0.475*44/12</f>
        <v>1.006028010168124</v>
      </c>
      <c r="AB128" s="23">
        <f>EXP(-LN(2)/2)*AB127+(1-EXP(-LN(2)/2))/(LN(2)/2)*V128*Y128*VLOOKUP('Données projet'!$B$9,Paramètres!$A$1:$I$89,3,0)*0.475*44/12</f>
        <v>2.4364224509432337E-14</v>
      </c>
      <c r="AC128" s="24">
        <f t="shared" si="57"/>
        <v>4.3890075585091317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4.9658410716801891E-14</v>
      </c>
      <c r="AK128" s="14">
        <f t="shared" si="89"/>
        <v>8.0934058173791862E-13</v>
      </c>
      <c r="AL128" s="22">
        <f t="shared" si="58"/>
        <v>1.4960899118586383E-12</v>
      </c>
      <c r="AM128" s="62">
        <f t="shared" si="59"/>
        <v>293.33333333333479</v>
      </c>
      <c r="AN128" s="62">
        <f ca="1">AVERAGE(OFFSET($AM$3,0,0,'Données projet'!$E$10+1,1))-AVERAGE(OFFSET($H$3,0,0,'Données projet'!$E$10+1,1))</f>
        <v>321.62968871874483</v>
      </c>
      <c r="AO128" s="62">
        <f t="shared" si="90"/>
        <v>389.91636841473559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0.55683874588433369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1.8355268215719354E-13</v>
      </c>
      <c r="AX128" s="23">
        <f t="shared" si="60"/>
        <v>0.55683874588451721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317.99999999999972</v>
      </c>
      <c r="BE128" s="14">
        <f>BD128*VLOOKUP('Données projet'!$B$11,Paramètres!$A$1:$I$89,3,0)*VLOOKUP('Données projet'!$B$11,Paramètres!$A$1:$I$89,5,0)</f>
        <v>233.1575999999998</v>
      </c>
      <c r="BF128" s="14">
        <f t="shared" si="91"/>
        <v>56.964885721091697</v>
      </c>
      <c r="BG128" s="22">
        <f t="shared" si="61"/>
        <v>505.29666263090093</v>
      </c>
      <c r="BH128" s="62">
        <f t="shared" si="62"/>
        <v>798.62999596423424</v>
      </c>
      <c r="BI128" s="62">
        <f ca="1">AVERAGE(OFFSET($BH$3,0,0,'Données projet'!$E$11+1,1))-AVERAGE(OFFSET($H$3,0,0,'Données projet'!$E$11+1,1))</f>
        <v>327.81662150328646</v>
      </c>
      <c r="BJ128" s="62">
        <f t="shared" si="92"/>
        <v>320.24200483294322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7.157874230090209E-14</v>
      </c>
      <c r="BS128" s="24">
        <f t="shared" si="63"/>
        <v>7.157874230090209E-14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1.5518253349000589E-14</v>
      </c>
      <c r="CA128" s="14">
        <f t="shared" si="93"/>
        <v>2.8958815659671149E-13</v>
      </c>
      <c r="CB128" s="22">
        <f t="shared" si="64"/>
        <v>5.3139366398878183E-13</v>
      </c>
      <c r="CC128" s="62">
        <f t="shared" si="65"/>
        <v>293.33333333333383</v>
      </c>
      <c r="CD128" s="62">
        <f ca="1">AVERAGE(OFFSET($CC$3,0,0,'Données projet'!$E$12+1,1))-AVERAGE(OFFSET($H$3,0,0,'Données projet'!$E$12+1,1))</f>
        <v>170.27677128684815</v>
      </c>
      <c r="CE128" s="62">
        <f t="shared" si="94"/>
        <v>243.47439640666289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0.65659935796046465</v>
      </c>
      <c r="CL128" s="23">
        <f>EXP(-LN(2)/25)*CL127+(1-EXP(-LN(2)/25))/(LN(2)/25)*Calculateur!CG128*Calculateur!CI128*VLOOKUP('Données projet'!$B$12,Paramètres!$A$1:$I$89,3,0)*0.475*44/12</f>
        <v>1.2994148663681695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1.956014224328634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0</v>
      </c>
      <c r="CZ128" s="62">
        <f t="shared" si="96"/>
        <v>0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-2.5420376914553347E-13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388.88381485322674</v>
      </c>
      <c r="T129" s="62">
        <f t="shared" si="88"/>
        <v>355.82695155276218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3.3166413828117967</v>
      </c>
      <c r="AA129" s="23">
        <f>EXP(-LN(2)/25)*AA128+(1-EXP(-LN(2)/25))/(LN(2)/25)*Calculateur!V129*Calculateur!X129*VLOOKUP('Données projet'!$B$9,Paramètres!$A$1:$I$89,3,0)*0.475*44/12</f>
        <v>0.97851812132536298</v>
      </c>
      <c r="AB129" s="23">
        <f>EXP(-LN(2)/2)*AB128+(1-EXP(-LN(2)/2))/(LN(2)/2)*V129*Y129*VLOOKUP('Données projet'!$B$9,Paramètres!$A$1:$I$89,3,0)*0.475*44/12</f>
        <v>1.722810836897109E-14</v>
      </c>
      <c r="AC129" s="24">
        <f t="shared" si="57"/>
        <v>4.2951595041371764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4.9658410716801891E-14</v>
      </c>
      <c r="AK129" s="14">
        <f t="shared" si="89"/>
        <v>8.0934058173791862E-13</v>
      </c>
      <c r="AL129" s="22">
        <f t="shared" si="58"/>
        <v>1.4960899118586383E-12</v>
      </c>
      <c r="AM129" s="62">
        <f t="shared" si="59"/>
        <v>293.33333333333479</v>
      </c>
      <c r="AN129" s="62">
        <f ca="1">AVERAGE(OFFSET($AM$3,0,0,'Données projet'!$E$10+1,1))-AVERAGE(OFFSET($H$3,0,0,'Données projet'!$E$10+1,1))</f>
        <v>321.62968871874483</v>
      </c>
      <c r="AO129" s="62">
        <f t="shared" si="90"/>
        <v>389.91636841473559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0.54591947771564042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1.2979134625833056E-13</v>
      </c>
      <c r="AX129" s="23">
        <f t="shared" si="60"/>
        <v>0.54591947771577021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317.99999999999972</v>
      </c>
      <c r="BE129" s="14">
        <f>BD129*VLOOKUP('Données projet'!$B$11,Paramètres!$A$1:$I$89,3,0)*VLOOKUP('Données projet'!$B$11,Paramètres!$A$1:$I$89,5,0)</f>
        <v>233.1575999999998</v>
      </c>
      <c r="BF129" s="14">
        <f t="shared" si="91"/>
        <v>56.964885721091697</v>
      </c>
      <c r="BG129" s="22">
        <f t="shared" si="61"/>
        <v>505.29666263090093</v>
      </c>
      <c r="BH129" s="62">
        <f t="shared" si="62"/>
        <v>798.62999596423424</v>
      </c>
      <c r="BI129" s="62">
        <f ca="1">AVERAGE(OFFSET($BH$3,0,0,'Données projet'!$E$11+1,1))-AVERAGE(OFFSET($H$3,0,0,'Données projet'!$E$11+1,1))</f>
        <v>327.81662150328646</v>
      </c>
      <c r="BJ129" s="62">
        <f t="shared" si="92"/>
        <v>320.24200483294322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5.0613814069772248E-14</v>
      </c>
      <c r="BS129" s="24">
        <f t="shared" si="63"/>
        <v>5.0613814069772248E-14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1.5518253349000589E-14</v>
      </c>
      <c r="CA129" s="14">
        <f t="shared" si="93"/>
        <v>2.8958815659671149E-13</v>
      </c>
      <c r="CB129" s="22">
        <f t="shared" si="64"/>
        <v>5.3139366398878183E-13</v>
      </c>
      <c r="CC129" s="62">
        <f t="shared" si="65"/>
        <v>293.33333333333383</v>
      </c>
      <c r="CD129" s="62">
        <f ca="1">AVERAGE(OFFSET($CC$3,0,0,'Données projet'!$E$12+1,1))-AVERAGE(OFFSET($H$3,0,0,'Données projet'!$E$12+1,1))</f>
        <v>170.27677128684815</v>
      </c>
      <c r="CE129" s="62">
        <f t="shared" si="94"/>
        <v>243.47439640666289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0.64372384503692359</v>
      </c>
      <c r="CL129" s="23">
        <f>EXP(-LN(2)/25)*CL128+(1-EXP(-LN(2)/25))/(LN(2)/25)*Calculateur!CG129*Calculateur!CI129*VLOOKUP('Données projet'!$B$12,Paramètres!$A$1:$I$89,3,0)*0.475*44/12</f>
        <v>1.2638822985140739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1.9076061435509974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0</v>
      </c>
      <c r="CZ129" s="62">
        <f t="shared" si="96"/>
        <v>0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-2.5420376914553347E-13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388.88381485322674</v>
      </c>
      <c r="T130" s="62">
        <f t="shared" si="88"/>
        <v>355.82695155276218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3.2516040682463512</v>
      </c>
      <c r="AA130" s="23">
        <f>EXP(-LN(2)/25)*AA129+(1-EXP(-LN(2)/25))/(LN(2)/25)*Calculateur!V130*Calculateur!X130*VLOOKUP('Données projet'!$B$9,Paramètres!$A$1:$I$89,3,0)*0.475*44/12</f>
        <v>0.95176049183968936</v>
      </c>
      <c r="AB130" s="23">
        <f>EXP(-LN(2)/2)*AB129+(1-EXP(-LN(2)/2))/(LN(2)/2)*V130*Y130*VLOOKUP('Données projet'!$B$9,Paramètres!$A$1:$I$89,3,0)*0.475*44/12</f>
        <v>1.2182112254716168E-14</v>
      </c>
      <c r="AC130" s="24">
        <f t="shared" si="57"/>
        <v>4.2033645600860527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4.9658410716801891E-14</v>
      </c>
      <c r="AK130" s="14">
        <f t="shared" si="89"/>
        <v>8.0934058173791862E-13</v>
      </c>
      <c r="AL130" s="22">
        <f t="shared" si="58"/>
        <v>1.4960899118586383E-12</v>
      </c>
      <c r="AM130" s="62">
        <f t="shared" si="59"/>
        <v>293.33333333333479</v>
      </c>
      <c r="AN130" s="62">
        <f ca="1">AVERAGE(OFFSET($AM$3,0,0,'Données projet'!$E$10+1,1))-AVERAGE(OFFSET($H$3,0,0,'Données projet'!$E$10+1,1))</f>
        <v>321.62968871874483</v>
      </c>
      <c r="AO130" s="62">
        <f t="shared" si="90"/>
        <v>389.91636841473559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0.53521432973563932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9.1776341078596772E-14</v>
      </c>
      <c r="AX130" s="23">
        <f t="shared" si="60"/>
        <v>0.53521432973573113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317.99999999999972</v>
      </c>
      <c r="BE130" s="14">
        <f>BD130*VLOOKUP('Données projet'!$B$11,Paramètres!$A$1:$I$89,3,0)*VLOOKUP('Données projet'!$B$11,Paramètres!$A$1:$I$89,5,0)</f>
        <v>233.1575999999998</v>
      </c>
      <c r="BF130" s="14">
        <f t="shared" si="91"/>
        <v>56.964885721091697</v>
      </c>
      <c r="BG130" s="22">
        <f t="shared" si="61"/>
        <v>505.29666263090093</v>
      </c>
      <c r="BH130" s="62">
        <f t="shared" si="62"/>
        <v>798.62999596423424</v>
      </c>
      <c r="BI130" s="62">
        <f ca="1">AVERAGE(OFFSET($BH$3,0,0,'Données projet'!$E$11+1,1))-AVERAGE(OFFSET($H$3,0,0,'Données projet'!$E$11+1,1))</f>
        <v>327.81662150328646</v>
      </c>
      <c r="BJ130" s="62">
        <f t="shared" si="92"/>
        <v>320.24200483294322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3.5789371150451045E-14</v>
      </c>
      <c r="BS130" s="24">
        <f t="shared" si="63"/>
        <v>3.5789371150451045E-14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1.5518253349000589E-14</v>
      </c>
      <c r="CA130" s="14">
        <f t="shared" si="93"/>
        <v>2.8958815659671149E-13</v>
      </c>
      <c r="CB130" s="22">
        <f t="shared" si="64"/>
        <v>5.3139366398878183E-13</v>
      </c>
      <c r="CC130" s="62">
        <f t="shared" si="65"/>
        <v>293.33333333333383</v>
      </c>
      <c r="CD130" s="62">
        <f ca="1">AVERAGE(OFFSET($CC$3,0,0,'Données projet'!$E$12+1,1))-AVERAGE(OFFSET($H$3,0,0,'Données projet'!$E$12+1,1))</f>
        <v>170.27677128684815</v>
      </c>
      <c r="CE130" s="62">
        <f t="shared" si="94"/>
        <v>243.47439640666289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0.63110081306852572</v>
      </c>
      <c r="CL130" s="23">
        <f>EXP(-LN(2)/25)*CL129+(1-EXP(-LN(2)/25))/(LN(2)/25)*Calculateur!CG130*Calculateur!CI130*VLOOKUP('Données projet'!$B$12,Paramètres!$A$1:$I$89,3,0)*0.475*44/12</f>
        <v>1.2293213705965251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1.860422183665051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0</v>
      </c>
      <c r="CZ130" s="62">
        <f t="shared" si="96"/>
        <v>0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-2.5420376914553347E-13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388.88381485322674</v>
      </c>
      <c r="T131" s="62">
        <f t="shared" si="88"/>
        <v>355.82695155276218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3.187842095750689</v>
      </c>
      <c r="AA131" s="23">
        <f>EXP(-LN(2)/25)*AA130+(1-EXP(-LN(2)/25))/(LN(2)/25)*Calculateur!V131*Calculateur!X131*VLOOKUP('Données projet'!$B$9,Paramètres!$A$1:$I$89,3,0)*0.475*44/12</f>
        <v>0.92573455113942404</v>
      </c>
      <c r="AB131" s="23">
        <f>EXP(-LN(2)/2)*AB130+(1-EXP(-LN(2)/2))/(LN(2)/2)*V131*Y131*VLOOKUP('Données projet'!$B$9,Paramètres!$A$1:$I$89,3,0)*0.475*44/12</f>
        <v>8.6140541844855448E-15</v>
      </c>
      <c r="AC131" s="24">
        <f t="shared" si="57"/>
        <v>4.113576646890122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4.9658410716801891E-14</v>
      </c>
      <c r="AK131" s="14">
        <f t="shared" si="89"/>
        <v>8.0934058173791862E-13</v>
      </c>
      <c r="AL131" s="22">
        <f t="shared" si="58"/>
        <v>1.4960899118586383E-12</v>
      </c>
      <c r="AM131" s="62">
        <f t="shared" si="59"/>
        <v>293.33333333333479</v>
      </c>
      <c r="AN131" s="62">
        <f ca="1">AVERAGE(OFFSET($AM$3,0,0,'Données projet'!$E$10+1,1))-AVERAGE(OFFSET($H$3,0,0,'Données projet'!$E$10+1,1))</f>
        <v>321.62968871874483</v>
      </c>
      <c r="AO131" s="62">
        <f t="shared" si="90"/>
        <v>389.91636841473559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0.5247191031780305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6.4895673129165279E-14</v>
      </c>
      <c r="AX131" s="23">
        <f t="shared" si="60"/>
        <v>0.52471910317809545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317.99999999999972</v>
      </c>
      <c r="BE131" s="14">
        <f>BD131*VLOOKUP('Données projet'!$B$11,Paramètres!$A$1:$I$89,3,0)*VLOOKUP('Données projet'!$B$11,Paramètres!$A$1:$I$89,5,0)</f>
        <v>233.1575999999998</v>
      </c>
      <c r="BF131" s="14">
        <f t="shared" si="91"/>
        <v>56.964885721091697</v>
      </c>
      <c r="BG131" s="22">
        <f t="shared" si="61"/>
        <v>505.29666263090093</v>
      </c>
      <c r="BH131" s="62">
        <f t="shared" si="62"/>
        <v>798.62999596423424</v>
      </c>
      <c r="BI131" s="62">
        <f ca="1">AVERAGE(OFFSET($BH$3,0,0,'Données projet'!$E$11+1,1))-AVERAGE(OFFSET($H$3,0,0,'Données projet'!$E$11+1,1))</f>
        <v>327.81662150328646</v>
      </c>
      <c r="BJ131" s="62">
        <f t="shared" si="92"/>
        <v>320.24200483294322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2.5306907034886124E-14</v>
      </c>
      <c r="BS131" s="24">
        <f t="shared" si="63"/>
        <v>2.5306907034886124E-14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1.5518253349000589E-14</v>
      </c>
      <c r="CA131" s="14">
        <f t="shared" si="93"/>
        <v>2.8958815659671149E-13</v>
      </c>
      <c r="CB131" s="22">
        <f t="shared" si="64"/>
        <v>5.3139366398878183E-13</v>
      </c>
      <c r="CC131" s="62">
        <f t="shared" si="65"/>
        <v>293.33333333333383</v>
      </c>
      <c r="CD131" s="62">
        <f ca="1">AVERAGE(OFFSET($CC$3,0,0,'Données projet'!$E$12+1,1))-AVERAGE(OFFSET($H$3,0,0,'Données projet'!$E$12+1,1))</f>
        <v>170.27677128684815</v>
      </c>
      <c r="CE131" s="62">
        <f t="shared" si="94"/>
        <v>243.47439640666289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0.61872531105773887</v>
      </c>
      <c r="CL131" s="23">
        <f>EXP(-LN(2)/25)*CL130+(1-EXP(-LN(2)/25))/(LN(2)/25)*Calculateur!CG131*Calculateur!CI131*VLOOKUP('Données projet'!$B$12,Paramètres!$A$1:$I$89,3,0)*0.475*44/12</f>
        <v>1.195705513070362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1.8144308241281009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0</v>
      </c>
      <c r="CZ131" s="62">
        <f t="shared" si="96"/>
        <v>0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-2.5420376914553347E-13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388.88381485322674</v>
      </c>
      <c r="T132" s="62">
        <f t="shared" si="88"/>
        <v>355.82695155276218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3.1253304566447038</v>
      </c>
      <c r="AA132" s="23">
        <f>EXP(-LN(2)/25)*AA131+(1-EXP(-LN(2)/25))/(LN(2)/25)*Calculateur!V132*Calculateur!X132*VLOOKUP('Données projet'!$B$9,Paramètres!$A$1:$I$89,3,0)*0.475*44/12</f>
        <v>0.90042029115625222</v>
      </c>
      <c r="AB132" s="23">
        <f>EXP(-LN(2)/2)*AB131+(1-EXP(-LN(2)/2))/(LN(2)/2)*V132*Y132*VLOOKUP('Données projet'!$B$9,Paramètres!$A$1:$I$89,3,0)*0.475*44/12</f>
        <v>6.0910561273580842E-15</v>
      </c>
      <c r="AC132" s="24">
        <f t="shared" ref="AC132:AC153" si="111">SUM(Z132:AB132)</f>
        <v>4.025750747800962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4.9658410716801891E-14</v>
      </c>
      <c r="AK132" s="14">
        <f t="shared" si="89"/>
        <v>8.0934058173791862E-13</v>
      </c>
      <c r="AL132" s="22">
        <f t="shared" ref="AL132:AL153" si="112">(AJ132+AK132)*0.475*44/12</f>
        <v>1.4960899118586383E-12</v>
      </c>
      <c r="AM132" s="62">
        <f t="shared" ref="AM132:AM195" si="113">AL132+(AD132+AE132)*44/12</f>
        <v>293.33333333333479</v>
      </c>
      <c r="AN132" s="62">
        <f ca="1">AVERAGE(OFFSET($AM$3,0,0,'Données projet'!$E$10+1,1))-AVERAGE(OFFSET($H$3,0,0,'Données projet'!$E$10+1,1))</f>
        <v>321.62968871874483</v>
      </c>
      <c r="AO132" s="62">
        <f t="shared" si="90"/>
        <v>389.91636841473559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0.51442968161176028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4.5888170539298386E-14</v>
      </c>
      <c r="AX132" s="23">
        <f t="shared" ref="AX132:AX153" si="114">SUM(AU132:AW132)</f>
        <v>0.51442968161180613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317.99999999999972</v>
      </c>
      <c r="BE132" s="14">
        <f>BD132*VLOOKUP('Données projet'!$B$11,Paramètres!$A$1:$I$89,3,0)*VLOOKUP('Données projet'!$B$11,Paramètres!$A$1:$I$89,5,0)</f>
        <v>233.1575999999998</v>
      </c>
      <c r="BF132" s="14">
        <f t="shared" si="91"/>
        <v>56.964885721091697</v>
      </c>
      <c r="BG132" s="22">
        <f t="shared" ref="BG132:BG153" si="115">(BE132+BF132)*0.475*44/12</f>
        <v>505.29666263090093</v>
      </c>
      <c r="BH132" s="62">
        <f t="shared" ref="BH132:BH195" si="116">BG132+(AY132+AZ132)*44/12</f>
        <v>798.62999596423424</v>
      </c>
      <c r="BI132" s="62">
        <f ca="1">AVERAGE(OFFSET($BH$3,0,0,'Données projet'!$E$11+1,1))-AVERAGE(OFFSET($H$3,0,0,'Données projet'!$E$11+1,1))</f>
        <v>327.81662150328646</v>
      </c>
      <c r="BJ132" s="62">
        <f t="shared" si="92"/>
        <v>320.24200483294322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1.7894685575225522E-14</v>
      </c>
      <c r="BS132" s="24">
        <f t="shared" ref="BS132:BS153" si="117">SUM(BP132:BR132)</f>
        <v>1.7894685575225522E-14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1.5518253349000589E-14</v>
      </c>
      <c r="CA132" s="14">
        <f t="shared" si="93"/>
        <v>2.8958815659671149E-13</v>
      </c>
      <c r="CB132" s="22">
        <f t="shared" ref="CB132:CB153" si="118">(BZ132+CA132)*0.475*44/12</f>
        <v>5.3139366398878183E-13</v>
      </c>
      <c r="CC132" s="62">
        <f t="shared" ref="CC132:CC195" si="119">CB132+(BT132+BU132)*44/12</f>
        <v>293.33333333333383</v>
      </c>
      <c r="CD132" s="62">
        <f ca="1">AVERAGE(OFFSET($CC$3,0,0,'Données projet'!$E$12+1,1))-AVERAGE(OFFSET($H$3,0,0,'Données projet'!$E$12+1,1))</f>
        <v>170.27677128684815</v>
      </c>
      <c r="CE132" s="62">
        <f t="shared" si="94"/>
        <v>243.47439640666289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0.60659248509307262</v>
      </c>
      <c r="CL132" s="23">
        <f>EXP(-LN(2)/25)*CL131+(1-EXP(-LN(2)/25))/(LN(2)/25)*Calculateur!CG132*Calculateur!CI132*VLOOKUP('Données projet'!$B$12,Paramètres!$A$1:$I$89,3,0)*0.475*44/12</f>
        <v>1.1630088829360328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1.7696013680291054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0</v>
      </c>
      <c r="CZ132" s="62">
        <f t="shared" si="96"/>
        <v>0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-2.5420376914553347E-13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388.88381485322674</v>
      </c>
      <c r="T133" s="62">
        <f t="shared" ref="T133:T196" si="142">$T$3</f>
        <v>355.82695155276218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3.064044632653252</v>
      </c>
      <c r="AA133" s="23">
        <f>EXP(-LN(2)/25)*AA132+(1-EXP(-LN(2)/25))/(LN(2)/25)*Calculateur!V133*Calculateur!X133*VLOOKUP('Données projet'!$B$9,Paramètres!$A$1:$I$89,3,0)*0.475*44/12</f>
        <v>0.87579825094353936</v>
      </c>
      <c r="AB133" s="23">
        <f>EXP(-LN(2)/2)*AB132+(1-EXP(-LN(2)/2))/(LN(2)/2)*V133*Y133*VLOOKUP('Données projet'!$B$9,Paramètres!$A$1:$I$89,3,0)*0.475*44/12</f>
        <v>4.3070270922427724E-15</v>
      </c>
      <c r="AC133" s="24">
        <f t="shared" si="111"/>
        <v>3.9398428835967958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4.9658410716801891E-14</v>
      </c>
      <c r="AK133" s="14">
        <f t="shared" ref="AK133:AK153" si="143">EXP(-1.0587+0.8836*LN(AJ133)+0.284)</f>
        <v>8.0934058173791862E-13</v>
      </c>
      <c r="AL133" s="22">
        <f t="shared" si="112"/>
        <v>1.4960899118586383E-12</v>
      </c>
      <c r="AM133" s="62">
        <f t="shared" si="113"/>
        <v>293.33333333333479</v>
      </c>
      <c r="AN133" s="62">
        <f ca="1">AVERAGE(OFFSET($AM$3,0,0,'Données projet'!$E$10+1,1))-AVERAGE(OFFSET($H$3,0,0,'Données projet'!$E$10+1,1))</f>
        <v>321.62968871874483</v>
      </c>
      <c r="AO133" s="62">
        <f t="shared" ref="AO133:AO196" si="144">$AO$3</f>
        <v>389.91636841473559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0.50434202932647709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3.2447836564582639E-14</v>
      </c>
      <c r="AX133" s="23">
        <f t="shared" si="114"/>
        <v>0.50434202932650951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317.99999999999972</v>
      </c>
      <c r="BE133" s="14">
        <f>BD133*VLOOKUP('Données projet'!$B$11,Paramètres!$A$1:$I$89,3,0)*VLOOKUP('Données projet'!$B$11,Paramètres!$A$1:$I$89,5,0)</f>
        <v>233.1575999999998</v>
      </c>
      <c r="BF133" s="14">
        <f t="shared" ref="BF133:BF153" si="145">EXP(-1.0587+0.8836*LN(BE133)+0.284)</f>
        <v>56.964885721091697</v>
      </c>
      <c r="BG133" s="22">
        <f t="shared" si="115"/>
        <v>505.29666263090093</v>
      </c>
      <c r="BH133" s="62">
        <f t="shared" si="116"/>
        <v>798.62999596423424</v>
      </c>
      <c r="BI133" s="62">
        <f ca="1">AVERAGE(OFFSET($BH$3,0,0,'Données projet'!$E$11+1,1))-AVERAGE(OFFSET($H$3,0,0,'Données projet'!$E$11+1,1))</f>
        <v>327.81662150328646</v>
      </c>
      <c r="BJ133" s="62">
        <f t="shared" ref="BJ133:BJ196" si="146">$BJ$3</f>
        <v>320.24200483294322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1.2653453517443062E-14</v>
      </c>
      <c r="BS133" s="24">
        <f t="shared" si="117"/>
        <v>1.2653453517443062E-14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1.5518253349000589E-14</v>
      </c>
      <c r="CA133" s="14">
        <f t="shared" ref="CA133:CA153" si="147">EXP(-1.0587+0.8836*LN(BZ133)+0.284)</f>
        <v>2.8958815659671149E-13</v>
      </c>
      <c r="CB133" s="22">
        <f t="shared" si="118"/>
        <v>5.3139366398878183E-13</v>
      </c>
      <c r="CC133" s="62">
        <f t="shared" si="119"/>
        <v>293.33333333333383</v>
      </c>
      <c r="CD133" s="62">
        <f ca="1">AVERAGE(OFFSET($CC$3,0,0,'Données projet'!$E$12+1,1))-AVERAGE(OFFSET($H$3,0,0,'Données projet'!$E$12+1,1))</f>
        <v>170.27677128684815</v>
      </c>
      <c r="CE133" s="62">
        <f t="shared" ref="CE133:CE196" si="148">$CE$3</f>
        <v>243.47439640666289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0.59469757644528043</v>
      </c>
      <c r="CL133" s="23">
        <f>EXP(-LN(2)/25)*CL132+(1-EXP(-LN(2)/25))/(LN(2)/25)*Calculateur!CG133*Calculateur!CI133*VLOOKUP('Données projet'!$B$12,Paramètres!$A$1:$I$89,3,0)*0.475*44/12</f>
        <v>1.1312063438721678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1.7259039203174482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0</v>
      </c>
      <c r="CZ133" s="62">
        <f t="shared" ref="CZ133:CZ196" si="150">$CZ$3</f>
        <v>0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-2.5420376914553347E-13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388.88381485322674</v>
      </c>
      <c r="T134" s="62">
        <f t="shared" si="142"/>
        <v>355.82695155276218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3.0039605862896108</v>
      </c>
      <c r="AA134" s="23">
        <f>EXP(-LN(2)/25)*AA133+(1-EXP(-LN(2)/25))/(LN(2)/25)*Calculateur!V134*Calculateur!X134*VLOOKUP('Données projet'!$B$9,Paramètres!$A$1:$I$89,3,0)*0.475*44/12</f>
        <v>0.85184950171525997</v>
      </c>
      <c r="AB134" s="23">
        <f>EXP(-LN(2)/2)*AB133+(1-EXP(-LN(2)/2))/(LN(2)/2)*V134*Y134*VLOOKUP('Données projet'!$B$9,Paramètres!$A$1:$I$89,3,0)*0.475*44/12</f>
        <v>3.0455280636790421E-15</v>
      </c>
      <c r="AC134" s="24">
        <f t="shared" si="111"/>
        <v>3.855810088004874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4.9658410716801891E-14</v>
      </c>
      <c r="AK134" s="14">
        <f t="shared" si="143"/>
        <v>8.0934058173791862E-13</v>
      </c>
      <c r="AL134" s="22">
        <f t="shared" si="112"/>
        <v>1.4960899118586383E-12</v>
      </c>
      <c r="AM134" s="62">
        <f t="shared" si="113"/>
        <v>293.33333333333479</v>
      </c>
      <c r="AN134" s="62">
        <f ca="1">AVERAGE(OFFSET($AM$3,0,0,'Données projet'!$E$10+1,1))-AVERAGE(OFFSET($H$3,0,0,'Données projet'!$E$10+1,1))</f>
        <v>321.62968871874483</v>
      </c>
      <c r="AO134" s="62">
        <f t="shared" si="144"/>
        <v>389.91636841473559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0.494452189749648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2.2944085269649193E-14</v>
      </c>
      <c r="AX134" s="23">
        <f t="shared" si="114"/>
        <v>0.49445218974967092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317.99999999999972</v>
      </c>
      <c r="BE134" s="14">
        <f>BD134*VLOOKUP('Données projet'!$B$11,Paramètres!$A$1:$I$89,3,0)*VLOOKUP('Données projet'!$B$11,Paramètres!$A$1:$I$89,5,0)</f>
        <v>233.1575999999998</v>
      </c>
      <c r="BF134" s="14">
        <f t="shared" si="145"/>
        <v>56.964885721091697</v>
      </c>
      <c r="BG134" s="22">
        <f t="shared" si="115"/>
        <v>505.29666263090093</v>
      </c>
      <c r="BH134" s="62">
        <f t="shared" si="116"/>
        <v>798.62999596423424</v>
      </c>
      <c r="BI134" s="62">
        <f ca="1">AVERAGE(OFFSET($BH$3,0,0,'Données projet'!$E$11+1,1))-AVERAGE(OFFSET($H$3,0,0,'Données projet'!$E$11+1,1))</f>
        <v>327.81662150328646</v>
      </c>
      <c r="BJ134" s="62">
        <f t="shared" si="146"/>
        <v>320.24200483294322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8.9473427876127612E-15</v>
      </c>
      <c r="BS134" s="24">
        <f t="shared" si="117"/>
        <v>8.9473427876127612E-15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1.5518253349000589E-14</v>
      </c>
      <c r="CA134" s="14">
        <f t="shared" si="147"/>
        <v>2.8958815659671149E-13</v>
      </c>
      <c r="CB134" s="22">
        <f t="shared" si="118"/>
        <v>5.3139366398878183E-13</v>
      </c>
      <c r="CC134" s="62">
        <f t="shared" si="119"/>
        <v>293.33333333333383</v>
      </c>
      <c r="CD134" s="62">
        <f ca="1">AVERAGE(OFFSET($CC$3,0,0,'Données projet'!$E$12+1,1))-AVERAGE(OFFSET($H$3,0,0,'Données projet'!$E$12+1,1))</f>
        <v>170.27677128684815</v>
      </c>
      <c r="CE134" s="62">
        <f t="shared" si="148"/>
        <v>243.47439640666289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0.58303591970089352</v>
      </c>
      <c r="CL134" s="23">
        <f>EXP(-LN(2)/25)*CL133+(1-EXP(-LN(2)/25))/(LN(2)/25)*Calculateur!CG134*Calculateur!CI134*VLOOKUP('Données projet'!$B$12,Paramètres!$A$1:$I$89,3,0)*0.475*44/12</f>
        <v>1.100273446911427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1.6833093666123204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0</v>
      </c>
      <c r="CZ134" s="62">
        <f t="shared" si="150"/>
        <v>0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-2.5420376914553347E-13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388.88381485322674</v>
      </c>
      <c r="T135" s="62">
        <f t="shared" si="142"/>
        <v>355.82695155276218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2.9450547514275112</v>
      </c>
      <c r="AA135" s="23">
        <f>EXP(-LN(2)/25)*AA134+(1-EXP(-LN(2)/25))/(LN(2)/25)*Calculateur!V135*Calculateur!X135*VLOOKUP('Données projet'!$B$9,Paramètres!$A$1:$I$89,3,0)*0.475*44/12</f>
        <v>0.82855563229403784</v>
      </c>
      <c r="AB135" s="23">
        <f>EXP(-LN(2)/2)*AB134+(1-EXP(-LN(2)/2))/(LN(2)/2)*V135*Y135*VLOOKUP('Données projet'!$B$9,Paramètres!$A$1:$I$89,3,0)*0.475*44/12</f>
        <v>2.1535135461213862E-15</v>
      </c>
      <c r="AC135" s="24">
        <f t="shared" si="111"/>
        <v>3.7736103837215511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4.9658410716801891E-14</v>
      </c>
      <c r="AK135" s="14">
        <f t="shared" si="143"/>
        <v>8.0934058173791862E-13</v>
      </c>
      <c r="AL135" s="22">
        <f t="shared" si="112"/>
        <v>1.4960899118586383E-12</v>
      </c>
      <c r="AM135" s="62">
        <f t="shared" si="113"/>
        <v>293.33333333333479</v>
      </c>
      <c r="AN135" s="62">
        <f ca="1">AVERAGE(OFFSET($AM$3,0,0,'Données projet'!$E$10+1,1))-AVERAGE(OFFSET($H$3,0,0,'Données projet'!$E$10+1,1))</f>
        <v>321.62968871874483</v>
      </c>
      <c r="AO135" s="62">
        <f t="shared" si="144"/>
        <v>389.91636841473559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0.48475628389471398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1.622391828229132E-14</v>
      </c>
      <c r="AX135" s="23">
        <f t="shared" si="114"/>
        <v>0.48475628389473019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317.99999999999972</v>
      </c>
      <c r="BE135" s="14">
        <f>BD135*VLOOKUP('Données projet'!$B$11,Paramètres!$A$1:$I$89,3,0)*VLOOKUP('Données projet'!$B$11,Paramètres!$A$1:$I$89,5,0)</f>
        <v>233.1575999999998</v>
      </c>
      <c r="BF135" s="14">
        <f t="shared" si="145"/>
        <v>56.964885721091697</v>
      </c>
      <c r="BG135" s="22">
        <f t="shared" si="115"/>
        <v>505.29666263090093</v>
      </c>
      <c r="BH135" s="62">
        <f t="shared" si="116"/>
        <v>798.62999596423424</v>
      </c>
      <c r="BI135" s="62">
        <f ca="1">AVERAGE(OFFSET($BH$3,0,0,'Données projet'!$E$11+1,1))-AVERAGE(OFFSET($H$3,0,0,'Données projet'!$E$11+1,1))</f>
        <v>327.81662150328646</v>
      </c>
      <c r="BJ135" s="62">
        <f t="shared" si="146"/>
        <v>320.24200483294322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6.3267267587215309E-15</v>
      </c>
      <c r="BS135" s="24">
        <f t="shared" si="117"/>
        <v>6.3267267587215309E-15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1.5518253349000589E-14</v>
      </c>
      <c r="CA135" s="14">
        <f t="shared" si="147"/>
        <v>2.8958815659671149E-13</v>
      </c>
      <c r="CB135" s="22">
        <f t="shared" si="118"/>
        <v>5.3139366398878183E-13</v>
      </c>
      <c r="CC135" s="62">
        <f t="shared" si="119"/>
        <v>293.33333333333383</v>
      </c>
      <c r="CD135" s="62">
        <f ca="1">AVERAGE(OFFSET($CC$3,0,0,'Données projet'!$E$12+1,1))-AVERAGE(OFFSET($H$3,0,0,'Données projet'!$E$12+1,1))</f>
        <v>170.27677128684815</v>
      </c>
      <c r="CE135" s="62">
        <f t="shared" si="148"/>
        <v>243.47439640666289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0.57160294093235575</v>
      </c>
      <c r="CL135" s="23">
        <f>EXP(-LN(2)/25)*CL134+(1-EXP(-LN(2)/25))/(LN(2)/25)*Calculateur!CG135*Calculateur!CI135*VLOOKUP('Données projet'!$B$12,Paramètres!$A$1:$I$89,3,0)*0.475*44/12</f>
        <v>1.0701864116447681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1.6417893525771239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0</v>
      </c>
      <c r="CZ135" s="62">
        <f t="shared" si="150"/>
        <v>0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-2.5420376914553347E-13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388.88381485322674</v>
      </c>
      <c r="T136" s="62">
        <f t="shared" si="142"/>
        <v>355.82695155276218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2.8873040240580456</v>
      </c>
      <c r="AA136" s="23">
        <f>EXP(-LN(2)/25)*AA135+(1-EXP(-LN(2)/25))/(LN(2)/25)*Calculateur!V136*Calculateur!X136*VLOOKUP('Données projet'!$B$9,Paramètres!$A$1:$I$89,3,0)*0.475*44/12</f>
        <v>0.8058987349571104</v>
      </c>
      <c r="AB136" s="23">
        <f>EXP(-LN(2)/2)*AB135+(1-EXP(-LN(2)/2))/(LN(2)/2)*V136*Y136*VLOOKUP('Données projet'!$B$9,Paramètres!$A$1:$I$89,3,0)*0.475*44/12</f>
        <v>1.5227640318395211E-15</v>
      </c>
      <c r="AC136" s="24">
        <f t="shared" si="111"/>
        <v>3.6932027590151573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4.9658410716801891E-14</v>
      </c>
      <c r="AK136" s="14">
        <f t="shared" si="143"/>
        <v>8.0934058173791862E-13</v>
      </c>
      <c r="AL136" s="22">
        <f t="shared" si="112"/>
        <v>1.4960899118586383E-12</v>
      </c>
      <c r="AM136" s="62">
        <f t="shared" si="113"/>
        <v>293.33333333333479</v>
      </c>
      <c r="AN136" s="62">
        <f ca="1">AVERAGE(OFFSET($AM$3,0,0,'Données projet'!$E$10+1,1))-AVERAGE(OFFSET($H$3,0,0,'Données projet'!$E$10+1,1))</f>
        <v>321.62968871874483</v>
      </c>
      <c r="AO136" s="62">
        <f t="shared" si="144"/>
        <v>389.91636841473559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0.47525050883967662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1.1472042634824596E-14</v>
      </c>
      <c r="AX136" s="23">
        <f t="shared" si="114"/>
        <v>0.47525050883968811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317.99999999999972</v>
      </c>
      <c r="BE136" s="14">
        <f>BD136*VLOOKUP('Données projet'!$B$11,Paramètres!$A$1:$I$89,3,0)*VLOOKUP('Données projet'!$B$11,Paramètres!$A$1:$I$89,5,0)</f>
        <v>233.1575999999998</v>
      </c>
      <c r="BF136" s="14">
        <f t="shared" si="145"/>
        <v>56.964885721091697</v>
      </c>
      <c r="BG136" s="22">
        <f t="shared" si="115"/>
        <v>505.29666263090093</v>
      </c>
      <c r="BH136" s="62">
        <f t="shared" si="116"/>
        <v>798.62999596423424</v>
      </c>
      <c r="BI136" s="62">
        <f ca="1">AVERAGE(OFFSET($BH$3,0,0,'Données projet'!$E$11+1,1))-AVERAGE(OFFSET($H$3,0,0,'Données projet'!$E$11+1,1))</f>
        <v>327.81662150328646</v>
      </c>
      <c r="BJ136" s="62">
        <f t="shared" si="146"/>
        <v>320.24200483294322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4.4736713938063806E-15</v>
      </c>
      <c r="BS136" s="24">
        <f t="shared" si="117"/>
        <v>4.4736713938063806E-15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1.5518253349000589E-14</v>
      </c>
      <c r="CA136" s="14">
        <f t="shared" si="147"/>
        <v>2.8958815659671149E-13</v>
      </c>
      <c r="CB136" s="22">
        <f t="shared" si="118"/>
        <v>5.3139366398878183E-13</v>
      </c>
      <c r="CC136" s="62">
        <f t="shared" si="119"/>
        <v>293.33333333333383</v>
      </c>
      <c r="CD136" s="62">
        <f ca="1">AVERAGE(OFFSET($CC$3,0,0,'Données projet'!$E$12+1,1))-AVERAGE(OFFSET($H$3,0,0,'Données projet'!$E$12+1,1))</f>
        <v>170.27677128684815</v>
      </c>
      <c r="CE136" s="62">
        <f t="shared" si="148"/>
        <v>243.47439640666289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0.56039415590404051</v>
      </c>
      <c r="CL136" s="23">
        <f>EXP(-LN(2)/25)*CL135+(1-EXP(-LN(2)/25))/(LN(2)/25)*Calculateur!CG136*Calculateur!CI136*VLOOKUP('Données projet'!$B$12,Paramètres!$A$1:$I$89,3,0)*0.475*44/12</f>
        <v>1.0409221079396844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1.6013162638437248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0</v>
      </c>
      <c r="CZ136" s="62">
        <f t="shared" si="150"/>
        <v>0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-2.5420376914553347E-13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388.88381485322674</v>
      </c>
      <c r="T137" s="62">
        <f t="shared" si="142"/>
        <v>355.82695155276218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2.8306857532278298</v>
      </c>
      <c r="AA137" s="23">
        <f>EXP(-LN(2)/25)*AA136+(1-EXP(-LN(2)/25))/(LN(2)/25)*Calculateur!V137*Calculateur!X137*VLOOKUP('Données projet'!$B$9,Paramètres!$A$1:$I$89,3,0)*0.475*44/12</f>
        <v>0.78386139166933566</v>
      </c>
      <c r="AB137" s="23">
        <f>EXP(-LN(2)/2)*AB136+(1-EXP(-LN(2)/2))/(LN(2)/2)*V137*Y137*VLOOKUP('Données projet'!$B$9,Paramètres!$A$1:$I$89,3,0)*0.475*44/12</f>
        <v>1.0767567730606931E-15</v>
      </c>
      <c r="AC137" s="24">
        <f t="shared" si="111"/>
        <v>3.6145471448971662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4.9658410716801891E-14</v>
      </c>
      <c r="AK137" s="14">
        <f t="shared" si="143"/>
        <v>8.0934058173791862E-13</v>
      </c>
      <c r="AL137" s="22">
        <f t="shared" si="112"/>
        <v>1.4960899118586383E-12</v>
      </c>
      <c r="AM137" s="62">
        <f t="shared" si="113"/>
        <v>293.33333333333479</v>
      </c>
      <c r="AN137" s="62">
        <f ca="1">AVERAGE(OFFSET($AM$3,0,0,'Données projet'!$E$10+1,1))-AVERAGE(OFFSET($H$3,0,0,'Données projet'!$E$10+1,1))</f>
        <v>321.62968871874483</v>
      </c>
      <c r="AO137" s="62">
        <f t="shared" si="144"/>
        <v>389.91636841473559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0.46593113623551824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8.1119591411456599E-15</v>
      </c>
      <c r="AX137" s="23">
        <f t="shared" si="114"/>
        <v>0.46593113623552634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317.99999999999972</v>
      </c>
      <c r="BE137" s="14">
        <f>BD137*VLOOKUP('Données projet'!$B$11,Paramètres!$A$1:$I$89,3,0)*VLOOKUP('Données projet'!$B$11,Paramètres!$A$1:$I$89,5,0)</f>
        <v>233.1575999999998</v>
      </c>
      <c r="BF137" s="14">
        <f t="shared" si="145"/>
        <v>56.964885721091697</v>
      </c>
      <c r="BG137" s="22">
        <f t="shared" si="115"/>
        <v>505.29666263090093</v>
      </c>
      <c r="BH137" s="62">
        <f t="shared" si="116"/>
        <v>798.62999596423424</v>
      </c>
      <c r="BI137" s="62">
        <f ca="1">AVERAGE(OFFSET($BH$3,0,0,'Données projet'!$E$11+1,1))-AVERAGE(OFFSET($H$3,0,0,'Données projet'!$E$11+1,1))</f>
        <v>327.81662150328646</v>
      </c>
      <c r="BJ137" s="62">
        <f t="shared" si="146"/>
        <v>320.24200483294322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3.1633633793607655E-15</v>
      </c>
      <c r="BS137" s="24">
        <f t="shared" si="117"/>
        <v>3.1633633793607655E-15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1.5518253349000589E-14</v>
      </c>
      <c r="CA137" s="14">
        <f t="shared" si="147"/>
        <v>2.8958815659671149E-13</v>
      </c>
      <c r="CB137" s="22">
        <f t="shared" si="118"/>
        <v>5.3139366398878183E-13</v>
      </c>
      <c r="CC137" s="62">
        <f t="shared" si="119"/>
        <v>293.33333333333383</v>
      </c>
      <c r="CD137" s="62">
        <f ca="1">AVERAGE(OFFSET($CC$3,0,0,'Données projet'!$E$12+1,1))-AVERAGE(OFFSET($H$3,0,0,'Données projet'!$E$12+1,1))</f>
        <v>170.27677128684815</v>
      </c>
      <c r="CE137" s="62">
        <f t="shared" si="148"/>
        <v>243.47439640666289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0.54940516831344677</v>
      </c>
      <c r="CL137" s="23">
        <f>EXP(-LN(2)/25)*CL136+(1-EXP(-LN(2)/25))/(LN(2)/25)*Calculateur!CG137*Calculateur!CI137*VLOOKUP('Données projet'!$B$12,Paramètres!$A$1:$I$89,3,0)*0.475*44/12</f>
        <v>1.0124580381583592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1.5618632064718061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0</v>
      </c>
      <c r="CZ137" s="62">
        <f t="shared" si="150"/>
        <v>0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-2.5420376914553347E-13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388.88381485322674</v>
      </c>
      <c r="T138" s="62">
        <f t="shared" si="142"/>
        <v>355.82695155276218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2.7751777321548592</v>
      </c>
      <c r="AA138" s="23">
        <f>EXP(-LN(2)/25)*AA137+(1-EXP(-LN(2)/25))/(LN(2)/25)*Calculateur!V138*Calculateur!X138*VLOOKUP('Données projet'!$B$9,Paramètres!$A$1:$I$89,3,0)*0.475*44/12</f>
        <v>0.76242666069265863</v>
      </c>
      <c r="AB138" s="23">
        <f>EXP(-LN(2)/2)*AB137+(1-EXP(-LN(2)/2))/(LN(2)/2)*V138*Y138*VLOOKUP('Données projet'!$B$9,Paramètres!$A$1:$I$89,3,0)*0.475*44/12</f>
        <v>7.6138201591976053E-16</v>
      </c>
      <c r="AC138" s="24">
        <f t="shared" si="111"/>
        <v>3.5376043928475189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4.9658410716801891E-14</v>
      </c>
      <c r="AK138" s="14">
        <f t="shared" si="143"/>
        <v>8.0934058173791862E-13</v>
      </c>
      <c r="AL138" s="22">
        <f t="shared" si="112"/>
        <v>1.4960899118586383E-12</v>
      </c>
      <c r="AM138" s="62">
        <f t="shared" si="113"/>
        <v>293.33333333333479</v>
      </c>
      <c r="AN138" s="62">
        <f ca="1">AVERAGE(OFFSET($AM$3,0,0,'Données projet'!$E$10+1,1))-AVERAGE(OFFSET($H$3,0,0,'Données projet'!$E$10+1,1))</f>
        <v>321.62968871874483</v>
      </c>
      <c r="AO138" s="62">
        <f t="shared" si="144"/>
        <v>389.91636841473559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0.4567945108438714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5.7360213174122982E-15</v>
      </c>
      <c r="AX138" s="23">
        <f t="shared" si="114"/>
        <v>0.45679451084387712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317.99999999999972</v>
      </c>
      <c r="BE138" s="14">
        <f>BD138*VLOOKUP('Données projet'!$B$11,Paramètres!$A$1:$I$89,3,0)*VLOOKUP('Données projet'!$B$11,Paramètres!$A$1:$I$89,5,0)</f>
        <v>233.1575999999998</v>
      </c>
      <c r="BF138" s="14">
        <f t="shared" si="145"/>
        <v>56.964885721091697</v>
      </c>
      <c r="BG138" s="22">
        <f t="shared" si="115"/>
        <v>505.29666263090093</v>
      </c>
      <c r="BH138" s="62">
        <f t="shared" si="116"/>
        <v>798.62999596423424</v>
      </c>
      <c r="BI138" s="62">
        <f ca="1">AVERAGE(OFFSET($BH$3,0,0,'Données projet'!$E$11+1,1))-AVERAGE(OFFSET($H$3,0,0,'Données projet'!$E$11+1,1))</f>
        <v>327.81662150328646</v>
      </c>
      <c r="BJ138" s="62">
        <f t="shared" si="146"/>
        <v>320.24200483294322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2.2368356969031903E-15</v>
      </c>
      <c r="BS138" s="24">
        <f t="shared" si="117"/>
        <v>2.2368356969031903E-15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1.5518253349000589E-14</v>
      </c>
      <c r="CA138" s="14">
        <f t="shared" si="147"/>
        <v>2.8958815659671149E-13</v>
      </c>
      <c r="CB138" s="22">
        <f t="shared" si="118"/>
        <v>5.3139366398878183E-13</v>
      </c>
      <c r="CC138" s="62">
        <f t="shared" si="119"/>
        <v>293.33333333333383</v>
      </c>
      <c r="CD138" s="62">
        <f ca="1">AVERAGE(OFFSET($CC$3,0,0,'Données projet'!$E$12+1,1))-AVERAGE(OFFSET($H$3,0,0,'Données projet'!$E$12+1,1))</f>
        <v>170.27677128684815</v>
      </c>
      <c r="CE138" s="62">
        <f t="shared" si="148"/>
        <v>243.47439640666289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0.53863166806688401</v>
      </c>
      <c r="CL138" s="23">
        <f>EXP(-LN(2)/25)*CL137+(1-EXP(-LN(2)/25))/(LN(2)/25)*Calculateur!CG138*Calculateur!CI138*VLOOKUP('Données projet'!$B$12,Paramètres!$A$1:$I$89,3,0)*0.475*44/12</f>
        <v>0.9847723198620647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1.5234039879289487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0</v>
      </c>
      <c r="CZ138" s="62">
        <f t="shared" si="150"/>
        <v>0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-2.5420376914553347E-13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388.88381485322674</v>
      </c>
      <c r="T139" s="62">
        <f t="shared" si="142"/>
        <v>355.82695155276218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2.7207581895185795</v>
      </c>
      <c r="AA139" s="23">
        <f>EXP(-LN(2)/25)*AA138+(1-EXP(-LN(2)/25))/(LN(2)/25)*Calculateur!V139*Calculateur!X139*VLOOKUP('Données projet'!$B$9,Paramètres!$A$1:$I$89,3,0)*0.475*44/12</f>
        <v>0.74157806356174238</v>
      </c>
      <c r="AB139" s="23">
        <f>EXP(-LN(2)/2)*AB138+(1-EXP(-LN(2)/2))/(LN(2)/2)*V139*Y139*VLOOKUP('Données projet'!$B$9,Paramètres!$A$1:$I$89,3,0)*0.475*44/12</f>
        <v>5.3837838653034655E-16</v>
      </c>
      <c r="AC139" s="24">
        <f t="shared" si="111"/>
        <v>3.4623362530803221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4.9658410716801891E-14</v>
      </c>
      <c r="AK139" s="14">
        <f t="shared" si="143"/>
        <v>8.0934058173791862E-13</v>
      </c>
      <c r="AL139" s="22">
        <f t="shared" si="112"/>
        <v>1.4960899118586383E-12</v>
      </c>
      <c r="AM139" s="62">
        <f t="shared" si="113"/>
        <v>293.33333333333479</v>
      </c>
      <c r="AN139" s="62">
        <f ca="1">AVERAGE(OFFSET($AM$3,0,0,'Données projet'!$E$10+1,1))-AVERAGE(OFFSET($H$3,0,0,'Données projet'!$E$10+1,1))</f>
        <v>321.62968871874483</v>
      </c>
      <c r="AO139" s="62">
        <f t="shared" si="144"/>
        <v>389.91636841473559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0.44783704910336353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4.0559795705728299E-15</v>
      </c>
      <c r="AX139" s="23">
        <f t="shared" si="114"/>
        <v>0.44783704910336758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317.99999999999972</v>
      </c>
      <c r="BE139" s="14">
        <f>BD139*VLOOKUP('Données projet'!$B$11,Paramètres!$A$1:$I$89,3,0)*VLOOKUP('Données projet'!$B$11,Paramètres!$A$1:$I$89,5,0)</f>
        <v>233.1575999999998</v>
      </c>
      <c r="BF139" s="14">
        <f t="shared" si="145"/>
        <v>56.964885721091697</v>
      </c>
      <c r="BG139" s="22">
        <f t="shared" si="115"/>
        <v>505.29666263090093</v>
      </c>
      <c r="BH139" s="62">
        <f t="shared" si="116"/>
        <v>798.62999596423424</v>
      </c>
      <c r="BI139" s="62">
        <f ca="1">AVERAGE(OFFSET($BH$3,0,0,'Données projet'!$E$11+1,1))-AVERAGE(OFFSET($H$3,0,0,'Données projet'!$E$11+1,1))</f>
        <v>327.81662150328646</v>
      </c>
      <c r="BJ139" s="62">
        <f t="shared" si="146"/>
        <v>320.24200483294322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1.5816816896803827E-15</v>
      </c>
      <c r="BS139" s="24">
        <f t="shared" si="117"/>
        <v>1.5816816896803827E-15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1.5518253349000589E-14</v>
      </c>
      <c r="CA139" s="14">
        <f t="shared" si="147"/>
        <v>2.8958815659671149E-13</v>
      </c>
      <c r="CB139" s="22">
        <f t="shared" si="118"/>
        <v>5.3139366398878183E-13</v>
      </c>
      <c r="CC139" s="62">
        <f t="shared" si="119"/>
        <v>293.33333333333383</v>
      </c>
      <c r="CD139" s="62">
        <f ca="1">AVERAGE(OFFSET($CC$3,0,0,'Données projet'!$E$12+1,1))-AVERAGE(OFFSET($H$3,0,0,'Données projet'!$E$12+1,1))</f>
        <v>170.27677128684815</v>
      </c>
      <c r="CE139" s="62">
        <f t="shared" si="148"/>
        <v>243.47439640666289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0.52806942958896996</v>
      </c>
      <c r="CL139" s="23">
        <f>EXP(-LN(2)/25)*CL138+(1-EXP(-LN(2)/25))/(LN(2)/25)*Calculateur!CG139*Calculateur!CI139*VLOOKUP('Données projet'!$B$12,Paramètres!$A$1:$I$89,3,0)*0.475*44/12</f>
        <v>0.95784366898851092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1.4859130985774809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0</v>
      </c>
      <c r="CZ139" s="62">
        <f t="shared" si="150"/>
        <v>0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-2.5420376914553347E-13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388.88381485322674</v>
      </c>
      <c r="T140" s="62">
        <f t="shared" si="142"/>
        <v>355.82695155276218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2.6674057809207539</v>
      </c>
      <c r="AA140" s="23">
        <f>EXP(-LN(2)/25)*AA139+(1-EXP(-LN(2)/25))/(LN(2)/25)*Calculateur!V140*Calculateur!X140*VLOOKUP('Données projet'!$B$9,Paramètres!$A$1:$I$89,3,0)*0.475*44/12</f>
        <v>0.72129957241575104</v>
      </c>
      <c r="AB140" s="23">
        <f>EXP(-LN(2)/2)*AB139+(1-EXP(-LN(2)/2))/(LN(2)/2)*V140*Y140*VLOOKUP('Données projet'!$B$9,Paramètres!$A$1:$I$89,3,0)*0.475*44/12</f>
        <v>3.8069100795988027E-16</v>
      </c>
      <c r="AC140" s="24">
        <f t="shared" si="111"/>
        <v>3.3887053533365052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4.9658410716801891E-14</v>
      </c>
      <c r="AK140" s="14">
        <f t="shared" si="143"/>
        <v>8.0934058173791862E-13</v>
      </c>
      <c r="AL140" s="22">
        <f t="shared" si="112"/>
        <v>1.4960899118586383E-12</v>
      </c>
      <c r="AM140" s="62">
        <f t="shared" si="113"/>
        <v>293.33333333333479</v>
      </c>
      <c r="AN140" s="62">
        <f ca="1">AVERAGE(OFFSET($AM$3,0,0,'Données projet'!$E$10+1,1))-AVERAGE(OFFSET($H$3,0,0,'Données projet'!$E$10+1,1))</f>
        <v>321.62968871874483</v>
      </c>
      <c r="AO140" s="62">
        <f t="shared" si="144"/>
        <v>389.91636841473559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0.43905523772407484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2.8680106587061491E-15</v>
      </c>
      <c r="AX140" s="23">
        <f t="shared" si="114"/>
        <v>0.43905523772407773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317.99999999999972</v>
      </c>
      <c r="BE140" s="14">
        <f>BD140*VLOOKUP('Données projet'!$B$11,Paramètres!$A$1:$I$89,3,0)*VLOOKUP('Données projet'!$B$11,Paramètres!$A$1:$I$89,5,0)</f>
        <v>233.1575999999998</v>
      </c>
      <c r="BF140" s="14">
        <f t="shared" si="145"/>
        <v>56.964885721091697</v>
      </c>
      <c r="BG140" s="22">
        <f t="shared" si="115"/>
        <v>505.29666263090093</v>
      </c>
      <c r="BH140" s="62">
        <f t="shared" si="116"/>
        <v>798.62999596423424</v>
      </c>
      <c r="BI140" s="62">
        <f ca="1">AVERAGE(OFFSET($BH$3,0,0,'Données projet'!$E$11+1,1))-AVERAGE(OFFSET($H$3,0,0,'Données projet'!$E$11+1,1))</f>
        <v>327.81662150328646</v>
      </c>
      <c r="BJ140" s="62">
        <f t="shared" si="146"/>
        <v>320.24200483294322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1.1184178484515952E-15</v>
      </c>
      <c r="BS140" s="24">
        <f t="shared" si="117"/>
        <v>1.1184178484515952E-15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1.5518253349000589E-14</v>
      </c>
      <c r="CA140" s="14">
        <f t="shared" si="147"/>
        <v>2.8958815659671149E-13</v>
      </c>
      <c r="CB140" s="22">
        <f t="shared" si="118"/>
        <v>5.3139366398878183E-13</v>
      </c>
      <c r="CC140" s="62">
        <f t="shared" si="119"/>
        <v>293.33333333333383</v>
      </c>
      <c r="CD140" s="62">
        <f ca="1">AVERAGE(OFFSET($CC$3,0,0,'Données projet'!$E$12+1,1))-AVERAGE(OFFSET($H$3,0,0,'Données projet'!$E$12+1,1))</f>
        <v>170.27677128684815</v>
      </c>
      <c r="CE140" s="62">
        <f t="shared" si="148"/>
        <v>243.47439640666289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0.51771431016527847</v>
      </c>
      <c r="CL140" s="23">
        <f>EXP(-LN(2)/25)*CL139+(1-EXP(-LN(2)/25))/(LN(2)/25)*Calculateur!CG140*Calculateur!CI140*VLOOKUP('Données projet'!$B$12,Paramètres!$A$1:$I$89,3,0)*0.475*44/12</f>
        <v>0.93165138348921073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1.4493656936544892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0</v>
      </c>
      <c r="CZ140" s="62">
        <f t="shared" si="150"/>
        <v>0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-2.5420376914553347E-13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388.88381485322674</v>
      </c>
      <c r="T141" s="62">
        <f t="shared" si="142"/>
        <v>355.82695155276218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2.6150995805137756</v>
      </c>
      <c r="AA141" s="23">
        <f>EXP(-LN(2)/25)*AA140+(1-EXP(-LN(2)/25))/(LN(2)/25)*Calculateur!V141*Calculateur!X141*VLOOKUP('Données projet'!$B$9,Paramètres!$A$1:$I$89,3,0)*0.475*44/12</f>
        <v>0.70157559767654643</v>
      </c>
      <c r="AB141" s="23">
        <f>EXP(-LN(2)/2)*AB140+(1-EXP(-LN(2)/2))/(LN(2)/2)*V141*Y141*VLOOKUP('Données projet'!$B$9,Paramètres!$A$1:$I$89,3,0)*0.475*44/12</f>
        <v>2.6918919326517328E-16</v>
      </c>
      <c r="AC141" s="24">
        <f t="shared" si="111"/>
        <v>3.3166751781903225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4.9658410716801891E-14</v>
      </c>
      <c r="AK141" s="14">
        <f t="shared" si="143"/>
        <v>8.0934058173791862E-13</v>
      </c>
      <c r="AL141" s="22">
        <f t="shared" si="112"/>
        <v>1.4960899118586383E-12</v>
      </c>
      <c r="AM141" s="62">
        <f t="shared" si="113"/>
        <v>293.33333333333479</v>
      </c>
      <c r="AN141" s="62">
        <f ca="1">AVERAGE(OFFSET($AM$3,0,0,'Données projet'!$E$10+1,1))-AVERAGE(OFFSET($H$3,0,0,'Données projet'!$E$10+1,1))</f>
        <v>321.62968871874483</v>
      </c>
      <c r="AO141" s="62">
        <f t="shared" si="144"/>
        <v>389.91636841473559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0.43044563230955796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2.027989785286415E-15</v>
      </c>
      <c r="AX141" s="23">
        <f t="shared" si="114"/>
        <v>0.43044563230956001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317.99999999999972</v>
      </c>
      <c r="BE141" s="14">
        <f>BD141*VLOOKUP('Données projet'!$B$11,Paramètres!$A$1:$I$89,3,0)*VLOOKUP('Données projet'!$B$11,Paramètres!$A$1:$I$89,5,0)</f>
        <v>233.1575999999998</v>
      </c>
      <c r="BF141" s="14">
        <f t="shared" si="145"/>
        <v>56.964885721091697</v>
      </c>
      <c r="BG141" s="22">
        <f t="shared" si="115"/>
        <v>505.29666263090093</v>
      </c>
      <c r="BH141" s="62">
        <f t="shared" si="116"/>
        <v>798.62999596423424</v>
      </c>
      <c r="BI141" s="62">
        <f ca="1">AVERAGE(OFFSET($BH$3,0,0,'Données projet'!$E$11+1,1))-AVERAGE(OFFSET($H$3,0,0,'Données projet'!$E$11+1,1))</f>
        <v>327.81662150328646</v>
      </c>
      <c r="BJ141" s="62">
        <f t="shared" si="146"/>
        <v>320.24200483294322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7.9084084484019137E-16</v>
      </c>
      <c r="BS141" s="24">
        <f t="shared" si="117"/>
        <v>7.9084084484019137E-16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1.5518253349000589E-14</v>
      </c>
      <c r="CA141" s="14">
        <f t="shared" si="147"/>
        <v>2.8958815659671149E-13</v>
      </c>
      <c r="CB141" s="22">
        <f t="shared" si="118"/>
        <v>5.3139366398878183E-13</v>
      </c>
      <c r="CC141" s="62">
        <f t="shared" si="119"/>
        <v>293.33333333333383</v>
      </c>
      <c r="CD141" s="62">
        <f ca="1">AVERAGE(OFFSET($CC$3,0,0,'Données projet'!$E$12+1,1))-AVERAGE(OFFSET($H$3,0,0,'Données projet'!$E$12+1,1))</f>
        <v>170.27677128684815</v>
      </c>
      <c r="CE141" s="62">
        <f t="shared" si="148"/>
        <v>243.47439640666289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0.50756224831748642</v>
      </c>
      <c r="CL141" s="23">
        <f>EXP(-LN(2)/25)*CL140+(1-EXP(-LN(2)/25))/(LN(2)/25)*Calculateur!CG141*Calculateur!CI141*VLOOKUP('Données projet'!$B$12,Paramètres!$A$1:$I$89,3,0)*0.475*44/12</f>
        <v>0.90617532741428131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1.4137375757317678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0</v>
      </c>
      <c r="CZ141" s="62">
        <f t="shared" si="150"/>
        <v>0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-2.5420376914553347E-13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388.88381485322674</v>
      </c>
      <c r="T142" s="62">
        <f t="shared" si="142"/>
        <v>355.82695155276218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2.5638190727931462</v>
      </c>
      <c r="AA142" s="23">
        <f>EXP(-LN(2)/25)*AA141+(1-EXP(-LN(2)/25))/(LN(2)/25)*Calculateur!V142*Calculateur!X142*VLOOKUP('Données projet'!$B$9,Paramètres!$A$1:$I$89,3,0)*0.475*44/12</f>
        <v>0.68239097606382404</v>
      </c>
      <c r="AB142" s="23">
        <f>EXP(-LN(2)/2)*AB141+(1-EXP(-LN(2)/2))/(LN(2)/2)*V142*Y142*VLOOKUP('Données projet'!$B$9,Paramètres!$A$1:$I$89,3,0)*0.475*44/12</f>
        <v>1.9034550397994013E-16</v>
      </c>
      <c r="AC142" s="24">
        <f t="shared" si="111"/>
        <v>3.2462100488569705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4.9658410716801891E-14</v>
      </c>
      <c r="AK142" s="14">
        <f t="shared" si="143"/>
        <v>8.0934058173791862E-13</v>
      </c>
      <c r="AL142" s="22">
        <f t="shared" si="112"/>
        <v>1.4960899118586383E-12</v>
      </c>
      <c r="AM142" s="62">
        <f t="shared" si="113"/>
        <v>293.33333333333479</v>
      </c>
      <c r="AN142" s="62">
        <f ca="1">AVERAGE(OFFSET($AM$3,0,0,'Données projet'!$E$10+1,1))-AVERAGE(OFFSET($H$3,0,0,'Données projet'!$E$10+1,1))</f>
        <v>321.62968871874483</v>
      </c>
      <c r="AO142" s="62">
        <f t="shared" si="144"/>
        <v>389.91636841473559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0.422004856005879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1.4340053293530746E-15</v>
      </c>
      <c r="AX142" s="23">
        <f t="shared" si="114"/>
        <v>0.42200485600588045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317.99999999999972</v>
      </c>
      <c r="BE142" s="14">
        <f>BD142*VLOOKUP('Données projet'!$B$11,Paramètres!$A$1:$I$89,3,0)*VLOOKUP('Données projet'!$B$11,Paramètres!$A$1:$I$89,5,0)</f>
        <v>233.1575999999998</v>
      </c>
      <c r="BF142" s="14">
        <f t="shared" si="145"/>
        <v>56.964885721091697</v>
      </c>
      <c r="BG142" s="22">
        <f t="shared" si="115"/>
        <v>505.29666263090093</v>
      </c>
      <c r="BH142" s="62">
        <f t="shared" si="116"/>
        <v>798.62999596423424</v>
      </c>
      <c r="BI142" s="62">
        <f ca="1">AVERAGE(OFFSET($BH$3,0,0,'Données projet'!$E$11+1,1))-AVERAGE(OFFSET($H$3,0,0,'Données projet'!$E$11+1,1))</f>
        <v>327.81662150328646</v>
      </c>
      <c r="BJ142" s="62">
        <f t="shared" si="146"/>
        <v>320.24200483294322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5.5920892422579758E-16</v>
      </c>
      <c r="BS142" s="24">
        <f t="shared" si="117"/>
        <v>5.5920892422579758E-16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1.5518253349000589E-14</v>
      </c>
      <c r="CA142" s="14">
        <f t="shared" si="147"/>
        <v>2.8958815659671149E-13</v>
      </c>
      <c r="CB142" s="22">
        <f t="shared" si="118"/>
        <v>5.3139366398878183E-13</v>
      </c>
      <c r="CC142" s="62">
        <f t="shared" si="119"/>
        <v>293.33333333333383</v>
      </c>
      <c r="CD142" s="62">
        <f ca="1">AVERAGE(OFFSET($CC$3,0,0,'Données projet'!$E$12+1,1))-AVERAGE(OFFSET($H$3,0,0,'Données projet'!$E$12+1,1))</f>
        <v>170.27677128684815</v>
      </c>
      <c r="CE142" s="62">
        <f t="shared" si="148"/>
        <v>243.47439640666289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0.49760926221038326</v>
      </c>
      <c r="CL142" s="23">
        <f>EXP(-LN(2)/25)*CL141+(1-EXP(-LN(2)/25))/(LN(2)/25)*Calculateur!CG142*Calculateur!CI142*VLOOKUP('Données projet'!$B$12,Paramètres!$A$1:$I$89,3,0)*0.475*44/12</f>
        <v>0.88139591543244844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1.3790051776428318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0</v>
      </c>
      <c r="CZ142" s="62">
        <f t="shared" si="150"/>
        <v>0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-2.5420376914553347E-13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388.88381485322674</v>
      </c>
      <c r="T143" s="62">
        <f t="shared" si="142"/>
        <v>355.82695155276218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2.513544144550897</v>
      </c>
      <c r="AA143" s="23">
        <f>EXP(-LN(2)/25)*AA142+(1-EXP(-LN(2)/25))/(LN(2)/25)*Calculateur!V143*Calculateur!X143*VLOOKUP('Données projet'!$B$9,Paramètres!$A$1:$I$89,3,0)*0.475*44/12</f>
        <v>0.66373095893797696</v>
      </c>
      <c r="AB143" s="23">
        <f>EXP(-LN(2)/2)*AB142+(1-EXP(-LN(2)/2))/(LN(2)/2)*V143*Y143*VLOOKUP('Données projet'!$B$9,Paramètres!$A$1:$I$89,3,0)*0.475*44/12</f>
        <v>1.3459459663258664E-16</v>
      </c>
      <c r="AC143" s="24">
        <f t="shared" si="111"/>
        <v>3.1772751034888742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4.9658410716801891E-14</v>
      </c>
      <c r="AK143" s="14">
        <f t="shared" si="143"/>
        <v>8.0934058173791862E-13</v>
      </c>
      <c r="AL143" s="22">
        <f t="shared" si="112"/>
        <v>1.4960899118586383E-12</v>
      </c>
      <c r="AM143" s="62">
        <f t="shared" si="113"/>
        <v>293.33333333333479</v>
      </c>
      <c r="AN143" s="62">
        <f ca="1">AVERAGE(OFFSET($AM$3,0,0,'Données projet'!$E$10+1,1))-AVERAGE(OFFSET($H$3,0,0,'Données projet'!$E$10+1,1))</f>
        <v>321.62968871874483</v>
      </c>
      <c r="AO143" s="62">
        <f t="shared" si="144"/>
        <v>389.91636841473559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0.41372959817714999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1.0139948926432075E-15</v>
      </c>
      <c r="AX143" s="23">
        <f t="shared" si="114"/>
        <v>0.41372959817715099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317.99999999999972</v>
      </c>
      <c r="BE143" s="14">
        <f>BD143*VLOOKUP('Données projet'!$B$11,Paramètres!$A$1:$I$89,3,0)*VLOOKUP('Données projet'!$B$11,Paramètres!$A$1:$I$89,5,0)</f>
        <v>233.1575999999998</v>
      </c>
      <c r="BF143" s="14">
        <f t="shared" si="145"/>
        <v>56.964885721091697</v>
      </c>
      <c r="BG143" s="22">
        <f t="shared" si="115"/>
        <v>505.29666263090093</v>
      </c>
      <c r="BH143" s="62">
        <f t="shared" si="116"/>
        <v>798.62999596423424</v>
      </c>
      <c r="BI143" s="62">
        <f ca="1">AVERAGE(OFFSET($BH$3,0,0,'Données projet'!$E$11+1,1))-AVERAGE(OFFSET($H$3,0,0,'Données projet'!$E$11+1,1))</f>
        <v>327.81662150328646</v>
      </c>
      <c r="BJ143" s="62">
        <f t="shared" si="146"/>
        <v>320.24200483294322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3.9542042242009568E-16</v>
      </c>
      <c r="BS143" s="24">
        <f t="shared" si="117"/>
        <v>3.9542042242009568E-16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1.5518253349000589E-14</v>
      </c>
      <c r="CA143" s="14">
        <f t="shared" si="147"/>
        <v>2.8958815659671149E-13</v>
      </c>
      <c r="CB143" s="22">
        <f t="shared" si="118"/>
        <v>5.3139366398878183E-13</v>
      </c>
      <c r="CC143" s="62">
        <f t="shared" si="119"/>
        <v>293.33333333333383</v>
      </c>
      <c r="CD143" s="62">
        <f ca="1">AVERAGE(OFFSET($CC$3,0,0,'Données projet'!$E$12+1,1))-AVERAGE(OFFSET($H$3,0,0,'Données projet'!$E$12+1,1))</f>
        <v>170.27677128684815</v>
      </c>
      <c r="CE143" s="62">
        <f t="shared" si="148"/>
        <v>243.47439640666289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0.48785144809011832</v>
      </c>
      <c r="CL143" s="23">
        <f>EXP(-LN(2)/25)*CL142+(1-EXP(-LN(2)/25))/(LN(2)/25)*Calculateur!CG143*Calculateur!CI143*VLOOKUP('Données projet'!$B$12,Paramètres!$A$1:$I$89,3,0)*0.475*44/12</f>
        <v>0.85729409777435139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1.3451455458644697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0</v>
      </c>
      <c r="CZ143" s="62">
        <f t="shared" si="150"/>
        <v>0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-2.5420376914553347E-13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388.88381485322674</v>
      </c>
      <c r="T144" s="62">
        <f t="shared" si="142"/>
        <v>355.82695155276218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2.4642550769868001</v>
      </c>
      <c r="AA144" s="23">
        <f>EXP(-LN(2)/25)*AA143+(1-EXP(-LN(2)/25))/(LN(2)/25)*Calculateur!V144*Calculateur!X144*VLOOKUP('Données projet'!$B$9,Paramètres!$A$1:$I$89,3,0)*0.475*44/12</f>
        <v>0.64558120096172378</v>
      </c>
      <c r="AB144" s="23">
        <f>EXP(-LN(2)/2)*AB143+(1-EXP(-LN(2)/2))/(LN(2)/2)*V144*Y144*VLOOKUP('Données projet'!$B$9,Paramètres!$A$1:$I$89,3,0)*0.475*44/12</f>
        <v>9.5172751989970066E-17</v>
      </c>
      <c r="AC144" s="24">
        <f t="shared" si="111"/>
        <v>3.1098362779485238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4.9658410716801891E-14</v>
      </c>
      <c r="AK144" s="14">
        <f t="shared" si="143"/>
        <v>8.0934058173791862E-13</v>
      </c>
      <c r="AL144" s="22">
        <f t="shared" si="112"/>
        <v>1.4960899118586383E-12</v>
      </c>
      <c r="AM144" s="62">
        <f t="shared" si="113"/>
        <v>293.33333333333479</v>
      </c>
      <c r="AN144" s="62">
        <f ca="1">AVERAGE(OFFSET($AM$3,0,0,'Données projet'!$E$10+1,1))-AVERAGE(OFFSET($H$3,0,0,'Données projet'!$E$10+1,1))</f>
        <v>321.62968871874483</v>
      </c>
      <c r="AO144" s="62">
        <f t="shared" si="144"/>
        <v>389.91636841473559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0.40561661310703345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7.1700266467653728E-16</v>
      </c>
      <c r="AX144" s="23">
        <f t="shared" si="114"/>
        <v>0.40561661310703417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317.99999999999972</v>
      </c>
      <c r="BE144" s="14">
        <f>BD144*VLOOKUP('Données projet'!$B$11,Paramètres!$A$1:$I$89,3,0)*VLOOKUP('Données projet'!$B$11,Paramètres!$A$1:$I$89,5,0)</f>
        <v>233.1575999999998</v>
      </c>
      <c r="BF144" s="14">
        <f t="shared" si="145"/>
        <v>56.964885721091697</v>
      </c>
      <c r="BG144" s="22">
        <f t="shared" si="115"/>
        <v>505.29666263090093</v>
      </c>
      <c r="BH144" s="62">
        <f t="shared" si="116"/>
        <v>798.62999596423424</v>
      </c>
      <c r="BI144" s="62">
        <f ca="1">AVERAGE(OFFSET($BH$3,0,0,'Données projet'!$E$11+1,1))-AVERAGE(OFFSET($H$3,0,0,'Données projet'!$E$11+1,1))</f>
        <v>327.81662150328646</v>
      </c>
      <c r="BJ144" s="62">
        <f t="shared" si="146"/>
        <v>320.24200483294322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2.7960446211289879E-16</v>
      </c>
      <c r="BS144" s="24">
        <f t="shared" si="117"/>
        <v>2.7960446211289879E-16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1.5518253349000589E-14</v>
      </c>
      <c r="CA144" s="14">
        <f t="shared" si="147"/>
        <v>2.8958815659671149E-13</v>
      </c>
      <c r="CB144" s="22">
        <f t="shared" si="118"/>
        <v>5.3139366398878183E-13</v>
      </c>
      <c r="CC144" s="62">
        <f t="shared" si="119"/>
        <v>293.33333333333383</v>
      </c>
      <c r="CD144" s="62">
        <f ca="1">AVERAGE(OFFSET($CC$3,0,0,'Données projet'!$E$12+1,1))-AVERAGE(OFFSET($H$3,0,0,'Données projet'!$E$12+1,1))</f>
        <v>170.27677128684815</v>
      </c>
      <c r="CE144" s="62">
        <f t="shared" si="148"/>
        <v>243.47439640666289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0.47828497875307285</v>
      </c>
      <c r="CL144" s="23">
        <f>EXP(-LN(2)/25)*CL143+(1-EXP(-LN(2)/25))/(LN(2)/25)*Calculateur!CG144*Calculateur!CI144*VLOOKUP('Données projet'!$B$12,Paramètres!$A$1:$I$89,3,0)*0.475*44/12</f>
        <v>0.83385134558757457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1.3121363243406474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0</v>
      </c>
      <c r="CZ144" s="62">
        <f t="shared" si="150"/>
        <v>0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-2.5420376914553347E-13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388.88381485322674</v>
      </c>
      <c r="T145" s="62">
        <f t="shared" si="142"/>
        <v>355.82695155276218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2.4159325379742724</v>
      </c>
      <c r="AA145" s="23">
        <f>EXP(-LN(2)/25)*AA144+(1-EXP(-LN(2)/25))/(LN(2)/25)*Calculateur!V145*Calculateur!X145*VLOOKUP('Données projet'!$B$9,Paramètres!$A$1:$I$89,3,0)*0.475*44/12</f>
        <v>0.62792774907178561</v>
      </c>
      <c r="AB145" s="23">
        <f>EXP(-LN(2)/2)*AB144+(1-EXP(-LN(2)/2))/(LN(2)/2)*V145*Y145*VLOOKUP('Données projet'!$B$9,Paramètres!$A$1:$I$89,3,0)*0.475*44/12</f>
        <v>6.7297298316293319E-17</v>
      </c>
      <c r="AC145" s="24">
        <f t="shared" si="111"/>
        <v>3.043860287046058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4.9658410716801891E-14</v>
      </c>
      <c r="AK145" s="14">
        <f t="shared" si="143"/>
        <v>8.0934058173791862E-13</v>
      </c>
      <c r="AL145" s="22">
        <f t="shared" si="112"/>
        <v>1.4960899118586383E-12</v>
      </c>
      <c r="AM145" s="62">
        <f t="shared" si="113"/>
        <v>293.33333333333479</v>
      </c>
      <c r="AN145" s="62">
        <f ca="1">AVERAGE(OFFSET($AM$3,0,0,'Données projet'!$E$10+1,1))-AVERAGE(OFFSET($H$3,0,0,'Données projet'!$E$10+1,1))</f>
        <v>321.62968871874483</v>
      </c>
      <c r="AO145" s="62">
        <f t="shared" si="144"/>
        <v>389.91636841473559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0.39766271872570963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5.0699744632160374E-16</v>
      </c>
      <c r="AX145" s="23">
        <f t="shared" si="114"/>
        <v>0.39766271872571013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317.99999999999972</v>
      </c>
      <c r="BE145" s="14">
        <f>BD145*VLOOKUP('Données projet'!$B$11,Paramètres!$A$1:$I$89,3,0)*VLOOKUP('Données projet'!$B$11,Paramètres!$A$1:$I$89,5,0)</f>
        <v>233.1575999999998</v>
      </c>
      <c r="BF145" s="14">
        <f t="shared" si="145"/>
        <v>56.964885721091697</v>
      </c>
      <c r="BG145" s="22">
        <f t="shared" si="115"/>
        <v>505.29666263090093</v>
      </c>
      <c r="BH145" s="62">
        <f t="shared" si="116"/>
        <v>798.62999596423424</v>
      </c>
      <c r="BI145" s="62">
        <f ca="1">AVERAGE(OFFSET($BH$3,0,0,'Données projet'!$E$11+1,1))-AVERAGE(OFFSET($H$3,0,0,'Données projet'!$E$11+1,1))</f>
        <v>327.81662150328646</v>
      </c>
      <c r="BJ145" s="62">
        <f t="shared" si="146"/>
        <v>320.24200483294322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1.9771021121004784E-16</v>
      </c>
      <c r="BS145" s="24">
        <f t="shared" si="117"/>
        <v>1.9771021121004784E-16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1.5518253349000589E-14</v>
      </c>
      <c r="CA145" s="14">
        <f t="shared" si="147"/>
        <v>2.8958815659671149E-13</v>
      </c>
      <c r="CB145" s="22">
        <f t="shared" si="118"/>
        <v>5.3139366398878183E-13</v>
      </c>
      <c r="CC145" s="62">
        <f t="shared" si="119"/>
        <v>293.33333333333383</v>
      </c>
      <c r="CD145" s="62">
        <f ca="1">AVERAGE(OFFSET($CC$3,0,0,'Données projet'!$E$12+1,1))-AVERAGE(OFFSET($H$3,0,0,'Données projet'!$E$12+1,1))</f>
        <v>170.27677128684815</v>
      </c>
      <c r="CE145" s="62">
        <f t="shared" si="148"/>
        <v>243.47439640666289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0.46890610204475669</v>
      </c>
      <c r="CL145" s="23">
        <f>EXP(-LN(2)/25)*CL144+(1-EXP(-LN(2)/25))/(LN(2)/25)*Calculateur!CG145*Calculateur!CI145*VLOOKUP('Données projet'!$B$12,Paramètres!$A$1:$I$89,3,0)*0.475*44/12</f>
        <v>0.81104963669214591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1.2799557387369025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0</v>
      </c>
      <c r="CZ145" s="62">
        <f t="shared" si="150"/>
        <v>0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-2.5420376914553347E-13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388.88381485322674</v>
      </c>
      <c r="T146" s="62">
        <f t="shared" si="142"/>
        <v>355.82695155276218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2.3685575744779417</v>
      </c>
      <c r="AA146" s="23">
        <f>EXP(-LN(2)/25)*AA145+(1-EXP(-LN(2)/25))/(LN(2)/25)*Calculateur!V146*Calculateur!X146*VLOOKUP('Données projet'!$B$9,Paramètres!$A$1:$I$89,3,0)*0.475*44/12</f>
        <v>0.61075703175213247</v>
      </c>
      <c r="AB146" s="23">
        <f>EXP(-LN(2)/2)*AB145+(1-EXP(-LN(2)/2))/(LN(2)/2)*V146*Y146*VLOOKUP('Données projet'!$B$9,Paramètres!$A$1:$I$89,3,0)*0.475*44/12</f>
        <v>4.7586375994985033E-17</v>
      </c>
      <c r="AC146" s="24">
        <f t="shared" si="111"/>
        <v>2.9793146062300742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4.9658410716801891E-14</v>
      </c>
      <c r="AK146" s="14">
        <f t="shared" si="143"/>
        <v>8.0934058173791862E-13</v>
      </c>
      <c r="AL146" s="22">
        <f t="shared" si="112"/>
        <v>1.4960899118586383E-12</v>
      </c>
      <c r="AM146" s="62">
        <f t="shared" si="113"/>
        <v>293.33333333333479</v>
      </c>
      <c r="AN146" s="62">
        <f ca="1">AVERAGE(OFFSET($AM$3,0,0,'Données projet'!$E$10+1,1))-AVERAGE(OFFSET($H$3,0,0,'Données projet'!$E$10+1,1))</f>
        <v>321.62968871874483</v>
      </c>
      <c r="AO146" s="62">
        <f t="shared" si="144"/>
        <v>389.91636841473559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0.38986479536180701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3.5850133233826864E-16</v>
      </c>
      <c r="AX146" s="23">
        <f t="shared" si="114"/>
        <v>0.38986479536180735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317.99999999999972</v>
      </c>
      <c r="BE146" s="14">
        <f>BD146*VLOOKUP('Données projet'!$B$11,Paramètres!$A$1:$I$89,3,0)*VLOOKUP('Données projet'!$B$11,Paramètres!$A$1:$I$89,5,0)</f>
        <v>233.1575999999998</v>
      </c>
      <c r="BF146" s="14">
        <f t="shared" si="145"/>
        <v>56.964885721091697</v>
      </c>
      <c r="BG146" s="22">
        <f t="shared" si="115"/>
        <v>505.29666263090093</v>
      </c>
      <c r="BH146" s="62">
        <f t="shared" si="116"/>
        <v>798.62999596423424</v>
      </c>
      <c r="BI146" s="62">
        <f ca="1">AVERAGE(OFFSET($BH$3,0,0,'Données projet'!$E$11+1,1))-AVERAGE(OFFSET($H$3,0,0,'Données projet'!$E$11+1,1))</f>
        <v>327.81662150328646</v>
      </c>
      <c r="BJ146" s="62">
        <f t="shared" si="146"/>
        <v>320.24200483294322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1.3980223105644939E-16</v>
      </c>
      <c r="BS146" s="24">
        <f t="shared" si="117"/>
        <v>1.3980223105644939E-16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1.5518253349000589E-14</v>
      </c>
      <c r="CA146" s="14">
        <f t="shared" si="147"/>
        <v>2.8958815659671149E-13</v>
      </c>
      <c r="CB146" s="22">
        <f t="shared" si="118"/>
        <v>5.3139366398878183E-13</v>
      </c>
      <c r="CC146" s="62">
        <f t="shared" si="119"/>
        <v>293.33333333333383</v>
      </c>
      <c r="CD146" s="62">
        <f ca="1">AVERAGE(OFFSET($CC$3,0,0,'Données projet'!$E$12+1,1))-AVERAGE(OFFSET($H$3,0,0,'Données projet'!$E$12+1,1))</f>
        <v>170.27677128684815</v>
      </c>
      <c r="CE146" s="62">
        <f t="shared" si="148"/>
        <v>243.47439640666289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0.45971113938814068</v>
      </c>
      <c r="CL146" s="23">
        <f>EXP(-LN(2)/25)*CL145+(1-EXP(-LN(2)/25))/(LN(2)/25)*Calculateur!CG146*Calculateur!CI146*VLOOKUP('Données projet'!$B$12,Paramètres!$A$1:$I$89,3,0)*0.475*44/12</f>
        <v>0.78887144172555246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1.248582581113693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0</v>
      </c>
      <c r="CZ146" s="62">
        <f t="shared" si="150"/>
        <v>0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-2.5420376914553347E-13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388.88381485322674</v>
      </c>
      <c r="T147" s="62">
        <f t="shared" si="142"/>
        <v>355.82695155276218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2.3221116051198996</v>
      </c>
      <c r="AA147" s="23">
        <f>EXP(-LN(2)/25)*AA146+(1-EXP(-LN(2)/25))/(LN(2)/25)*Calculateur!V147*Calculateur!X147*VLOOKUP('Données projet'!$B$9,Paramètres!$A$1:$I$89,3,0)*0.475*44/12</f>
        <v>0.59405584860055405</v>
      </c>
      <c r="AB147" s="23">
        <f>EXP(-LN(2)/2)*AB146+(1-EXP(-LN(2)/2))/(LN(2)/2)*V147*Y147*VLOOKUP('Données projet'!$B$9,Paramètres!$A$1:$I$89,3,0)*0.475*44/12</f>
        <v>3.3648649158146659E-17</v>
      </c>
      <c r="AC147" s="24">
        <f t="shared" si="111"/>
        <v>2.9161674537204538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4.9658410716801891E-14</v>
      </c>
      <c r="AK147" s="14">
        <f t="shared" si="143"/>
        <v>8.0934058173791862E-13</v>
      </c>
      <c r="AL147" s="22">
        <f t="shared" si="112"/>
        <v>1.4960899118586383E-12</v>
      </c>
      <c r="AM147" s="62">
        <f t="shared" si="113"/>
        <v>293.33333333333479</v>
      </c>
      <c r="AN147" s="62">
        <f ca="1">AVERAGE(OFFSET($AM$3,0,0,'Données projet'!$E$10+1,1))-AVERAGE(OFFSET($H$3,0,0,'Données projet'!$E$10+1,1))</f>
        <v>321.62968871874483</v>
      </c>
      <c r="AO147" s="62">
        <f t="shared" si="144"/>
        <v>389.91636841473559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0.38221978451880695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2.5349872316080187E-16</v>
      </c>
      <c r="AX147" s="23">
        <f t="shared" si="114"/>
        <v>0.38221978451880723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317.99999999999972</v>
      </c>
      <c r="BE147" s="14">
        <f>BD147*VLOOKUP('Données projet'!$B$11,Paramètres!$A$1:$I$89,3,0)*VLOOKUP('Données projet'!$B$11,Paramètres!$A$1:$I$89,5,0)</f>
        <v>233.1575999999998</v>
      </c>
      <c r="BF147" s="14">
        <f t="shared" si="145"/>
        <v>56.964885721091697</v>
      </c>
      <c r="BG147" s="22">
        <f t="shared" si="115"/>
        <v>505.29666263090093</v>
      </c>
      <c r="BH147" s="62">
        <f t="shared" si="116"/>
        <v>798.62999596423424</v>
      </c>
      <c r="BI147" s="62">
        <f ca="1">AVERAGE(OFFSET($BH$3,0,0,'Données projet'!$E$11+1,1))-AVERAGE(OFFSET($H$3,0,0,'Données projet'!$E$11+1,1))</f>
        <v>327.81662150328646</v>
      </c>
      <c r="BJ147" s="62">
        <f t="shared" si="146"/>
        <v>320.24200483294322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9.8855105605023921E-17</v>
      </c>
      <c r="BS147" s="24">
        <f t="shared" si="117"/>
        <v>9.8855105605023921E-17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1.5518253349000589E-14</v>
      </c>
      <c r="CA147" s="14">
        <f t="shared" si="147"/>
        <v>2.8958815659671149E-13</v>
      </c>
      <c r="CB147" s="22">
        <f t="shared" si="118"/>
        <v>5.3139366398878183E-13</v>
      </c>
      <c r="CC147" s="62">
        <f t="shared" si="119"/>
        <v>293.33333333333383</v>
      </c>
      <c r="CD147" s="62">
        <f ca="1">AVERAGE(OFFSET($CC$3,0,0,'Données projet'!$E$12+1,1))-AVERAGE(OFFSET($H$3,0,0,'Données projet'!$E$12+1,1))</f>
        <v>170.27677128684815</v>
      </c>
      <c r="CE147" s="62">
        <f t="shared" si="148"/>
        <v>243.47439640666289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0.45069648434084747</v>
      </c>
      <c r="CL147" s="23">
        <f>EXP(-LN(2)/25)*CL146+(1-EXP(-LN(2)/25))/(LN(2)/25)*Calculateur!CG147*Calculateur!CI147*VLOOKUP('Données projet'!$B$12,Paramètres!$A$1:$I$89,3,0)*0.475*44/12</f>
        <v>0.76729971066662106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1.2179961950074685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0</v>
      </c>
      <c r="CZ147" s="62">
        <f t="shared" si="150"/>
        <v>0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-2.5420376914553347E-13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388.88381485322674</v>
      </c>
      <c r="T148" s="62">
        <f t="shared" si="142"/>
        <v>355.82695155276218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2.2765764128917247</v>
      </c>
      <c r="AA148" s="23">
        <f>EXP(-LN(2)/25)*AA147+(1-EXP(-LN(2)/25))/(LN(2)/25)*Calculateur!V148*Calculateur!X148*VLOOKUP('Données projet'!$B$9,Paramètres!$A$1:$I$89,3,0)*0.475*44/12</f>
        <v>0.57781136018053258</v>
      </c>
      <c r="AB148" s="23">
        <f>EXP(-LN(2)/2)*AB147+(1-EXP(-LN(2)/2))/(LN(2)/2)*V148*Y148*VLOOKUP('Données projet'!$B$9,Paramètres!$A$1:$I$89,3,0)*0.475*44/12</f>
        <v>2.3793187997492517E-17</v>
      </c>
      <c r="AC148" s="24">
        <f t="shared" si="111"/>
        <v>2.8543877730722573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4.9658410716801891E-14</v>
      </c>
      <c r="AK148" s="14">
        <f t="shared" si="143"/>
        <v>8.0934058173791862E-13</v>
      </c>
      <c r="AL148" s="22">
        <f t="shared" si="112"/>
        <v>1.4960899118586383E-12</v>
      </c>
      <c r="AM148" s="62">
        <f t="shared" si="113"/>
        <v>293.33333333333479</v>
      </c>
      <c r="AN148" s="62">
        <f ca="1">AVERAGE(OFFSET($AM$3,0,0,'Données projet'!$E$10+1,1))-AVERAGE(OFFSET($H$3,0,0,'Données projet'!$E$10+1,1))</f>
        <v>321.62968871874483</v>
      </c>
      <c r="AO148" s="62">
        <f t="shared" si="144"/>
        <v>389.91636841473559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0.37472468767544193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1.7925066616913432E-16</v>
      </c>
      <c r="AX148" s="23">
        <f t="shared" si="114"/>
        <v>0.37472468767544209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317.99999999999972</v>
      </c>
      <c r="BE148" s="14">
        <f>BD148*VLOOKUP('Données projet'!$B$11,Paramètres!$A$1:$I$89,3,0)*VLOOKUP('Données projet'!$B$11,Paramètres!$A$1:$I$89,5,0)</f>
        <v>233.1575999999998</v>
      </c>
      <c r="BF148" s="14">
        <f t="shared" si="145"/>
        <v>56.964885721091697</v>
      </c>
      <c r="BG148" s="22">
        <f t="shared" si="115"/>
        <v>505.29666263090093</v>
      </c>
      <c r="BH148" s="62">
        <f t="shared" si="116"/>
        <v>798.62999596423424</v>
      </c>
      <c r="BI148" s="62">
        <f ca="1">AVERAGE(OFFSET($BH$3,0,0,'Données projet'!$E$11+1,1))-AVERAGE(OFFSET($H$3,0,0,'Données projet'!$E$11+1,1))</f>
        <v>327.81662150328646</v>
      </c>
      <c r="BJ148" s="62">
        <f t="shared" si="146"/>
        <v>320.24200483294322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6.9901115528224697E-17</v>
      </c>
      <c r="BS148" s="24">
        <f t="shared" si="117"/>
        <v>6.9901115528224697E-17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1.5518253349000589E-14</v>
      </c>
      <c r="CA148" s="14">
        <f t="shared" si="147"/>
        <v>2.8958815659671149E-13</v>
      </c>
      <c r="CB148" s="22">
        <f t="shared" si="118"/>
        <v>5.3139366398878183E-13</v>
      </c>
      <c r="CC148" s="62">
        <f t="shared" si="119"/>
        <v>293.33333333333383</v>
      </c>
      <c r="CD148" s="62">
        <f ca="1">AVERAGE(OFFSET($CC$3,0,0,'Données projet'!$E$12+1,1))-AVERAGE(OFFSET($H$3,0,0,'Données projet'!$E$12+1,1))</f>
        <v>170.27677128684815</v>
      </c>
      <c r="CE148" s="62">
        <f t="shared" si="148"/>
        <v>243.47439640666289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0.44185860118063502</v>
      </c>
      <c r="CL148" s="23">
        <f>EXP(-LN(2)/25)*CL147+(1-EXP(-LN(2)/25))/(LN(2)/25)*Calculateur!CG148*Calculateur!CI148*VLOOKUP('Données projet'!$B$12,Paramètres!$A$1:$I$89,3,0)*0.475*44/12</f>
        <v>0.74631785972790421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1.1881764609085392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0</v>
      </c>
      <c r="CZ148" s="62">
        <f t="shared" si="150"/>
        <v>0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-2.5420376914553347E-13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388.88381485322674</v>
      </c>
      <c r="T149" s="62">
        <f t="shared" si="142"/>
        <v>355.82695155276218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2.2319341380094198</v>
      </c>
      <c r="AA149" s="23">
        <f>EXP(-LN(2)/25)*AA148+(1-EXP(-LN(2)/25))/(LN(2)/25)*Calculateur!V149*Calculateur!X149*VLOOKUP('Données projet'!$B$9,Paramètres!$A$1:$I$89,3,0)*0.475*44/12</f>
        <v>0.56201107815061713</v>
      </c>
      <c r="AB149" s="23">
        <f>EXP(-LN(2)/2)*AB148+(1-EXP(-LN(2)/2))/(LN(2)/2)*V149*Y149*VLOOKUP('Données projet'!$B$9,Paramètres!$A$1:$I$89,3,0)*0.475*44/12</f>
        <v>1.682432457907333E-17</v>
      </c>
      <c r="AC149" s="24">
        <f t="shared" si="111"/>
        <v>2.7939452161600369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4.9658410716801891E-14</v>
      </c>
      <c r="AK149" s="14">
        <f t="shared" si="143"/>
        <v>8.0934058173791862E-13</v>
      </c>
      <c r="AL149" s="22">
        <f t="shared" si="112"/>
        <v>1.4960899118586383E-12</v>
      </c>
      <c r="AM149" s="62">
        <f t="shared" si="113"/>
        <v>293.33333333333479</v>
      </c>
      <c r="AN149" s="62">
        <f ca="1">AVERAGE(OFFSET($AM$3,0,0,'Données projet'!$E$10+1,1))-AVERAGE(OFFSET($H$3,0,0,'Données projet'!$E$10+1,1))</f>
        <v>321.62968871874483</v>
      </c>
      <c r="AO149" s="62">
        <f t="shared" si="144"/>
        <v>389.91636841473559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0.36737656510961764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1.2674936158040094E-16</v>
      </c>
      <c r="AX149" s="23">
        <f t="shared" si="114"/>
        <v>0.36737656510961775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317.99999999999972</v>
      </c>
      <c r="BE149" s="14">
        <f>BD149*VLOOKUP('Données projet'!$B$11,Paramètres!$A$1:$I$89,3,0)*VLOOKUP('Données projet'!$B$11,Paramètres!$A$1:$I$89,5,0)</f>
        <v>233.1575999999998</v>
      </c>
      <c r="BF149" s="14">
        <f t="shared" si="145"/>
        <v>56.964885721091697</v>
      </c>
      <c r="BG149" s="22">
        <f t="shared" si="115"/>
        <v>505.29666263090093</v>
      </c>
      <c r="BH149" s="62">
        <f t="shared" si="116"/>
        <v>798.62999596423424</v>
      </c>
      <c r="BI149" s="62">
        <f ca="1">AVERAGE(OFFSET($BH$3,0,0,'Données projet'!$E$11+1,1))-AVERAGE(OFFSET($H$3,0,0,'Données projet'!$E$11+1,1))</f>
        <v>327.81662150328646</v>
      </c>
      <c r="BJ149" s="62">
        <f t="shared" si="146"/>
        <v>320.24200483294322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4.9427552802511961E-17</v>
      </c>
      <c r="BS149" s="24">
        <f t="shared" si="117"/>
        <v>4.9427552802511961E-17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1.5518253349000589E-14</v>
      </c>
      <c r="CA149" s="14">
        <f t="shared" si="147"/>
        <v>2.8958815659671149E-13</v>
      </c>
      <c r="CB149" s="22">
        <f t="shared" si="118"/>
        <v>5.3139366398878183E-13</v>
      </c>
      <c r="CC149" s="62">
        <f t="shared" si="119"/>
        <v>293.33333333333383</v>
      </c>
      <c r="CD149" s="62">
        <f ca="1">AVERAGE(OFFSET($CC$3,0,0,'Données projet'!$E$12+1,1))-AVERAGE(OFFSET($H$3,0,0,'Données projet'!$E$12+1,1))</f>
        <v>170.27677128684815</v>
      </c>
      <c r="CE149" s="62">
        <f t="shared" si="148"/>
        <v>243.47439640666289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0.43319402351861785</v>
      </c>
      <c r="CL149" s="23">
        <f>EXP(-LN(2)/25)*CL148+(1-EXP(-LN(2)/25))/(LN(2)/25)*Calculateur!CG149*Calculateur!CI149*VLOOKUP('Données projet'!$B$12,Paramètres!$A$1:$I$89,3,0)*0.475*44/12</f>
        <v>0.7259097586064942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1.159103782125112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0</v>
      </c>
      <c r="CZ149" s="62">
        <f t="shared" si="150"/>
        <v>0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-2.5420376914553347E-13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388.88381485322674</v>
      </c>
      <c r="T150" s="62">
        <f t="shared" si="142"/>
        <v>355.82695155276218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2.1881672709084574</v>
      </c>
      <c r="AA150" s="23">
        <f>EXP(-LN(2)/25)*AA149+(1-EXP(-LN(2)/25))/(LN(2)/25)*Calculateur!V150*Calculateur!X150*VLOOKUP('Données projet'!$B$9,Paramètres!$A$1:$I$89,3,0)*0.475*44/12</f>
        <v>0.5466428556637104</v>
      </c>
      <c r="AB150" s="23">
        <f>EXP(-LN(2)/2)*AB149+(1-EXP(-LN(2)/2))/(LN(2)/2)*V150*Y150*VLOOKUP('Données projet'!$B$9,Paramètres!$A$1:$I$89,3,0)*0.475*44/12</f>
        <v>1.1896593998746258E-17</v>
      </c>
      <c r="AC150" s="24">
        <f t="shared" si="111"/>
        <v>2.7348101265721678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4.9658410716801891E-14</v>
      </c>
      <c r="AK150" s="14">
        <f t="shared" si="143"/>
        <v>8.0934058173791862E-13</v>
      </c>
      <c r="AL150" s="22">
        <f t="shared" si="112"/>
        <v>1.4960899118586383E-12</v>
      </c>
      <c r="AM150" s="62">
        <f t="shared" si="113"/>
        <v>293.33333333333479</v>
      </c>
      <c r="AN150" s="62">
        <f ca="1">AVERAGE(OFFSET($AM$3,0,0,'Données projet'!$E$10+1,1))-AVERAGE(OFFSET($H$3,0,0,'Données projet'!$E$10+1,1))</f>
        <v>321.62968871874483</v>
      </c>
      <c r="AO150" s="62">
        <f t="shared" si="144"/>
        <v>389.91636841473559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0.36017253474539696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8.962533308456716E-17</v>
      </c>
      <c r="AX150" s="23">
        <f t="shared" si="114"/>
        <v>0.36017253474539707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317.99999999999972</v>
      </c>
      <c r="BE150" s="14">
        <f>BD150*VLOOKUP('Données projet'!$B$11,Paramètres!$A$1:$I$89,3,0)*VLOOKUP('Données projet'!$B$11,Paramètres!$A$1:$I$89,5,0)</f>
        <v>233.1575999999998</v>
      </c>
      <c r="BF150" s="14">
        <f t="shared" si="145"/>
        <v>56.964885721091697</v>
      </c>
      <c r="BG150" s="22">
        <f t="shared" si="115"/>
        <v>505.29666263090093</v>
      </c>
      <c r="BH150" s="62">
        <f t="shared" si="116"/>
        <v>798.62999596423424</v>
      </c>
      <c r="BI150" s="62">
        <f ca="1">AVERAGE(OFFSET($BH$3,0,0,'Données projet'!$E$11+1,1))-AVERAGE(OFFSET($H$3,0,0,'Données projet'!$E$11+1,1))</f>
        <v>327.81662150328646</v>
      </c>
      <c r="BJ150" s="62">
        <f t="shared" si="146"/>
        <v>320.24200483294322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3.4950557764112348E-17</v>
      </c>
      <c r="BS150" s="24">
        <f t="shared" si="117"/>
        <v>3.4950557764112348E-17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1.5518253349000589E-14</v>
      </c>
      <c r="CA150" s="14">
        <f t="shared" si="147"/>
        <v>2.8958815659671149E-13</v>
      </c>
      <c r="CB150" s="22">
        <f t="shared" si="118"/>
        <v>5.3139366398878183E-13</v>
      </c>
      <c r="CC150" s="62">
        <f t="shared" si="119"/>
        <v>293.33333333333383</v>
      </c>
      <c r="CD150" s="62">
        <f ca="1">AVERAGE(OFFSET($CC$3,0,0,'Données projet'!$E$12+1,1))-AVERAGE(OFFSET($H$3,0,0,'Données projet'!$E$12+1,1))</f>
        <v>170.27677128684815</v>
      </c>
      <c r="CE150" s="62">
        <f t="shared" si="148"/>
        <v>243.47439640666289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0.42469935293968231</v>
      </c>
      <c r="CL150" s="23">
        <f>EXP(-LN(2)/25)*CL149+(1-EXP(-LN(2)/25))/(LN(2)/25)*Calculateur!CG150*Calculateur!CI150*VLOOKUP('Données projet'!$B$12,Paramètres!$A$1:$I$89,3,0)*0.475*44/12</f>
        <v>0.70605971808346446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1.1307590710231468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0</v>
      </c>
      <c r="CZ150" s="62">
        <f t="shared" si="150"/>
        <v>0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-2.5420376914553347E-13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388.88381485322674</v>
      </c>
      <c r="T151" s="62">
        <f t="shared" si="142"/>
        <v>355.82695155276218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2.1452586453761922</v>
      </c>
      <c r="AA151" s="23">
        <f>EXP(-LN(2)/25)*AA150+(1-EXP(-LN(2)/25))/(LN(2)/25)*Calculateur!V151*Calculateur!X151*VLOOKUP('Données projet'!$B$9,Paramètres!$A$1:$I$89,3,0)*0.475*44/12</f>
        <v>0.53169487802888782</v>
      </c>
      <c r="AB151" s="23">
        <f>EXP(-LN(2)/2)*AB150+(1-EXP(-LN(2)/2))/(LN(2)/2)*V151*Y151*VLOOKUP('Données projet'!$B$9,Paramètres!$A$1:$I$89,3,0)*0.475*44/12</f>
        <v>8.4121622895366649E-18</v>
      </c>
      <c r="AC151" s="24">
        <f t="shared" si="111"/>
        <v>2.6769535234050799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4.9658410716801891E-14</v>
      </c>
      <c r="AK151" s="14">
        <f t="shared" si="143"/>
        <v>8.0934058173791862E-13</v>
      </c>
      <c r="AL151" s="22">
        <f t="shared" si="112"/>
        <v>1.4960899118586383E-12</v>
      </c>
      <c r="AM151" s="62">
        <f t="shared" si="113"/>
        <v>293.33333333333479</v>
      </c>
      <c r="AN151" s="62">
        <f ca="1">AVERAGE(OFFSET($AM$3,0,0,'Données projet'!$E$10+1,1))-AVERAGE(OFFSET($H$3,0,0,'Données projet'!$E$10+1,1))</f>
        <v>321.62968871874483</v>
      </c>
      <c r="AO151" s="62">
        <f t="shared" si="144"/>
        <v>389.91636841473559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0.35310977102259394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6.3374680790200468E-17</v>
      </c>
      <c r="AX151" s="23">
        <f t="shared" si="114"/>
        <v>0.353109771022594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317.99999999999972</v>
      </c>
      <c r="BE151" s="14">
        <f>BD151*VLOOKUP('Données projet'!$B$11,Paramètres!$A$1:$I$89,3,0)*VLOOKUP('Données projet'!$B$11,Paramètres!$A$1:$I$89,5,0)</f>
        <v>233.1575999999998</v>
      </c>
      <c r="BF151" s="14">
        <f t="shared" si="145"/>
        <v>56.964885721091697</v>
      </c>
      <c r="BG151" s="22">
        <f t="shared" si="115"/>
        <v>505.29666263090093</v>
      </c>
      <c r="BH151" s="62">
        <f t="shared" si="116"/>
        <v>798.62999596423424</v>
      </c>
      <c r="BI151" s="62">
        <f ca="1">AVERAGE(OFFSET($BH$3,0,0,'Données projet'!$E$11+1,1))-AVERAGE(OFFSET($H$3,0,0,'Données projet'!$E$11+1,1))</f>
        <v>327.81662150328646</v>
      </c>
      <c r="BJ151" s="62">
        <f t="shared" si="146"/>
        <v>320.24200483294322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2.471377640125598E-17</v>
      </c>
      <c r="BS151" s="24">
        <f t="shared" si="117"/>
        <v>2.471377640125598E-17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1.5518253349000589E-14</v>
      </c>
      <c r="CA151" s="14">
        <f t="shared" si="147"/>
        <v>2.8958815659671149E-13</v>
      </c>
      <c r="CB151" s="22">
        <f t="shared" si="118"/>
        <v>5.3139366398878183E-13</v>
      </c>
      <c r="CC151" s="62">
        <f t="shared" si="119"/>
        <v>293.33333333333383</v>
      </c>
      <c r="CD151" s="62">
        <f ca="1">AVERAGE(OFFSET($CC$3,0,0,'Données projet'!$E$12+1,1))-AVERAGE(OFFSET($H$3,0,0,'Données projet'!$E$12+1,1))</f>
        <v>170.27677128684815</v>
      </c>
      <c r="CE151" s="62">
        <f t="shared" si="148"/>
        <v>243.47439640666289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0.41637125766956223</v>
      </c>
      <c r="CL151" s="23">
        <f>EXP(-LN(2)/25)*CL150+(1-EXP(-LN(2)/25))/(LN(2)/25)*Calculateur!CG151*Calculateur!CI151*VLOOKUP('Données projet'!$B$12,Paramètres!$A$1:$I$89,3,0)*0.475*44/12</f>
        <v>0.68675247796240524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1.1031237356319674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0</v>
      </c>
      <c r="CZ151" s="62">
        <f t="shared" si="150"/>
        <v>0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-2.5420376914553347E-13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388.88381485322674</v>
      </c>
      <c r="T152" s="62">
        <f t="shared" si="142"/>
        <v>355.82695155276218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2.1031914318189373</v>
      </c>
      <c r="AA152" s="23">
        <f>EXP(-LN(2)/25)*AA151+(1-EXP(-LN(2)/25))/(LN(2)/25)*Calculateur!V152*Calculateur!X152*VLOOKUP('Données projet'!$B$9,Paramètres!$A$1:$I$89,3,0)*0.475*44/12</f>
        <v>0.51715565362856941</v>
      </c>
      <c r="AB152" s="23">
        <f>EXP(-LN(2)/2)*AB151+(1-EXP(-LN(2)/2))/(LN(2)/2)*V152*Y152*VLOOKUP('Données projet'!$B$9,Paramètres!$A$1:$I$89,3,0)*0.475*44/12</f>
        <v>5.9482969993731291E-18</v>
      </c>
      <c r="AC152" s="24">
        <f t="shared" si="111"/>
        <v>2.6203470854475066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4.9658410716801891E-14</v>
      </c>
      <c r="AK152" s="14">
        <f t="shared" si="143"/>
        <v>8.0934058173791862E-13</v>
      </c>
      <c r="AL152" s="22">
        <f t="shared" si="112"/>
        <v>1.4960899118586383E-12</v>
      </c>
      <c r="AM152" s="62">
        <f t="shared" si="113"/>
        <v>293.33333333333479</v>
      </c>
      <c r="AN152" s="62">
        <f ca="1">AVERAGE(OFFSET($AM$3,0,0,'Données projet'!$E$10+1,1))-AVERAGE(OFFSET($H$3,0,0,'Données projet'!$E$10+1,1))</f>
        <v>321.62968871874483</v>
      </c>
      <c r="AO152" s="62">
        <f t="shared" si="144"/>
        <v>389.91636841473559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0.34618550378853463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4.481266654228358E-17</v>
      </c>
      <c r="AX152" s="23">
        <f t="shared" si="114"/>
        <v>0.34618550378853469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317.99999999999972</v>
      </c>
      <c r="BE152" s="14">
        <f>BD152*VLOOKUP('Données projet'!$B$11,Paramètres!$A$1:$I$89,3,0)*VLOOKUP('Données projet'!$B$11,Paramètres!$A$1:$I$89,5,0)</f>
        <v>233.1575999999998</v>
      </c>
      <c r="BF152" s="14">
        <f t="shared" si="145"/>
        <v>56.964885721091697</v>
      </c>
      <c r="BG152" s="22">
        <f t="shared" si="115"/>
        <v>505.29666263090093</v>
      </c>
      <c r="BH152" s="62">
        <f t="shared" si="116"/>
        <v>798.62999596423424</v>
      </c>
      <c r="BI152" s="62">
        <f ca="1">AVERAGE(OFFSET($BH$3,0,0,'Données projet'!$E$11+1,1))-AVERAGE(OFFSET($H$3,0,0,'Données projet'!$E$11+1,1))</f>
        <v>327.81662150328646</v>
      </c>
      <c r="BJ152" s="62">
        <f t="shared" si="146"/>
        <v>320.24200483294322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1.7475278882056174E-17</v>
      </c>
      <c r="BS152" s="24">
        <f t="shared" si="117"/>
        <v>1.7475278882056174E-17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1.5518253349000589E-14</v>
      </c>
      <c r="CA152" s="14">
        <f t="shared" si="147"/>
        <v>2.8958815659671149E-13</v>
      </c>
      <c r="CB152" s="22">
        <f t="shared" si="118"/>
        <v>5.3139366398878183E-13</v>
      </c>
      <c r="CC152" s="62">
        <f t="shared" si="119"/>
        <v>293.33333333333383</v>
      </c>
      <c r="CD152" s="62">
        <f ca="1">AVERAGE(OFFSET($CC$3,0,0,'Données projet'!$E$12+1,1))-AVERAGE(OFFSET($H$3,0,0,'Données projet'!$E$12+1,1))</f>
        <v>170.27677128684815</v>
      </c>
      <c r="CE152" s="62">
        <f t="shared" si="148"/>
        <v>243.47439640666289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0.40820647126805271</v>
      </c>
      <c r="CL152" s="23">
        <f>EXP(-LN(2)/25)*CL151+(1-EXP(-LN(2)/25))/(LN(2)/25)*Calculateur!CG152*Calculateur!CI152*VLOOKUP('Données projet'!$B$12,Paramètres!$A$1:$I$89,3,0)*0.475*44/12</f>
        <v>0.66797319533777999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1.0761796666058328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0</v>
      </c>
      <c r="CZ152" s="62">
        <f t="shared" si="150"/>
        <v>0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-2.5420376914553347E-13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388.88381485322674</v>
      </c>
      <c r="T153" s="62">
        <f t="shared" si="142"/>
        <v>355.82695155276218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2.0619491306610733</v>
      </c>
      <c r="AA153" s="23">
        <f>EXP(-LN(2)/25)*AA152+(1-EXP(-LN(2)/25))/(LN(2)/25)*Calculateur!V153*Calculateur!X153*VLOOKUP('Données projet'!$B$9,Paramètres!$A$1:$I$89,3,0)*0.475*44/12</f>
        <v>0.50301400508406235</v>
      </c>
      <c r="AB153" s="23">
        <f>EXP(-LN(2)/2)*AB152+(1-EXP(-LN(2)/2))/(LN(2)/2)*V153*Y153*VLOOKUP('Données projet'!$B$9,Paramètres!$A$1:$I$89,3,0)*0.475*44/12</f>
        <v>4.2060811447683324E-18</v>
      </c>
      <c r="AC153" s="24">
        <f t="shared" si="111"/>
        <v>2.5649631357451357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4.9658410716801891E-14</v>
      </c>
      <c r="AK153" s="14">
        <f t="shared" si="143"/>
        <v>8.0934058173791862E-13</v>
      </c>
      <c r="AL153" s="22">
        <f t="shared" si="112"/>
        <v>1.4960899118586383E-12</v>
      </c>
      <c r="AM153" s="62">
        <f t="shared" si="113"/>
        <v>293.33333333333479</v>
      </c>
      <c r="AN153" s="62">
        <f ca="1">AVERAGE(OFFSET($AM$3,0,0,'Données projet'!$E$10+1,1))-AVERAGE(OFFSET($H$3,0,0,'Données projet'!$E$10+1,1))</f>
        <v>321.62968871874483</v>
      </c>
      <c r="AO153" s="62">
        <f t="shared" si="144"/>
        <v>389.91636841473559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0.33939701721154925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3.1687340395100234E-17</v>
      </c>
      <c r="AX153" s="23">
        <f t="shared" si="114"/>
        <v>0.3393970172115493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317.99999999999972</v>
      </c>
      <c r="BE153" s="14">
        <f>BD153*VLOOKUP('Données projet'!$B$11,Paramètres!$A$1:$I$89,3,0)*VLOOKUP('Données projet'!$B$11,Paramètres!$A$1:$I$89,5,0)</f>
        <v>233.1575999999998</v>
      </c>
      <c r="BF153" s="14">
        <f t="shared" si="145"/>
        <v>56.964885721091697</v>
      </c>
      <c r="BG153" s="22">
        <f t="shared" si="115"/>
        <v>505.29666263090093</v>
      </c>
      <c r="BH153" s="62">
        <f t="shared" si="116"/>
        <v>798.62999596423424</v>
      </c>
      <c r="BI153" s="62">
        <f ca="1">AVERAGE(OFFSET($BH$3,0,0,'Données projet'!$E$11+1,1))-AVERAGE(OFFSET($H$3,0,0,'Données projet'!$E$11+1,1))</f>
        <v>327.81662150328646</v>
      </c>
      <c r="BJ153" s="62">
        <f t="shared" si="146"/>
        <v>320.24200483294322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1.235688820062799E-17</v>
      </c>
      <c r="BS153" s="24">
        <f t="shared" si="117"/>
        <v>1.235688820062799E-17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1.5518253349000589E-14</v>
      </c>
      <c r="CA153" s="14">
        <f t="shared" si="147"/>
        <v>2.8958815659671149E-13</v>
      </c>
      <c r="CB153" s="22">
        <f t="shared" si="118"/>
        <v>5.3139366398878183E-13</v>
      </c>
      <c r="CC153" s="62">
        <f t="shared" si="119"/>
        <v>293.33333333333383</v>
      </c>
      <c r="CD153" s="62">
        <f ca="1">AVERAGE(OFFSET($CC$3,0,0,'Données projet'!$E$12+1,1))-AVERAGE(OFFSET($H$3,0,0,'Données projet'!$E$12+1,1))</f>
        <v>170.27677128684815</v>
      </c>
      <c r="CE153" s="62">
        <f t="shared" si="148"/>
        <v>243.47439640666289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0.40020179134784878</v>
      </c>
      <c r="CL153" s="23">
        <f>EXP(-LN(2)/25)*CL152+(1-EXP(-LN(2)/25))/(LN(2)/25)*Calculateur!CG153*Calculateur!CI153*VLOOKUP('Données projet'!$B$12,Paramètres!$A$1:$I$89,3,0)*0.475*44/12</f>
        <v>0.64970743318408475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1.0499092245319335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0</v>
      </c>
      <c r="CZ153" s="62">
        <f t="shared" si="150"/>
        <v>0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-2.5420376914553347E-13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388.88381485322674</v>
      </c>
      <c r="T154" s="62">
        <f t="shared" si="142"/>
        <v>355.82695155276218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2.0215155658735955</v>
      </c>
      <c r="AA154" s="23">
        <f>EXP(-LN(2)/25)*AA153+(1-EXP(-LN(2)/25))/(LN(2)/25)*Calculateur!V154*Calculateur!X154*VLOOKUP('Données projet'!$B$9,Paramètres!$A$1:$I$89,3,0)*0.475*44/12</f>
        <v>0.48925906066268182</v>
      </c>
      <c r="AB154" s="23">
        <f>EXP(-LN(2)/2)*AB153+(1-EXP(-LN(2)/2))/(LN(2)/2)*V154*Y154*VLOOKUP('Données projet'!$B$9,Paramètres!$A$1:$I$89,3,0)*0.475*44/12</f>
        <v>2.9741484996865646E-18</v>
      </c>
      <c r="AC154" s="24">
        <f t="shared" ref="AC154:AC203" si="163">SUM(Z154:AB154)</f>
        <v>2.5107746265362771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4.9658410716801891E-14</v>
      </c>
      <c r="AK154" s="14">
        <f t="shared" ref="AK154:AK203" si="164">EXP(-1.0587+0.8836*LN(AJ154)+0.284)</f>
        <v>8.0934058173791862E-13</v>
      </c>
      <c r="AL154" s="22">
        <f t="shared" ref="AL154:AL203" si="165">(AJ154+AK154)*0.475*44/12</f>
        <v>1.4960899118586383E-12</v>
      </c>
      <c r="AM154" s="62">
        <f t="shared" si="113"/>
        <v>293.33333333333479</v>
      </c>
      <c r="AN154" s="62">
        <f ca="1">AVERAGE(OFFSET($AM$3,0,0,'Données projet'!$E$10+1,1))-AVERAGE(OFFSET($H$3,0,0,'Données projet'!$E$10+1,1))</f>
        <v>321.62968871874483</v>
      </c>
      <c r="AO154" s="62">
        <f t="shared" si="144"/>
        <v>389.91636841473559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0.33274164871577055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2.240633327114179E-17</v>
      </c>
      <c r="AX154" s="23">
        <f t="shared" ref="AX154:AX203" si="166">SUM(AU154:AW154)</f>
        <v>0.33274164871577055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317.99999999999972</v>
      </c>
      <c r="BE154" s="14">
        <f>BD154*VLOOKUP('Données projet'!$B$11,Paramètres!$A$1:$I$89,3,0)*VLOOKUP('Données projet'!$B$11,Paramètres!$A$1:$I$89,5,0)</f>
        <v>233.1575999999998</v>
      </c>
      <c r="BF154" s="14">
        <f t="shared" ref="BF154:BF203" si="167">EXP(-1.0587+0.8836*LN(BE154)+0.284)</f>
        <v>56.964885721091697</v>
      </c>
      <c r="BG154" s="22">
        <f t="shared" ref="BG154:BG203" si="168">(BE154+BF154)*0.475*44/12</f>
        <v>505.29666263090093</v>
      </c>
      <c r="BH154" s="62">
        <f t="shared" si="116"/>
        <v>798.62999596423424</v>
      </c>
      <c r="BI154" s="62">
        <f ca="1">AVERAGE(OFFSET($BH$3,0,0,'Données projet'!$E$11+1,1))-AVERAGE(OFFSET($H$3,0,0,'Données projet'!$E$11+1,1))</f>
        <v>327.81662150328646</v>
      </c>
      <c r="BJ154" s="62">
        <f t="shared" si="146"/>
        <v>320.24200483294322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8.7376394410280871E-18</v>
      </c>
      <c r="BS154" s="24">
        <f t="shared" ref="BS154:BS203" si="169">SUM(BP154:BR154)</f>
        <v>8.7376394410280871E-18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1.5518253349000589E-14</v>
      </c>
      <c r="CA154" s="14">
        <f t="shared" ref="CA154:CA203" si="170">EXP(-1.0587+0.8836*LN(BZ154)+0.284)</f>
        <v>2.8958815659671149E-13</v>
      </c>
      <c r="CB154" s="22">
        <f t="shared" ref="CB154:CB203" si="171">(BZ154+CA154)*0.475*44/12</f>
        <v>5.3139366398878183E-13</v>
      </c>
      <c r="CC154" s="62">
        <f t="shared" si="119"/>
        <v>293.33333333333383</v>
      </c>
      <c r="CD154" s="62">
        <f ca="1">AVERAGE(OFFSET($CC$3,0,0,'Données projet'!$E$12+1,1))-AVERAGE(OFFSET($H$3,0,0,'Données projet'!$E$12+1,1))</f>
        <v>170.27677128684815</v>
      </c>
      <c r="CE154" s="62">
        <f t="shared" si="148"/>
        <v>243.47439640666289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0.39235407831850744</v>
      </c>
      <c r="CL154" s="23">
        <f>EXP(-LN(2)/25)*CL153+(1-EXP(-LN(2)/25))/(LN(2)/25)*Calculateur!CG154*Calculateur!CI154*VLOOKUP('Données projet'!$B$12,Paramètres!$A$1:$I$89,3,0)*0.475*44/12</f>
        <v>0.63194114925703693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1.0242952275755444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0</v>
      </c>
      <c r="CZ154" s="62">
        <f t="shared" si="150"/>
        <v>0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-2.5420376914553347E-13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388.88381485322674</v>
      </c>
      <c r="T155" s="62">
        <f t="shared" si="142"/>
        <v>355.82695155276218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1.9818748786295606</v>
      </c>
      <c r="AA155" s="23">
        <f>EXP(-LN(2)/25)*AA154+(1-EXP(-LN(2)/25))/(LN(2)/25)*Calculateur!V155*Calculateur!X155*VLOOKUP('Données projet'!$B$9,Paramètres!$A$1:$I$89,3,0)*0.475*44/12</f>
        <v>0.47588024591984501</v>
      </c>
      <c r="AB155" s="23">
        <f>EXP(-LN(2)/2)*AB154+(1-EXP(-LN(2)/2))/(LN(2)/2)*V155*Y155*VLOOKUP('Données projet'!$B$9,Paramètres!$A$1:$I$89,3,0)*0.475*44/12</f>
        <v>2.1030405723841662E-18</v>
      </c>
      <c r="AC155" s="24">
        <f t="shared" si="163"/>
        <v>2.4577551245494056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4.9658410716801891E-14</v>
      </c>
      <c r="AK155" s="14">
        <f t="shared" si="164"/>
        <v>8.0934058173791862E-13</v>
      </c>
      <c r="AL155" s="22">
        <f t="shared" si="165"/>
        <v>1.4960899118586383E-12</v>
      </c>
      <c r="AM155" s="62">
        <f t="shared" si="113"/>
        <v>293.33333333333479</v>
      </c>
      <c r="AN155" s="62">
        <f ca="1">AVERAGE(OFFSET($AM$3,0,0,'Données projet'!$E$10+1,1))-AVERAGE(OFFSET($H$3,0,0,'Données projet'!$E$10+1,1))</f>
        <v>321.62968871874483</v>
      </c>
      <c r="AO155" s="62">
        <f t="shared" si="144"/>
        <v>389.91636841473559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0.32621678793682013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1.5843670197550117E-17</v>
      </c>
      <c r="AX155" s="23">
        <f t="shared" si="166"/>
        <v>0.32621678793682013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317.99999999999972</v>
      </c>
      <c r="BE155" s="14">
        <f>BD155*VLOOKUP('Données projet'!$B$11,Paramètres!$A$1:$I$89,3,0)*VLOOKUP('Données projet'!$B$11,Paramètres!$A$1:$I$89,5,0)</f>
        <v>233.1575999999998</v>
      </c>
      <c r="BF155" s="14">
        <f t="shared" si="167"/>
        <v>56.964885721091697</v>
      </c>
      <c r="BG155" s="22">
        <f t="shared" si="168"/>
        <v>505.29666263090093</v>
      </c>
      <c r="BH155" s="62">
        <f t="shared" si="116"/>
        <v>798.62999596423424</v>
      </c>
      <c r="BI155" s="62">
        <f ca="1">AVERAGE(OFFSET($BH$3,0,0,'Données projet'!$E$11+1,1))-AVERAGE(OFFSET($H$3,0,0,'Données projet'!$E$11+1,1))</f>
        <v>327.81662150328646</v>
      </c>
      <c r="BJ155" s="62">
        <f t="shared" si="146"/>
        <v>320.24200483294322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6.1784441003139951E-18</v>
      </c>
      <c r="BS155" s="24">
        <f t="shared" si="169"/>
        <v>6.1784441003139951E-18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1.5518253349000589E-14</v>
      </c>
      <c r="CA155" s="14">
        <f t="shared" si="170"/>
        <v>2.8958815659671149E-13</v>
      </c>
      <c r="CB155" s="22">
        <f t="shared" si="171"/>
        <v>5.3139366398878183E-13</v>
      </c>
      <c r="CC155" s="62">
        <f t="shared" si="119"/>
        <v>293.33333333333383</v>
      </c>
      <c r="CD155" s="62">
        <f ca="1">AVERAGE(OFFSET($CC$3,0,0,'Données projet'!$E$12+1,1))-AVERAGE(OFFSET($H$3,0,0,'Données projet'!$E$12+1,1))</f>
        <v>170.27677128684815</v>
      </c>
      <c r="CE155" s="62">
        <f t="shared" si="148"/>
        <v>243.47439640666289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0.38466025415503913</v>
      </c>
      <c r="CL155" s="23">
        <f>EXP(-LN(2)/25)*CL154+(1-EXP(-LN(2)/25))/(LN(2)/25)*Calculateur!CG155*Calculateur!CI155*VLOOKUP('Données projet'!$B$12,Paramètres!$A$1:$I$89,3,0)*0.475*44/12</f>
        <v>0.61466068529826257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0.99932093945330169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0</v>
      </c>
      <c r="CZ155" s="62">
        <f t="shared" si="150"/>
        <v>0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-2.5420376914553347E-13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388.88381485322674</v>
      </c>
      <c r="T156" s="62">
        <f t="shared" si="142"/>
        <v>355.82695155276218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1.9430115210839494</v>
      </c>
      <c r="AA156" s="23">
        <f>EXP(-LN(2)/25)*AA155+(1-EXP(-LN(2)/25))/(LN(2)/25)*Calculateur!V156*Calculateur!X156*VLOOKUP('Données projet'!$B$9,Paramètres!$A$1:$I$89,3,0)*0.475*44/12</f>
        <v>0.46286727556971236</v>
      </c>
      <c r="AB156" s="23">
        <f>EXP(-LN(2)/2)*AB155+(1-EXP(-LN(2)/2))/(LN(2)/2)*V156*Y156*VLOOKUP('Données projet'!$B$9,Paramètres!$A$1:$I$89,3,0)*0.475*44/12</f>
        <v>1.4870742498432823E-18</v>
      </c>
      <c r="AC156" s="24">
        <f t="shared" si="163"/>
        <v>2.4058787966536617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4.9658410716801891E-14</v>
      </c>
      <c r="AK156" s="14">
        <f t="shared" si="164"/>
        <v>8.0934058173791862E-13</v>
      </c>
      <c r="AL156" s="22">
        <f t="shared" si="165"/>
        <v>1.4960899118586383E-12</v>
      </c>
      <c r="AM156" s="62">
        <f t="shared" si="113"/>
        <v>293.33333333333479</v>
      </c>
      <c r="AN156" s="62">
        <f ca="1">AVERAGE(OFFSET($AM$3,0,0,'Données projet'!$E$10+1,1))-AVERAGE(OFFSET($H$3,0,0,'Données projet'!$E$10+1,1))</f>
        <v>321.62968871874483</v>
      </c>
      <c r="AO156" s="62">
        <f t="shared" si="144"/>
        <v>389.91636841473559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0.31981987569797282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1.1203166635570895E-17</v>
      </c>
      <c r="AX156" s="23">
        <f t="shared" si="166"/>
        <v>0.31981987569797282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317.99999999999972</v>
      </c>
      <c r="BE156" s="14">
        <f>BD156*VLOOKUP('Données projet'!$B$11,Paramètres!$A$1:$I$89,3,0)*VLOOKUP('Données projet'!$B$11,Paramètres!$A$1:$I$89,5,0)</f>
        <v>233.1575999999998</v>
      </c>
      <c r="BF156" s="14">
        <f t="shared" si="167"/>
        <v>56.964885721091697</v>
      </c>
      <c r="BG156" s="22">
        <f t="shared" si="168"/>
        <v>505.29666263090093</v>
      </c>
      <c r="BH156" s="62">
        <f t="shared" si="116"/>
        <v>798.62999596423424</v>
      </c>
      <c r="BI156" s="62">
        <f ca="1">AVERAGE(OFFSET($BH$3,0,0,'Données projet'!$E$11+1,1))-AVERAGE(OFFSET($H$3,0,0,'Données projet'!$E$11+1,1))</f>
        <v>327.81662150328646</v>
      </c>
      <c r="BJ156" s="62">
        <f t="shared" si="146"/>
        <v>320.24200483294322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4.3688197205140436E-18</v>
      </c>
      <c r="BS156" s="24">
        <f t="shared" si="169"/>
        <v>4.3688197205140436E-18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1.5518253349000589E-14</v>
      </c>
      <c r="CA156" s="14">
        <f t="shared" si="170"/>
        <v>2.8958815659671149E-13</v>
      </c>
      <c r="CB156" s="22">
        <f t="shared" si="171"/>
        <v>5.3139366398878183E-13</v>
      </c>
      <c r="CC156" s="62">
        <f t="shared" si="119"/>
        <v>293.33333333333383</v>
      </c>
      <c r="CD156" s="62">
        <f ca="1">AVERAGE(OFFSET($CC$3,0,0,'Données projet'!$E$12+1,1))-AVERAGE(OFFSET($H$3,0,0,'Données projet'!$E$12+1,1))</f>
        <v>170.27677128684815</v>
      </c>
      <c r="CE156" s="62">
        <f t="shared" si="148"/>
        <v>243.47439640666289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0.37711730119064707</v>
      </c>
      <c r="CL156" s="23">
        <f>EXP(-LN(2)/25)*CL155+(1-EXP(-LN(2)/25))/(LN(2)/25)*Calculateur!CG156*Calculateur!CI156*VLOOKUP('Données projet'!$B$12,Paramètres!$A$1:$I$89,3,0)*0.475*44/12</f>
        <v>0.597852756535181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0.97497005772582801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0</v>
      </c>
      <c r="CZ156" s="62">
        <f t="shared" si="150"/>
        <v>0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-2.5420376914553347E-13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388.88381485322674</v>
      </c>
      <c r="T157" s="62">
        <f t="shared" si="142"/>
        <v>355.82695155276218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1.9049102502755002</v>
      </c>
      <c r="AA157" s="23">
        <f>EXP(-LN(2)/25)*AA156+(1-EXP(-LN(2)/25))/(LN(2)/25)*Calculateur!V157*Calculateur!X157*VLOOKUP('Données projet'!$B$9,Paramètres!$A$1:$I$89,3,0)*0.475*44/12</f>
        <v>0.45021014557812644</v>
      </c>
      <c r="AB157" s="23">
        <f>EXP(-LN(2)/2)*AB156+(1-EXP(-LN(2)/2))/(LN(2)/2)*V157*Y157*VLOOKUP('Données projet'!$B$9,Paramètres!$A$1:$I$89,3,0)*0.475*44/12</f>
        <v>1.0515202861920831E-18</v>
      </c>
      <c r="AC157" s="24">
        <f t="shared" si="163"/>
        <v>2.3551203958536266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4.9658410716801891E-14</v>
      </c>
      <c r="AK157" s="14">
        <f t="shared" si="164"/>
        <v>8.0934058173791862E-13</v>
      </c>
      <c r="AL157" s="22">
        <f t="shared" si="165"/>
        <v>1.4960899118586383E-12</v>
      </c>
      <c r="AM157" s="62">
        <f t="shared" si="113"/>
        <v>293.33333333333479</v>
      </c>
      <c r="AN157" s="62">
        <f ca="1">AVERAGE(OFFSET($AM$3,0,0,'Données projet'!$E$10+1,1))-AVERAGE(OFFSET($H$3,0,0,'Données projet'!$E$10+1,1))</f>
        <v>321.62968871874483</v>
      </c>
      <c r="AO157" s="62">
        <f t="shared" si="144"/>
        <v>389.91636841473559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0.31354840300639808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7.9218350987750585E-18</v>
      </c>
      <c r="AX157" s="23">
        <f t="shared" si="166"/>
        <v>0.31354840300639808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317.99999999999972</v>
      </c>
      <c r="BE157" s="14">
        <f>BD157*VLOOKUP('Données projet'!$B$11,Paramètres!$A$1:$I$89,3,0)*VLOOKUP('Données projet'!$B$11,Paramètres!$A$1:$I$89,5,0)</f>
        <v>233.1575999999998</v>
      </c>
      <c r="BF157" s="14">
        <f t="shared" si="167"/>
        <v>56.964885721091697</v>
      </c>
      <c r="BG157" s="22">
        <f t="shared" si="168"/>
        <v>505.29666263090093</v>
      </c>
      <c r="BH157" s="62">
        <f t="shared" si="116"/>
        <v>798.62999596423424</v>
      </c>
      <c r="BI157" s="62">
        <f ca="1">AVERAGE(OFFSET($BH$3,0,0,'Données projet'!$E$11+1,1))-AVERAGE(OFFSET($H$3,0,0,'Données projet'!$E$11+1,1))</f>
        <v>327.81662150328646</v>
      </c>
      <c r="BJ157" s="62">
        <f t="shared" si="146"/>
        <v>320.24200483294322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3.0892220501569975E-18</v>
      </c>
      <c r="BS157" s="24">
        <f t="shared" si="169"/>
        <v>3.0892220501569975E-18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1.5518253349000589E-14</v>
      </c>
      <c r="CA157" s="14">
        <f t="shared" si="170"/>
        <v>2.8958815659671149E-13</v>
      </c>
      <c r="CB157" s="22">
        <f t="shared" si="171"/>
        <v>5.3139366398878183E-13</v>
      </c>
      <c r="CC157" s="62">
        <f t="shared" si="119"/>
        <v>293.33333333333383</v>
      </c>
      <c r="CD157" s="62">
        <f ca="1">AVERAGE(OFFSET($CC$3,0,0,'Données projet'!$E$12+1,1))-AVERAGE(OFFSET($H$3,0,0,'Données projet'!$E$12+1,1))</f>
        <v>170.27677128684815</v>
      </c>
      <c r="CE157" s="62">
        <f t="shared" si="148"/>
        <v>243.47439640666289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0.36972226093313976</v>
      </c>
      <c r="CL157" s="23">
        <f>EXP(-LN(2)/25)*CL156+(1-EXP(-LN(2)/25))/(LN(2)/25)*Calculateur!CG157*Calculateur!CI157*VLOOKUP('Données projet'!$B$12,Paramètres!$A$1:$I$89,3,0)*0.475*44/12</f>
        <v>0.58150444146801639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0.95122670240115614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0</v>
      </c>
      <c r="CZ157" s="62">
        <f t="shared" si="150"/>
        <v>0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-2.5420376914553347E-13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388.88381485322674</v>
      </c>
      <c r="T158" s="62">
        <f t="shared" si="142"/>
        <v>355.82695155276218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1.8675561221481241</v>
      </c>
      <c r="AA158" s="23">
        <f>EXP(-LN(2)/25)*AA157+(1-EXP(-LN(2)/25))/(LN(2)/25)*Calculateur!V158*Calculateur!X158*VLOOKUP('Données projet'!$B$9,Paramètres!$A$1:$I$89,3,0)*0.475*44/12</f>
        <v>0.43789912547177001</v>
      </c>
      <c r="AB158" s="23">
        <f>EXP(-LN(2)/2)*AB157+(1-EXP(-LN(2)/2))/(LN(2)/2)*V158*Y158*VLOOKUP('Données projet'!$B$9,Paramètres!$A$1:$I$89,3,0)*0.475*44/12</f>
        <v>7.4353712492164114E-19</v>
      </c>
      <c r="AC158" s="24">
        <f t="shared" si="163"/>
        <v>2.3054552476198942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4.9658410716801891E-14</v>
      </c>
      <c r="AK158" s="14">
        <f t="shared" si="164"/>
        <v>8.0934058173791862E-13</v>
      </c>
      <c r="AL158" s="22">
        <f t="shared" si="165"/>
        <v>1.4960899118586383E-12</v>
      </c>
      <c r="AM158" s="62">
        <f t="shared" si="113"/>
        <v>293.33333333333479</v>
      </c>
      <c r="AN158" s="62">
        <f ca="1">AVERAGE(OFFSET($AM$3,0,0,'Données projet'!$E$10+1,1))-AVERAGE(OFFSET($H$3,0,0,'Données projet'!$E$10+1,1))</f>
        <v>321.62968871874483</v>
      </c>
      <c r="AO158" s="62">
        <f t="shared" si="144"/>
        <v>389.91636841473559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0.30739991006908451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5.6015833177854475E-18</v>
      </c>
      <c r="AX158" s="23">
        <f t="shared" si="166"/>
        <v>0.30739991006908451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317.99999999999972</v>
      </c>
      <c r="BE158" s="14">
        <f>BD158*VLOOKUP('Données projet'!$B$11,Paramètres!$A$1:$I$89,3,0)*VLOOKUP('Données projet'!$B$11,Paramètres!$A$1:$I$89,5,0)</f>
        <v>233.1575999999998</v>
      </c>
      <c r="BF158" s="14">
        <f t="shared" si="167"/>
        <v>56.964885721091697</v>
      </c>
      <c r="BG158" s="22">
        <f t="shared" si="168"/>
        <v>505.29666263090093</v>
      </c>
      <c r="BH158" s="62">
        <f t="shared" si="116"/>
        <v>798.62999596423424</v>
      </c>
      <c r="BI158" s="62">
        <f ca="1">AVERAGE(OFFSET($BH$3,0,0,'Données projet'!$E$11+1,1))-AVERAGE(OFFSET($H$3,0,0,'Données projet'!$E$11+1,1))</f>
        <v>327.81662150328646</v>
      </c>
      <c r="BJ158" s="62">
        <f t="shared" si="146"/>
        <v>320.24200483294322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2.1844098602570218E-18</v>
      </c>
      <c r="BS158" s="24">
        <f t="shared" si="169"/>
        <v>2.1844098602570218E-18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1.5518253349000589E-14</v>
      </c>
      <c r="CA158" s="14">
        <f t="shared" si="170"/>
        <v>2.8958815659671149E-13</v>
      </c>
      <c r="CB158" s="22">
        <f t="shared" si="171"/>
        <v>5.3139366398878183E-13</v>
      </c>
      <c r="CC158" s="62">
        <f t="shared" si="119"/>
        <v>293.33333333333383</v>
      </c>
      <c r="CD158" s="62">
        <f ca="1">AVERAGE(OFFSET($CC$3,0,0,'Données projet'!$E$12+1,1))-AVERAGE(OFFSET($H$3,0,0,'Données projet'!$E$12+1,1))</f>
        <v>170.27677128684815</v>
      </c>
      <c r="CE158" s="62">
        <f t="shared" si="148"/>
        <v>243.47439640666289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0.36247223290455294</v>
      </c>
      <c r="CL158" s="23">
        <f>EXP(-LN(2)/25)*CL157+(1-EXP(-LN(2)/25))/(LN(2)/25)*Calculateur!CG158*Calculateur!CI158*VLOOKUP('Données projet'!$B$12,Paramètres!$A$1:$I$89,3,0)*0.475*44/12</f>
        <v>0.56560317193608389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0.92807540484063678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0</v>
      </c>
      <c r="CZ158" s="62">
        <f t="shared" si="150"/>
        <v>0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-2.5420376914553347E-13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388.88381485322674</v>
      </c>
      <c r="T159" s="62">
        <f t="shared" si="142"/>
        <v>355.82695155276218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1.8309344856895573</v>
      </c>
      <c r="AA159" s="23">
        <f>EXP(-LN(2)/25)*AA158+(1-EXP(-LN(2)/25))/(LN(2)/25)*Calculateur!V159*Calculateur!X159*VLOOKUP('Données projet'!$B$9,Paramètres!$A$1:$I$89,3,0)*0.475*44/12</f>
        <v>0.42592475085763026</v>
      </c>
      <c r="AB159" s="23">
        <f>EXP(-LN(2)/2)*AB158+(1-EXP(-LN(2)/2))/(LN(2)/2)*V159*Y159*VLOOKUP('Données projet'!$B$9,Paramètres!$A$1:$I$89,3,0)*0.475*44/12</f>
        <v>5.2576014309604155E-19</v>
      </c>
      <c r="AC159" s="24">
        <f t="shared" si="163"/>
        <v>2.2568592365471876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4.9658410716801891E-14</v>
      </c>
      <c r="AK159" s="14">
        <f t="shared" si="164"/>
        <v>8.0934058173791862E-13</v>
      </c>
      <c r="AL159" s="22">
        <f t="shared" si="165"/>
        <v>1.4960899118586383E-12</v>
      </c>
      <c r="AM159" s="62">
        <f t="shared" si="113"/>
        <v>293.33333333333479</v>
      </c>
      <c r="AN159" s="62">
        <f ca="1">AVERAGE(OFFSET($AM$3,0,0,'Données projet'!$E$10+1,1))-AVERAGE(OFFSET($H$3,0,0,'Données projet'!$E$10+1,1))</f>
        <v>321.62968871874483</v>
      </c>
      <c r="AO159" s="62">
        <f t="shared" si="144"/>
        <v>389.91636841473559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0.30137198532806125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3.9609175493875292E-18</v>
      </c>
      <c r="AX159" s="23">
        <f t="shared" si="166"/>
        <v>0.30137198532806125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317.99999999999972</v>
      </c>
      <c r="BE159" s="14">
        <f>BD159*VLOOKUP('Données projet'!$B$11,Paramètres!$A$1:$I$89,3,0)*VLOOKUP('Données projet'!$B$11,Paramètres!$A$1:$I$89,5,0)</f>
        <v>233.1575999999998</v>
      </c>
      <c r="BF159" s="14">
        <f t="shared" si="167"/>
        <v>56.964885721091697</v>
      </c>
      <c r="BG159" s="22">
        <f t="shared" si="168"/>
        <v>505.29666263090093</v>
      </c>
      <c r="BH159" s="62">
        <f t="shared" si="116"/>
        <v>798.62999596423424</v>
      </c>
      <c r="BI159" s="62">
        <f ca="1">AVERAGE(OFFSET($BH$3,0,0,'Données projet'!$E$11+1,1))-AVERAGE(OFFSET($H$3,0,0,'Données projet'!$E$11+1,1))</f>
        <v>327.81662150328646</v>
      </c>
      <c r="BJ159" s="62">
        <f t="shared" si="146"/>
        <v>320.24200483294322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1.5446110250784988E-18</v>
      </c>
      <c r="BS159" s="24">
        <f t="shared" si="169"/>
        <v>1.5446110250784988E-18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1.5518253349000589E-14</v>
      </c>
      <c r="CA159" s="14">
        <f t="shared" si="170"/>
        <v>2.8958815659671149E-13</v>
      </c>
      <c r="CB159" s="22">
        <f t="shared" si="171"/>
        <v>5.3139366398878183E-13</v>
      </c>
      <c r="CC159" s="62">
        <f t="shared" si="119"/>
        <v>293.33333333333383</v>
      </c>
      <c r="CD159" s="62">
        <f ca="1">AVERAGE(OFFSET($CC$3,0,0,'Données projet'!$E$12+1,1))-AVERAGE(OFFSET($H$3,0,0,'Données projet'!$E$12+1,1))</f>
        <v>170.27677128684815</v>
      </c>
      <c r="CE159" s="62">
        <f t="shared" si="148"/>
        <v>243.47439640666289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0.35536437350352629</v>
      </c>
      <c r="CL159" s="23">
        <f>EXP(-LN(2)/25)*CL158+(1-EXP(-LN(2)/25))/(LN(2)/25)*Calculateur!CG159*Calculateur!CI159*VLOOKUP('Données projet'!$B$12,Paramètres!$A$1:$I$89,3,0)*0.475*44/12</f>
        <v>0.55013672345571352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0.90550109695923986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0</v>
      </c>
      <c r="CZ159" s="62">
        <f t="shared" si="150"/>
        <v>0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-2.5420376914553347E-13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388.88381485322674</v>
      </c>
      <c r="T160" s="62">
        <f t="shared" si="142"/>
        <v>355.82695155276218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1.7950309771849504</v>
      </c>
      <c r="AA160" s="23">
        <f>EXP(-LN(2)/25)*AA159+(1-EXP(-LN(2)/25))/(LN(2)/25)*Calculateur!V160*Calculateur!X160*VLOOKUP('Données projet'!$B$9,Paramètres!$A$1:$I$89,3,0)*0.475*44/12</f>
        <v>0.4142778161470192</v>
      </c>
      <c r="AB160" s="23">
        <f>EXP(-LN(2)/2)*AB159+(1-EXP(-LN(2)/2))/(LN(2)/2)*V160*Y160*VLOOKUP('Données projet'!$B$9,Paramètres!$A$1:$I$89,3,0)*0.475*44/12</f>
        <v>3.7176856246082057E-19</v>
      </c>
      <c r="AC160" s="24">
        <f t="shared" si="163"/>
        <v>2.2093087933319695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4.9658410716801891E-14</v>
      </c>
      <c r="AK160" s="14">
        <f t="shared" si="164"/>
        <v>8.0934058173791862E-13</v>
      </c>
      <c r="AL160" s="22">
        <f t="shared" si="165"/>
        <v>1.4960899118586383E-12</v>
      </c>
      <c r="AM160" s="62">
        <f t="shared" si="113"/>
        <v>293.33333333333479</v>
      </c>
      <c r="AN160" s="62">
        <f ca="1">AVERAGE(OFFSET($AM$3,0,0,'Données projet'!$E$10+1,1))-AVERAGE(OFFSET($H$3,0,0,'Données projet'!$E$10+1,1))</f>
        <v>321.62968871874483</v>
      </c>
      <c r="AO160" s="62">
        <f t="shared" si="144"/>
        <v>389.91636841473559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0.29546226451453844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2.8007916588927237E-18</v>
      </c>
      <c r="AX160" s="23">
        <f t="shared" si="166"/>
        <v>0.29546226451453844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317.99999999999972</v>
      </c>
      <c r="BE160" s="14">
        <f>BD160*VLOOKUP('Données projet'!$B$11,Paramètres!$A$1:$I$89,3,0)*VLOOKUP('Données projet'!$B$11,Paramètres!$A$1:$I$89,5,0)</f>
        <v>233.1575999999998</v>
      </c>
      <c r="BF160" s="14">
        <f t="shared" si="167"/>
        <v>56.964885721091697</v>
      </c>
      <c r="BG160" s="22">
        <f t="shared" si="168"/>
        <v>505.29666263090093</v>
      </c>
      <c r="BH160" s="62">
        <f t="shared" si="116"/>
        <v>798.62999596423424</v>
      </c>
      <c r="BI160" s="62">
        <f ca="1">AVERAGE(OFFSET($BH$3,0,0,'Données projet'!$E$11+1,1))-AVERAGE(OFFSET($H$3,0,0,'Données projet'!$E$11+1,1))</f>
        <v>327.81662150328646</v>
      </c>
      <c r="BJ160" s="62">
        <f t="shared" si="146"/>
        <v>320.24200483294322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1.0922049301285109E-18</v>
      </c>
      <c r="BS160" s="24">
        <f t="shared" si="169"/>
        <v>1.0922049301285109E-18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1.5518253349000589E-14</v>
      </c>
      <c r="CA160" s="14">
        <f t="shared" si="170"/>
        <v>2.8958815659671149E-13</v>
      </c>
      <c r="CB160" s="22">
        <f t="shared" si="171"/>
        <v>5.3139366398878183E-13</v>
      </c>
      <c r="CC160" s="62">
        <f t="shared" si="119"/>
        <v>293.33333333333383</v>
      </c>
      <c r="CD160" s="62">
        <f ca="1">AVERAGE(OFFSET($CC$3,0,0,'Données projet'!$E$12+1,1))-AVERAGE(OFFSET($H$3,0,0,'Données projet'!$E$12+1,1))</f>
        <v>170.27677128684815</v>
      </c>
      <c r="CE160" s="62">
        <f t="shared" si="148"/>
        <v>243.47439640666289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0.34839589488998762</v>
      </c>
      <c r="CL160" s="23">
        <f>EXP(-LN(2)/25)*CL159+(1-EXP(-LN(2)/25))/(LN(2)/25)*Calculateur!CG160*Calculateur!CI160*VLOOKUP('Données projet'!$B$12,Paramètres!$A$1:$I$89,3,0)*0.475*44/12</f>
        <v>0.53509320582238407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0.88348910071237174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0</v>
      </c>
      <c r="CZ160" s="62">
        <f t="shared" si="150"/>
        <v>0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-2.5420376914553347E-13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388.88381485322674</v>
      </c>
      <c r="T161" s="62">
        <f t="shared" si="142"/>
        <v>355.82695155276218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1.7598315145831411</v>
      </c>
      <c r="AA161" s="23">
        <f>EXP(-LN(2)/25)*AA160+(1-EXP(-LN(2)/25))/(LN(2)/25)*Calculateur!V161*Calculateur!X161*VLOOKUP('Données projet'!$B$9,Paramètres!$A$1:$I$89,3,0)*0.475*44/12</f>
        <v>0.40294936747855548</v>
      </c>
      <c r="AB161" s="23">
        <f>EXP(-LN(2)/2)*AB160+(1-EXP(-LN(2)/2))/(LN(2)/2)*V161*Y161*VLOOKUP('Données projet'!$B$9,Paramètres!$A$1:$I$89,3,0)*0.475*44/12</f>
        <v>2.6288007154802078E-19</v>
      </c>
      <c r="AC161" s="24">
        <f t="shared" si="163"/>
        <v>2.1627808820616967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4.9658410716801891E-14</v>
      </c>
      <c r="AK161" s="14">
        <f t="shared" si="164"/>
        <v>8.0934058173791862E-13</v>
      </c>
      <c r="AL161" s="22">
        <f t="shared" si="165"/>
        <v>1.4960899118586383E-12</v>
      </c>
      <c r="AM161" s="62">
        <f t="shared" si="113"/>
        <v>293.33333333333479</v>
      </c>
      <c r="AN161" s="62">
        <f ca="1">AVERAGE(OFFSET($AM$3,0,0,'Données projet'!$E$10+1,1))-AVERAGE(OFFSET($H$3,0,0,'Données projet'!$E$10+1,1))</f>
        <v>321.62968871874483</v>
      </c>
      <c r="AO161" s="62">
        <f t="shared" si="144"/>
        <v>389.91636841473559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0.28966842972159501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1.9804587746937646E-18</v>
      </c>
      <c r="AX161" s="23">
        <f t="shared" si="166"/>
        <v>0.28966842972159501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317.99999999999972</v>
      </c>
      <c r="BE161" s="14">
        <f>BD161*VLOOKUP('Données projet'!$B$11,Paramètres!$A$1:$I$89,3,0)*VLOOKUP('Données projet'!$B$11,Paramètres!$A$1:$I$89,5,0)</f>
        <v>233.1575999999998</v>
      </c>
      <c r="BF161" s="14">
        <f t="shared" si="167"/>
        <v>56.964885721091697</v>
      </c>
      <c r="BG161" s="22">
        <f t="shared" si="168"/>
        <v>505.29666263090093</v>
      </c>
      <c r="BH161" s="62">
        <f t="shared" si="116"/>
        <v>798.62999596423424</v>
      </c>
      <c r="BI161" s="62">
        <f ca="1">AVERAGE(OFFSET($BH$3,0,0,'Données projet'!$E$11+1,1))-AVERAGE(OFFSET($H$3,0,0,'Données projet'!$E$11+1,1))</f>
        <v>327.81662150328646</v>
      </c>
      <c r="BJ161" s="62">
        <f t="shared" si="146"/>
        <v>320.24200483294322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7.7230551253924938E-19</v>
      </c>
      <c r="BS161" s="24">
        <f t="shared" si="169"/>
        <v>7.7230551253924938E-19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1.5518253349000589E-14</v>
      </c>
      <c r="CA161" s="14">
        <f t="shared" si="170"/>
        <v>2.8958815659671149E-13</v>
      </c>
      <c r="CB161" s="22">
        <f t="shared" si="171"/>
        <v>5.3139366398878183E-13</v>
      </c>
      <c r="CC161" s="62">
        <f t="shared" si="119"/>
        <v>293.33333333333383</v>
      </c>
      <c r="CD161" s="62">
        <f ca="1">AVERAGE(OFFSET($CC$3,0,0,'Données projet'!$E$12+1,1))-AVERAGE(OFFSET($H$3,0,0,'Données projet'!$E$12+1,1))</f>
        <v>170.27677128684815</v>
      </c>
      <c r="CE161" s="62">
        <f t="shared" si="148"/>
        <v>243.47439640666289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0.34156406389170818</v>
      </c>
      <c r="CL161" s="23">
        <f>EXP(-LN(2)/25)*CL160+(1-EXP(-LN(2)/25))/(LN(2)/25)*Calculateur!CG161*Calculateur!CI161*VLOOKUP('Données projet'!$B$12,Paramètres!$A$1:$I$89,3,0)*0.475*44/12</f>
        <v>0.52046105396984221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0.86202511786155034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0</v>
      </c>
      <c r="CZ161" s="62">
        <f t="shared" si="150"/>
        <v>0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-2.5420376914553347E-13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388.88381485322674</v>
      </c>
      <c r="T162" s="62">
        <f t="shared" si="142"/>
        <v>355.82695155276218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1.725322291973401</v>
      </c>
      <c r="AA162" s="23">
        <f>EXP(-LN(2)/25)*AA161+(1-EXP(-LN(2)/25))/(LN(2)/25)*Calculateur!V162*Calculateur!X162*VLOOKUP('Données projet'!$B$9,Paramètres!$A$1:$I$89,3,0)*0.475*44/12</f>
        <v>0.39193069583466811</v>
      </c>
      <c r="AB162" s="23">
        <f>EXP(-LN(2)/2)*AB161+(1-EXP(-LN(2)/2))/(LN(2)/2)*V162*Y162*VLOOKUP('Données projet'!$B$9,Paramètres!$A$1:$I$89,3,0)*0.475*44/12</f>
        <v>1.8588428123041029E-19</v>
      </c>
      <c r="AC162" s="24">
        <f t="shared" si="163"/>
        <v>2.1172529878080693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4.9658410716801891E-14</v>
      </c>
      <c r="AK162" s="14">
        <f t="shared" si="164"/>
        <v>8.0934058173791862E-13</v>
      </c>
      <c r="AL162" s="22">
        <f t="shared" si="165"/>
        <v>1.4960899118586383E-12</v>
      </c>
      <c r="AM162" s="62">
        <f t="shared" si="113"/>
        <v>293.33333333333479</v>
      </c>
      <c r="AN162" s="62">
        <f ca="1">AVERAGE(OFFSET($AM$3,0,0,'Données projet'!$E$10+1,1))-AVERAGE(OFFSET($H$3,0,0,'Données projet'!$E$10+1,1))</f>
        <v>321.62968871874483</v>
      </c>
      <c r="AO162" s="62">
        <f t="shared" si="144"/>
        <v>389.91636841473559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0.28398820849505091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1.4003958294463619E-18</v>
      </c>
      <c r="AX162" s="23">
        <f t="shared" si="166"/>
        <v>0.28398820849505091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317.99999999999972</v>
      </c>
      <c r="BE162" s="14">
        <f>BD162*VLOOKUP('Données projet'!$B$11,Paramètres!$A$1:$I$89,3,0)*VLOOKUP('Données projet'!$B$11,Paramètres!$A$1:$I$89,5,0)</f>
        <v>233.1575999999998</v>
      </c>
      <c r="BF162" s="14">
        <f t="shared" si="167"/>
        <v>56.964885721091697</v>
      </c>
      <c r="BG162" s="22">
        <f t="shared" si="168"/>
        <v>505.29666263090093</v>
      </c>
      <c r="BH162" s="62">
        <f t="shared" si="116"/>
        <v>798.62999596423424</v>
      </c>
      <c r="BI162" s="62">
        <f ca="1">AVERAGE(OFFSET($BH$3,0,0,'Données projet'!$E$11+1,1))-AVERAGE(OFFSET($H$3,0,0,'Données projet'!$E$11+1,1))</f>
        <v>327.81662150328646</v>
      </c>
      <c r="BJ162" s="62">
        <f t="shared" si="146"/>
        <v>320.24200483294322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5.4610246506425544E-19</v>
      </c>
      <c r="BS162" s="24">
        <f t="shared" si="169"/>
        <v>5.4610246506425544E-19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1.5518253349000589E-14</v>
      </c>
      <c r="CA162" s="14">
        <f t="shared" si="170"/>
        <v>2.8958815659671149E-13</v>
      </c>
      <c r="CB162" s="22">
        <f t="shared" si="171"/>
        <v>5.3139366398878183E-13</v>
      </c>
      <c r="CC162" s="62">
        <f t="shared" si="119"/>
        <v>293.33333333333383</v>
      </c>
      <c r="CD162" s="62">
        <f ca="1">AVERAGE(OFFSET($CC$3,0,0,'Données projet'!$E$12+1,1))-AVERAGE(OFFSET($H$3,0,0,'Données projet'!$E$12+1,1))</f>
        <v>170.27677128684815</v>
      </c>
      <c r="CE162" s="62">
        <f t="shared" si="148"/>
        <v>243.47439640666289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0.33486620093229952</v>
      </c>
      <c r="CL162" s="23">
        <f>EXP(-LN(2)/25)*CL161+(1-EXP(-LN(2)/25))/(LN(2)/25)*Calculateur!CG162*Calculateur!CI162*VLOOKUP('Données projet'!$B$12,Paramètres!$A$1:$I$89,3,0)*0.475*44/12</f>
        <v>0.50622901907917961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0.84109522001147918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0</v>
      </c>
      <c r="CZ162" s="62">
        <f t="shared" si="150"/>
        <v>0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-2.5420376914553347E-13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388.88381485322674</v>
      </c>
      <c r="T163" s="62">
        <f t="shared" si="142"/>
        <v>355.82695155276218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1.6914897741704906</v>
      </c>
      <c r="AA163" s="23">
        <f>EXP(-LN(2)/25)*AA162+(1-EXP(-LN(2)/25))/(LN(2)/25)*Calculateur!V163*Calculateur!X163*VLOOKUP('Données projet'!$B$9,Paramètres!$A$1:$I$89,3,0)*0.475*44/12</f>
        <v>0.38121333034632959</v>
      </c>
      <c r="AB163" s="23">
        <f>EXP(-LN(2)/2)*AB162+(1-EXP(-LN(2)/2))/(LN(2)/2)*V163*Y163*VLOOKUP('Données projet'!$B$9,Paramètres!$A$1:$I$89,3,0)*0.475*44/12</f>
        <v>1.3144003577401039E-19</v>
      </c>
      <c r="AC163" s="24">
        <f t="shared" si="163"/>
        <v>2.0727031045168203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4.9658410716801891E-14</v>
      </c>
      <c r="AK163" s="14">
        <f t="shared" si="164"/>
        <v>8.0934058173791862E-13</v>
      </c>
      <c r="AL163" s="22">
        <f t="shared" si="165"/>
        <v>1.4960899118586383E-12</v>
      </c>
      <c r="AM163" s="62">
        <f t="shared" si="113"/>
        <v>293.33333333333479</v>
      </c>
      <c r="AN163" s="62">
        <f ca="1">AVERAGE(OFFSET($AM$3,0,0,'Données projet'!$E$10+1,1))-AVERAGE(OFFSET($H$3,0,0,'Données projet'!$E$10+1,1))</f>
        <v>321.62968871874483</v>
      </c>
      <c r="AO163" s="62">
        <f t="shared" si="144"/>
        <v>389.91636841473559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0.27841937294216651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9.9022938734688231E-19</v>
      </c>
      <c r="AX163" s="23">
        <f t="shared" si="166"/>
        <v>0.27841937294216651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317.99999999999972</v>
      </c>
      <c r="BE163" s="14">
        <f>BD163*VLOOKUP('Données projet'!$B$11,Paramètres!$A$1:$I$89,3,0)*VLOOKUP('Données projet'!$B$11,Paramètres!$A$1:$I$89,5,0)</f>
        <v>233.1575999999998</v>
      </c>
      <c r="BF163" s="14">
        <f t="shared" si="167"/>
        <v>56.964885721091697</v>
      </c>
      <c r="BG163" s="22">
        <f t="shared" si="168"/>
        <v>505.29666263090093</v>
      </c>
      <c r="BH163" s="62">
        <f t="shared" si="116"/>
        <v>798.62999596423424</v>
      </c>
      <c r="BI163" s="62">
        <f ca="1">AVERAGE(OFFSET($BH$3,0,0,'Données projet'!$E$11+1,1))-AVERAGE(OFFSET($H$3,0,0,'Données projet'!$E$11+1,1))</f>
        <v>327.81662150328646</v>
      </c>
      <c r="BJ163" s="62">
        <f t="shared" si="146"/>
        <v>320.24200483294322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3.8615275626962469E-19</v>
      </c>
      <c r="BS163" s="24">
        <f t="shared" si="169"/>
        <v>3.8615275626962469E-19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1.5518253349000589E-14</v>
      </c>
      <c r="CA163" s="14">
        <f t="shared" si="170"/>
        <v>2.8958815659671149E-13</v>
      </c>
      <c r="CB163" s="22">
        <f t="shared" si="171"/>
        <v>5.3139366398878183E-13</v>
      </c>
      <c r="CC163" s="62">
        <f t="shared" si="119"/>
        <v>293.33333333333383</v>
      </c>
      <c r="CD163" s="62">
        <f ca="1">AVERAGE(OFFSET($CC$3,0,0,'Données projet'!$E$12+1,1))-AVERAGE(OFFSET($H$3,0,0,'Données projet'!$E$12+1,1))</f>
        <v>170.27677128684815</v>
      </c>
      <c r="CE163" s="62">
        <f t="shared" si="148"/>
        <v>243.47439640666289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0.32829967898023188</v>
      </c>
      <c r="CL163" s="23">
        <f>EXP(-LN(2)/25)*CL162+(1-EXP(-LN(2)/25))/(LN(2)/25)*Calculateur!CG163*Calculateur!CI163*VLOOKUP('Données projet'!$B$12,Paramètres!$A$1:$I$89,3,0)*0.475*44/12</f>
        <v>0.49238615993103235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0.82068583891126423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0</v>
      </c>
      <c r="CZ163" s="62">
        <f t="shared" si="150"/>
        <v>0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-2.5420376914553347E-13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388.88381485322674</v>
      </c>
      <c r="T164" s="62">
        <f t="shared" si="142"/>
        <v>355.82695155276218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1.658320691405897</v>
      </c>
      <c r="AA164" s="23">
        <f>EXP(-LN(2)/25)*AA163+(1-EXP(-LN(2)/25))/(LN(2)/25)*Calculateur!V164*Calculateur!X164*VLOOKUP('Données projet'!$B$9,Paramètres!$A$1:$I$89,3,0)*0.475*44/12</f>
        <v>0.37078903178087147</v>
      </c>
      <c r="AB164" s="23">
        <f>EXP(-LN(2)/2)*AB163+(1-EXP(-LN(2)/2))/(LN(2)/2)*V164*Y164*VLOOKUP('Données projet'!$B$9,Paramètres!$A$1:$I$89,3,0)*0.475*44/12</f>
        <v>9.2942140615205143E-20</v>
      </c>
      <c r="AC164" s="24">
        <f t="shared" si="163"/>
        <v>2.0291097231867683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4.9658410716801891E-14</v>
      </c>
      <c r="AK164" s="14">
        <f t="shared" si="164"/>
        <v>8.0934058173791862E-13</v>
      </c>
      <c r="AL164" s="22">
        <f t="shared" si="165"/>
        <v>1.4960899118586383E-12</v>
      </c>
      <c r="AM164" s="62">
        <f t="shared" si="113"/>
        <v>293.33333333333479</v>
      </c>
      <c r="AN164" s="62">
        <f ca="1">AVERAGE(OFFSET($AM$3,0,0,'Données projet'!$E$10+1,1))-AVERAGE(OFFSET($H$3,0,0,'Données projet'!$E$10+1,1))</f>
        <v>321.62968871874483</v>
      </c>
      <c r="AO164" s="62">
        <f t="shared" si="144"/>
        <v>389.91636841473559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0.27295973885781988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7.0019791472318094E-19</v>
      </c>
      <c r="AX164" s="23">
        <f t="shared" si="166"/>
        <v>0.27295973885781988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317.99999999999972</v>
      </c>
      <c r="BE164" s="14">
        <f>BD164*VLOOKUP('Données projet'!$B$11,Paramètres!$A$1:$I$89,3,0)*VLOOKUP('Données projet'!$B$11,Paramètres!$A$1:$I$89,5,0)</f>
        <v>233.1575999999998</v>
      </c>
      <c r="BF164" s="14">
        <f t="shared" si="167"/>
        <v>56.964885721091697</v>
      </c>
      <c r="BG164" s="22">
        <f t="shared" si="168"/>
        <v>505.29666263090093</v>
      </c>
      <c r="BH164" s="62">
        <f t="shared" si="116"/>
        <v>798.62999596423424</v>
      </c>
      <c r="BI164" s="62">
        <f ca="1">AVERAGE(OFFSET($BH$3,0,0,'Données projet'!$E$11+1,1))-AVERAGE(OFFSET($H$3,0,0,'Données projet'!$E$11+1,1))</f>
        <v>327.81662150328646</v>
      </c>
      <c r="BJ164" s="62">
        <f t="shared" si="146"/>
        <v>320.24200483294322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2.7305123253212772E-19</v>
      </c>
      <c r="BS164" s="24">
        <f t="shared" si="169"/>
        <v>2.7305123253212772E-19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1.5518253349000589E-14</v>
      </c>
      <c r="CA164" s="14">
        <f t="shared" si="170"/>
        <v>2.8958815659671149E-13</v>
      </c>
      <c r="CB164" s="22">
        <f t="shared" si="171"/>
        <v>5.3139366398878183E-13</v>
      </c>
      <c r="CC164" s="62">
        <f t="shared" si="119"/>
        <v>293.33333333333383</v>
      </c>
      <c r="CD164" s="62">
        <f ca="1">AVERAGE(OFFSET($CC$3,0,0,'Données projet'!$E$12+1,1))-AVERAGE(OFFSET($H$3,0,0,'Données projet'!$E$12+1,1))</f>
        <v>170.27677128684815</v>
      </c>
      <c r="CE164" s="62">
        <f t="shared" si="148"/>
        <v>243.47439640666289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0.32186192251846135</v>
      </c>
      <c r="CL164" s="23">
        <f>EXP(-LN(2)/25)*CL163+(1-EXP(-LN(2)/25))/(LN(2)/25)*Calculateur!CG164*Calculateur!CI164*VLOOKUP('Données projet'!$B$12,Paramètres!$A$1:$I$89,3,0)*0.475*44/12</f>
        <v>0.47892183449425546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0.80078375701271676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0</v>
      </c>
      <c r="CZ164" s="62">
        <f t="shared" si="150"/>
        <v>0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-2.5420376914553347E-13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388.88381485322674</v>
      </c>
      <c r="T165" s="62">
        <f t="shared" si="142"/>
        <v>355.82695155276218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1.6258020341231743</v>
      </c>
      <c r="AA165" s="23">
        <f>EXP(-LN(2)/25)*AA164+(1-EXP(-LN(2)/25))/(LN(2)/25)*Calculateur!V165*Calculateur!X165*VLOOKUP('Données projet'!$B$9,Paramètres!$A$1:$I$89,3,0)*0.475*44/12</f>
        <v>0.3606497862078758</v>
      </c>
      <c r="AB165" s="23">
        <f>EXP(-LN(2)/2)*AB164+(1-EXP(-LN(2)/2))/(LN(2)/2)*V165*Y165*VLOOKUP('Données projet'!$B$9,Paramètres!$A$1:$I$89,3,0)*0.475*44/12</f>
        <v>6.5720017887005194E-20</v>
      </c>
      <c r="AC165" s="24">
        <f t="shared" si="163"/>
        <v>1.9864518203310499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4.9658410716801891E-14</v>
      </c>
      <c r="AK165" s="14">
        <f t="shared" si="164"/>
        <v>8.0934058173791862E-13</v>
      </c>
      <c r="AL165" s="22">
        <f t="shared" si="165"/>
        <v>1.4960899118586383E-12</v>
      </c>
      <c r="AM165" s="62">
        <f t="shared" si="113"/>
        <v>293.33333333333479</v>
      </c>
      <c r="AN165" s="62">
        <f ca="1">AVERAGE(OFFSET($AM$3,0,0,'Données projet'!$E$10+1,1))-AVERAGE(OFFSET($H$3,0,0,'Données projet'!$E$10+1,1))</f>
        <v>321.62968871874483</v>
      </c>
      <c r="AO165" s="62">
        <f t="shared" si="144"/>
        <v>389.91636841473559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0.26760716486781932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4.9511469367344115E-19</v>
      </c>
      <c r="AX165" s="23">
        <f t="shared" si="166"/>
        <v>0.26760716486781932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317.99999999999972</v>
      </c>
      <c r="BE165" s="14">
        <f>BD165*VLOOKUP('Données projet'!$B$11,Paramètres!$A$1:$I$89,3,0)*VLOOKUP('Données projet'!$B$11,Paramètres!$A$1:$I$89,5,0)</f>
        <v>233.1575999999998</v>
      </c>
      <c r="BF165" s="14">
        <f t="shared" si="167"/>
        <v>56.964885721091697</v>
      </c>
      <c r="BG165" s="22">
        <f t="shared" si="168"/>
        <v>505.29666263090093</v>
      </c>
      <c r="BH165" s="62">
        <f t="shared" si="116"/>
        <v>798.62999596423424</v>
      </c>
      <c r="BI165" s="62">
        <f ca="1">AVERAGE(OFFSET($BH$3,0,0,'Données projet'!$E$11+1,1))-AVERAGE(OFFSET($H$3,0,0,'Données projet'!$E$11+1,1))</f>
        <v>327.81662150328646</v>
      </c>
      <c r="BJ165" s="62">
        <f t="shared" si="146"/>
        <v>320.24200483294322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1.9307637813481235E-19</v>
      </c>
      <c r="BS165" s="24">
        <f t="shared" si="169"/>
        <v>1.9307637813481235E-19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1.5518253349000589E-14</v>
      </c>
      <c r="CA165" s="14">
        <f t="shared" si="170"/>
        <v>2.8958815659671149E-13</v>
      </c>
      <c r="CB165" s="22">
        <f t="shared" si="171"/>
        <v>5.3139366398878183E-13</v>
      </c>
      <c r="CC165" s="62">
        <f t="shared" si="119"/>
        <v>293.33333333333383</v>
      </c>
      <c r="CD165" s="62">
        <f ca="1">AVERAGE(OFFSET($CC$3,0,0,'Données projet'!$E$12+1,1))-AVERAGE(OFFSET($H$3,0,0,'Données projet'!$E$12+1,1))</f>
        <v>170.27677128684815</v>
      </c>
      <c r="CE165" s="62">
        <f t="shared" si="148"/>
        <v>243.47439640666289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0.31555040653426242</v>
      </c>
      <c r="CL165" s="23">
        <f>EXP(-LN(2)/25)*CL164+(1-EXP(-LN(2)/25))/(LN(2)/25)*Calculateur!CG165*Calculateur!CI165*VLOOKUP('Données projet'!$B$12,Paramètres!$A$1:$I$89,3,0)*0.475*44/12</f>
        <v>0.46582569174460536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0.78137609827886778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0</v>
      </c>
      <c r="CZ165" s="62">
        <f t="shared" si="150"/>
        <v>0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-2.5420376914553347E-13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388.88381485322674</v>
      </c>
      <c r="T166" s="62">
        <f t="shared" si="142"/>
        <v>355.82695155276218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1.5939210478753432</v>
      </c>
      <c r="AA166" s="23">
        <f>EXP(-LN(2)/25)*AA165+(1-EXP(-LN(2)/25))/(LN(2)/25)*Calculateur!V166*Calculateur!X166*VLOOKUP('Données projet'!$B$9,Paramètres!$A$1:$I$89,3,0)*0.475*44/12</f>
        <v>0.35078779883827343</v>
      </c>
      <c r="AB166" s="23">
        <f>EXP(-LN(2)/2)*AB165+(1-EXP(-LN(2)/2))/(LN(2)/2)*V166*Y166*VLOOKUP('Données projet'!$B$9,Paramètres!$A$1:$I$89,3,0)*0.475*44/12</f>
        <v>4.6471070307602571E-20</v>
      </c>
      <c r="AC166" s="24">
        <f t="shared" si="163"/>
        <v>1.9447088467136167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4.9658410716801891E-14</v>
      </c>
      <c r="AK166" s="14">
        <f t="shared" si="164"/>
        <v>8.0934058173791862E-13</v>
      </c>
      <c r="AL166" s="22">
        <f t="shared" si="165"/>
        <v>1.4960899118586383E-12</v>
      </c>
      <c r="AM166" s="62">
        <f t="shared" si="113"/>
        <v>293.33333333333479</v>
      </c>
      <c r="AN166" s="62">
        <f ca="1">AVERAGE(OFFSET($AM$3,0,0,'Données projet'!$E$10+1,1))-AVERAGE(OFFSET($H$3,0,0,'Données projet'!$E$10+1,1))</f>
        <v>321.62968871874483</v>
      </c>
      <c r="AO166" s="62">
        <f t="shared" si="144"/>
        <v>389.91636841473559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0.26235955158901492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3.5009895736159047E-19</v>
      </c>
      <c r="AX166" s="23">
        <f t="shared" si="166"/>
        <v>0.26235955158901492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317.99999999999972</v>
      </c>
      <c r="BE166" s="14">
        <f>BD166*VLOOKUP('Données projet'!$B$11,Paramètres!$A$1:$I$89,3,0)*VLOOKUP('Données projet'!$B$11,Paramètres!$A$1:$I$89,5,0)</f>
        <v>233.1575999999998</v>
      </c>
      <c r="BF166" s="14">
        <f t="shared" si="167"/>
        <v>56.964885721091697</v>
      </c>
      <c r="BG166" s="22">
        <f t="shared" si="168"/>
        <v>505.29666263090093</v>
      </c>
      <c r="BH166" s="62">
        <f t="shared" si="116"/>
        <v>798.62999596423424</v>
      </c>
      <c r="BI166" s="62">
        <f ca="1">AVERAGE(OFFSET($BH$3,0,0,'Données projet'!$E$11+1,1))-AVERAGE(OFFSET($H$3,0,0,'Données projet'!$E$11+1,1))</f>
        <v>327.81662150328646</v>
      </c>
      <c r="BJ166" s="62">
        <f t="shared" si="146"/>
        <v>320.24200483294322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1.3652561626606386E-19</v>
      </c>
      <c r="BS166" s="24">
        <f t="shared" si="169"/>
        <v>1.3652561626606386E-19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1.5518253349000589E-14</v>
      </c>
      <c r="CA166" s="14">
        <f t="shared" si="170"/>
        <v>2.8958815659671149E-13</v>
      </c>
      <c r="CB166" s="22">
        <f t="shared" si="171"/>
        <v>5.3139366398878183E-13</v>
      </c>
      <c r="CC166" s="62">
        <f t="shared" si="119"/>
        <v>293.33333333333383</v>
      </c>
      <c r="CD166" s="62">
        <f ca="1">AVERAGE(OFFSET($CC$3,0,0,'Données projet'!$E$12+1,1))-AVERAGE(OFFSET($H$3,0,0,'Données projet'!$E$12+1,1))</f>
        <v>170.27677128684815</v>
      </c>
      <c r="CE166" s="62">
        <f t="shared" si="148"/>
        <v>243.47439640666289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0.30936265552886899</v>
      </c>
      <c r="CL166" s="23">
        <f>EXP(-LN(2)/25)*CL165+(1-EXP(-LN(2)/25))/(LN(2)/25)*Calculateur!CG166*Calculateur!CI166*VLOOKUP('Données projet'!$B$12,Paramètres!$A$1:$I$89,3,0)*0.475*44/12</f>
        <v>0.45308766370714065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0.7624503192360097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0</v>
      </c>
      <c r="CZ166" s="62">
        <f t="shared" si="150"/>
        <v>0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-2.5420376914553347E-13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388.88381485322674</v>
      </c>
      <c r="T167" s="62">
        <f t="shared" si="142"/>
        <v>355.82695155276218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1.5626652283223506</v>
      </c>
      <c r="AA167" s="23">
        <f>EXP(-LN(2)/25)*AA166+(1-EXP(-LN(2)/25))/(LN(2)/25)*Calculateur!V167*Calculateur!X167*VLOOKUP('Données projet'!$B$9,Paramètres!$A$1:$I$89,3,0)*0.475*44/12</f>
        <v>0.34119548803191224</v>
      </c>
      <c r="AB167" s="23">
        <f>EXP(-LN(2)/2)*AB166+(1-EXP(-LN(2)/2))/(LN(2)/2)*V167*Y167*VLOOKUP('Données projet'!$B$9,Paramètres!$A$1:$I$89,3,0)*0.475*44/12</f>
        <v>3.2860008943502597E-20</v>
      </c>
      <c r="AC167" s="24">
        <f t="shared" si="163"/>
        <v>1.9038607163542629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4.9658410716801891E-14</v>
      </c>
      <c r="AK167" s="14">
        <f t="shared" si="164"/>
        <v>8.0934058173791862E-13</v>
      </c>
      <c r="AL167" s="22">
        <f t="shared" si="165"/>
        <v>1.4960899118586383E-12</v>
      </c>
      <c r="AM167" s="62">
        <f t="shared" si="113"/>
        <v>293.33333333333479</v>
      </c>
      <c r="AN167" s="62">
        <f ca="1">AVERAGE(OFFSET($AM$3,0,0,'Données projet'!$E$10+1,1))-AVERAGE(OFFSET($H$3,0,0,'Données projet'!$E$10+1,1))</f>
        <v>321.62968871874483</v>
      </c>
      <c r="AO167" s="62">
        <f t="shared" si="144"/>
        <v>389.91636841473559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0.25721484080587981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2.4755734683672058E-19</v>
      </c>
      <c r="AX167" s="23">
        <f t="shared" si="166"/>
        <v>0.25721484080587981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317.99999999999972</v>
      </c>
      <c r="BE167" s="14">
        <f>BD167*VLOOKUP('Données projet'!$B$11,Paramètres!$A$1:$I$89,3,0)*VLOOKUP('Données projet'!$B$11,Paramètres!$A$1:$I$89,5,0)</f>
        <v>233.1575999999998</v>
      </c>
      <c r="BF167" s="14">
        <f t="shared" si="167"/>
        <v>56.964885721091697</v>
      </c>
      <c r="BG167" s="22">
        <f t="shared" si="168"/>
        <v>505.29666263090093</v>
      </c>
      <c r="BH167" s="62">
        <f t="shared" si="116"/>
        <v>798.62999596423424</v>
      </c>
      <c r="BI167" s="62">
        <f ca="1">AVERAGE(OFFSET($BH$3,0,0,'Données projet'!$E$11+1,1))-AVERAGE(OFFSET($H$3,0,0,'Données projet'!$E$11+1,1))</f>
        <v>327.81662150328646</v>
      </c>
      <c r="BJ167" s="62">
        <f t="shared" si="146"/>
        <v>320.24200483294322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9.6538189067406173E-20</v>
      </c>
      <c r="BS167" s="24">
        <f t="shared" si="169"/>
        <v>9.6538189067406173E-20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1.5518253349000589E-14</v>
      </c>
      <c r="CA167" s="14">
        <f t="shared" si="170"/>
        <v>2.8958815659671149E-13</v>
      </c>
      <c r="CB167" s="22">
        <f t="shared" si="171"/>
        <v>5.3139366398878183E-13</v>
      </c>
      <c r="CC167" s="62">
        <f t="shared" si="119"/>
        <v>293.33333333333383</v>
      </c>
      <c r="CD167" s="62">
        <f ca="1">AVERAGE(OFFSET($CC$3,0,0,'Données projet'!$E$12+1,1))-AVERAGE(OFFSET($H$3,0,0,'Données projet'!$E$12+1,1))</f>
        <v>170.27677128684815</v>
      </c>
      <c r="CE167" s="62">
        <f t="shared" si="148"/>
        <v>243.47439640666289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0.30329624254653592</v>
      </c>
      <c r="CL167" s="23">
        <f>EXP(-LN(2)/25)*CL166+(1-EXP(-LN(2)/25))/(LN(2)/25)*Calculateur!CG167*Calculateur!CI167*VLOOKUP('Données projet'!$B$12,Paramètres!$A$1:$I$89,3,0)*0.475*44/12</f>
        <v>0.44069795771622422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0.7439942002627602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0</v>
      </c>
      <c r="CZ167" s="62">
        <f t="shared" si="150"/>
        <v>0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-2.5420376914553347E-13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388.88381485322674</v>
      </c>
      <c r="T168" s="62">
        <f t="shared" si="142"/>
        <v>355.82695155276218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1.5320223163266247</v>
      </c>
      <c r="AA168" s="23">
        <f>EXP(-LN(2)/25)*AA167+(1-EXP(-LN(2)/25))/(LN(2)/25)*Calculateur!V168*Calculateur!X168*VLOOKUP('Données projet'!$B$9,Paramètres!$A$1:$I$89,3,0)*0.475*44/12</f>
        <v>0.3318654794689887</v>
      </c>
      <c r="AB168" s="23">
        <f>EXP(-LN(2)/2)*AB167+(1-EXP(-LN(2)/2))/(LN(2)/2)*V168*Y168*VLOOKUP('Données projet'!$B$9,Paramètres!$A$1:$I$89,3,0)*0.475*44/12</f>
        <v>2.3235535153801286E-20</v>
      </c>
      <c r="AC168" s="24">
        <f t="shared" si="163"/>
        <v>1.8638877957956135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4.9658410716801891E-14</v>
      </c>
      <c r="AK168" s="14">
        <f t="shared" si="164"/>
        <v>8.0934058173791862E-13</v>
      </c>
      <c r="AL168" s="22">
        <f t="shared" si="165"/>
        <v>1.4960899118586383E-12</v>
      </c>
      <c r="AM168" s="62">
        <f t="shared" si="113"/>
        <v>293.33333333333479</v>
      </c>
      <c r="AN168" s="62">
        <f ca="1">AVERAGE(OFFSET($AM$3,0,0,'Données projet'!$E$10+1,1))-AVERAGE(OFFSET($H$3,0,0,'Données projet'!$E$10+1,1))</f>
        <v>321.62968871874483</v>
      </c>
      <c r="AO168" s="62">
        <f t="shared" si="144"/>
        <v>389.91636841473559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0.25217101466323821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1.7504947868079523E-19</v>
      </c>
      <c r="AX168" s="23">
        <f t="shared" si="166"/>
        <v>0.25217101466323821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317.99999999999972</v>
      </c>
      <c r="BE168" s="14">
        <f>BD168*VLOOKUP('Données projet'!$B$11,Paramètres!$A$1:$I$89,3,0)*VLOOKUP('Données projet'!$B$11,Paramètres!$A$1:$I$89,5,0)</f>
        <v>233.1575999999998</v>
      </c>
      <c r="BF168" s="14">
        <f t="shared" si="167"/>
        <v>56.964885721091697</v>
      </c>
      <c r="BG168" s="22">
        <f t="shared" si="168"/>
        <v>505.29666263090093</v>
      </c>
      <c r="BH168" s="62">
        <f t="shared" si="116"/>
        <v>798.62999596423424</v>
      </c>
      <c r="BI168" s="62">
        <f ca="1">AVERAGE(OFFSET($BH$3,0,0,'Données projet'!$E$11+1,1))-AVERAGE(OFFSET($H$3,0,0,'Données projet'!$E$11+1,1))</f>
        <v>327.81662150328646</v>
      </c>
      <c r="BJ168" s="62">
        <f t="shared" si="146"/>
        <v>320.24200483294322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6.8262808133031931E-20</v>
      </c>
      <c r="BS168" s="24">
        <f t="shared" si="169"/>
        <v>6.8262808133031931E-20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1.5518253349000589E-14</v>
      </c>
      <c r="CA168" s="14">
        <f t="shared" si="170"/>
        <v>2.8958815659671149E-13</v>
      </c>
      <c r="CB168" s="22">
        <f t="shared" si="171"/>
        <v>5.3139366398878183E-13</v>
      </c>
      <c r="CC168" s="62">
        <f t="shared" si="119"/>
        <v>293.33333333333383</v>
      </c>
      <c r="CD168" s="62">
        <f ca="1">AVERAGE(OFFSET($CC$3,0,0,'Données projet'!$E$12+1,1))-AVERAGE(OFFSET($H$3,0,0,'Données projet'!$E$12+1,1))</f>
        <v>170.27677128684815</v>
      </c>
      <c r="CE168" s="62">
        <f t="shared" si="148"/>
        <v>243.47439640666289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0.29734878822263983</v>
      </c>
      <c r="CL168" s="23">
        <f>EXP(-LN(2)/25)*CL167+(1-EXP(-LN(2)/25))/(LN(2)/25)*Calculateur!CG168*Calculateur!CI168*VLOOKUP('Données projet'!$B$12,Paramètres!$A$1:$I$89,3,0)*0.475*44/12</f>
        <v>0.4286470488871757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0.72599583710981552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0</v>
      </c>
      <c r="CZ168" s="62">
        <f t="shared" si="150"/>
        <v>0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-2.5420376914553347E-13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388.88381485322674</v>
      </c>
      <c r="T169" s="62">
        <f t="shared" si="142"/>
        <v>355.82695155276218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1.5019802931448041</v>
      </c>
      <c r="AA169" s="23">
        <f>EXP(-LN(2)/25)*AA168+(1-EXP(-LN(2)/25))/(LN(2)/25)*Calculateur!V169*Calculateur!X169*VLOOKUP('Données projet'!$B$9,Paramètres!$A$1:$I$89,3,0)*0.475*44/12</f>
        <v>0.32279060048086211</v>
      </c>
      <c r="AB169" s="23">
        <f>EXP(-LN(2)/2)*AB168+(1-EXP(-LN(2)/2))/(LN(2)/2)*V169*Y169*VLOOKUP('Données projet'!$B$9,Paramètres!$A$1:$I$89,3,0)*0.475*44/12</f>
        <v>1.6430004471751299E-20</v>
      </c>
      <c r="AC169" s="24">
        <f t="shared" si="163"/>
        <v>1.8247708936256661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4.9658410716801891E-14</v>
      </c>
      <c r="AK169" s="14">
        <f t="shared" si="164"/>
        <v>8.0934058173791862E-13</v>
      </c>
      <c r="AL169" s="22">
        <f t="shared" si="165"/>
        <v>1.4960899118586383E-12</v>
      </c>
      <c r="AM169" s="62">
        <f t="shared" si="113"/>
        <v>293.33333333333479</v>
      </c>
      <c r="AN169" s="62">
        <f ca="1">AVERAGE(OFFSET($AM$3,0,0,'Données projet'!$E$10+1,1))-AVERAGE(OFFSET($H$3,0,0,'Données projet'!$E$10+1,1))</f>
        <v>321.62968871874483</v>
      </c>
      <c r="AO169" s="62">
        <f t="shared" si="144"/>
        <v>389.91636841473559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0.24722609487482367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1.2377867341836029E-19</v>
      </c>
      <c r="AX169" s="23">
        <f t="shared" si="166"/>
        <v>0.24722609487482367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317.99999999999972</v>
      </c>
      <c r="BE169" s="14">
        <f>BD169*VLOOKUP('Données projet'!$B$11,Paramètres!$A$1:$I$89,3,0)*VLOOKUP('Données projet'!$B$11,Paramètres!$A$1:$I$89,5,0)</f>
        <v>233.1575999999998</v>
      </c>
      <c r="BF169" s="14">
        <f t="shared" si="167"/>
        <v>56.964885721091697</v>
      </c>
      <c r="BG169" s="22">
        <f t="shared" si="168"/>
        <v>505.29666263090093</v>
      </c>
      <c r="BH169" s="62">
        <f t="shared" si="116"/>
        <v>798.62999596423424</v>
      </c>
      <c r="BI169" s="62">
        <f ca="1">AVERAGE(OFFSET($BH$3,0,0,'Données projet'!$E$11+1,1))-AVERAGE(OFFSET($H$3,0,0,'Données projet'!$E$11+1,1))</f>
        <v>327.81662150328646</v>
      </c>
      <c r="BJ169" s="62">
        <f t="shared" si="146"/>
        <v>320.24200483294322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4.8269094533703086E-20</v>
      </c>
      <c r="BS169" s="24">
        <f t="shared" si="169"/>
        <v>4.8269094533703086E-20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1.5518253349000589E-14</v>
      </c>
      <c r="CA169" s="14">
        <f t="shared" si="170"/>
        <v>2.8958815659671149E-13</v>
      </c>
      <c r="CB169" s="22">
        <f t="shared" si="171"/>
        <v>5.3139366398878183E-13</v>
      </c>
      <c r="CC169" s="62">
        <f t="shared" si="119"/>
        <v>293.33333333333383</v>
      </c>
      <c r="CD169" s="62">
        <f ca="1">AVERAGE(OFFSET($CC$3,0,0,'Données projet'!$E$12+1,1))-AVERAGE(OFFSET($H$3,0,0,'Données projet'!$E$12+1,1))</f>
        <v>170.27677128684815</v>
      </c>
      <c r="CE169" s="62">
        <f t="shared" si="148"/>
        <v>243.47439640666289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0.29151795985044637</v>
      </c>
      <c r="CL169" s="23">
        <f>EXP(-LN(2)/25)*CL168+(1-EXP(-LN(2)/25))/(LN(2)/25)*Calculateur!CG169*Calculateur!CI169*VLOOKUP('Données projet'!$B$12,Paramètres!$A$1:$I$89,3,0)*0.475*44/12</f>
        <v>0.41692567279378728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0.7084436326442336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0</v>
      </c>
      <c r="CZ169" s="62">
        <f t="shared" si="150"/>
        <v>0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-2.5420376914553347E-13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388.88381485322674</v>
      </c>
      <c r="T170" s="62">
        <f t="shared" si="142"/>
        <v>355.82695155276218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1.4725273757137542</v>
      </c>
      <c r="AA170" s="23">
        <f>EXP(-LN(2)/25)*AA169+(1-EXP(-LN(2)/25))/(LN(2)/25)*Calculateur!V170*Calculateur!X170*VLOOKUP('Données projet'!$B$9,Paramètres!$A$1:$I$89,3,0)*0.475*44/12</f>
        <v>0.31396387453589303</v>
      </c>
      <c r="AB170" s="23">
        <f>EXP(-LN(2)/2)*AB169+(1-EXP(-LN(2)/2))/(LN(2)/2)*V170*Y170*VLOOKUP('Données projet'!$B$9,Paramètres!$A$1:$I$89,3,0)*0.475*44/12</f>
        <v>1.1617767576900643E-20</v>
      </c>
      <c r="AC170" s="24">
        <f t="shared" si="163"/>
        <v>1.7864912502496473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4.9658410716801891E-14</v>
      </c>
      <c r="AK170" s="14">
        <f t="shared" si="164"/>
        <v>8.0934058173791862E-13</v>
      </c>
      <c r="AL170" s="22">
        <f t="shared" si="165"/>
        <v>1.4960899118586383E-12</v>
      </c>
      <c r="AM170" s="62">
        <f t="shared" si="113"/>
        <v>293.33333333333479</v>
      </c>
      <c r="AN170" s="62">
        <f ca="1">AVERAGE(OFFSET($AM$3,0,0,'Données projet'!$E$10+1,1))-AVERAGE(OFFSET($H$3,0,0,'Données projet'!$E$10+1,1))</f>
        <v>321.62968871874483</v>
      </c>
      <c r="AO170" s="62">
        <f t="shared" si="144"/>
        <v>389.91636841473559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0.24237814194735668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8.7524739340397617E-20</v>
      </c>
      <c r="AX170" s="23">
        <f t="shared" si="166"/>
        <v>0.24237814194735668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317.99999999999972</v>
      </c>
      <c r="BE170" s="14">
        <f>BD170*VLOOKUP('Données projet'!$B$11,Paramètres!$A$1:$I$89,3,0)*VLOOKUP('Données projet'!$B$11,Paramètres!$A$1:$I$89,5,0)</f>
        <v>233.1575999999998</v>
      </c>
      <c r="BF170" s="14">
        <f t="shared" si="167"/>
        <v>56.964885721091697</v>
      </c>
      <c r="BG170" s="22">
        <f t="shared" si="168"/>
        <v>505.29666263090093</v>
      </c>
      <c r="BH170" s="62">
        <f t="shared" si="116"/>
        <v>798.62999596423424</v>
      </c>
      <c r="BI170" s="62">
        <f ca="1">AVERAGE(OFFSET($BH$3,0,0,'Données projet'!$E$11+1,1))-AVERAGE(OFFSET($H$3,0,0,'Données projet'!$E$11+1,1))</f>
        <v>327.81662150328646</v>
      </c>
      <c r="BJ170" s="62">
        <f t="shared" si="146"/>
        <v>320.24200483294322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3.4131404066515965E-20</v>
      </c>
      <c r="BS170" s="24">
        <f t="shared" si="169"/>
        <v>3.4131404066515965E-20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1.5518253349000589E-14</v>
      </c>
      <c r="CA170" s="14">
        <f t="shared" si="170"/>
        <v>2.8958815659671149E-13</v>
      </c>
      <c r="CB170" s="22">
        <f t="shared" si="171"/>
        <v>5.3139366398878183E-13</v>
      </c>
      <c r="CC170" s="62">
        <f t="shared" si="119"/>
        <v>293.33333333333383</v>
      </c>
      <c r="CD170" s="62">
        <f ca="1">AVERAGE(OFFSET($CC$3,0,0,'Données projet'!$E$12+1,1))-AVERAGE(OFFSET($H$3,0,0,'Données projet'!$E$12+1,1))</f>
        <v>170.27677128684815</v>
      </c>
      <c r="CE170" s="62">
        <f t="shared" si="148"/>
        <v>243.47439640666289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0.28580147046617749</v>
      </c>
      <c r="CL170" s="23">
        <f>EXP(-LN(2)/25)*CL169+(1-EXP(-LN(2)/25))/(LN(2)/25)*Calculateur!CG170*Calculateur!CI170*VLOOKUP('Données projet'!$B$12,Paramètres!$A$1:$I$89,3,0)*0.475*44/12</f>
        <v>0.40552481834607296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0.69132628881225044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0</v>
      </c>
      <c r="CZ170" s="62">
        <f t="shared" si="150"/>
        <v>0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-2.5420376914553347E-13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388.88381485322674</v>
      </c>
      <c r="T171" s="62">
        <f t="shared" si="142"/>
        <v>355.82695155276218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1.4436520120290215</v>
      </c>
      <c r="AA171" s="23">
        <f>EXP(-LN(2)/25)*AA170+(1-EXP(-LN(2)/25))/(LN(2)/25)*Calculateur!V171*Calculateur!X171*VLOOKUP('Données projet'!$B$9,Paramètres!$A$1:$I$89,3,0)*0.475*44/12</f>
        <v>0.30537851587606646</v>
      </c>
      <c r="AB171" s="23">
        <f>EXP(-LN(2)/2)*AB170+(1-EXP(-LN(2)/2))/(LN(2)/2)*V171*Y171*VLOOKUP('Données projet'!$B$9,Paramètres!$A$1:$I$89,3,0)*0.475*44/12</f>
        <v>8.2150022358756493E-21</v>
      </c>
      <c r="AC171" s="24">
        <f t="shared" si="163"/>
        <v>1.749030527905088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4.9658410716801891E-14</v>
      </c>
      <c r="AK171" s="14">
        <f t="shared" si="164"/>
        <v>8.0934058173791862E-13</v>
      </c>
      <c r="AL171" s="22">
        <f t="shared" si="165"/>
        <v>1.4960899118586383E-12</v>
      </c>
      <c r="AM171" s="62">
        <f t="shared" si="113"/>
        <v>293.33333333333479</v>
      </c>
      <c r="AN171" s="62">
        <f ca="1">AVERAGE(OFFSET($AM$3,0,0,'Données projet'!$E$10+1,1))-AVERAGE(OFFSET($H$3,0,0,'Données projet'!$E$10+1,1))</f>
        <v>321.62968871874483</v>
      </c>
      <c r="AO171" s="62">
        <f t="shared" si="144"/>
        <v>389.91636841473559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0.23762525441983801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6.1889336709180144E-20</v>
      </c>
      <c r="AX171" s="23">
        <f t="shared" si="166"/>
        <v>0.23762525441983801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317.99999999999972</v>
      </c>
      <c r="BE171" s="14">
        <f>BD171*VLOOKUP('Données projet'!$B$11,Paramètres!$A$1:$I$89,3,0)*VLOOKUP('Données projet'!$B$11,Paramètres!$A$1:$I$89,5,0)</f>
        <v>233.1575999999998</v>
      </c>
      <c r="BF171" s="14">
        <f t="shared" si="167"/>
        <v>56.964885721091697</v>
      </c>
      <c r="BG171" s="22">
        <f t="shared" si="168"/>
        <v>505.29666263090093</v>
      </c>
      <c r="BH171" s="62">
        <f t="shared" si="116"/>
        <v>798.62999596423424</v>
      </c>
      <c r="BI171" s="62">
        <f ca="1">AVERAGE(OFFSET($BH$3,0,0,'Données projet'!$E$11+1,1))-AVERAGE(OFFSET($H$3,0,0,'Données projet'!$E$11+1,1))</f>
        <v>327.81662150328646</v>
      </c>
      <c r="BJ171" s="62">
        <f t="shared" si="146"/>
        <v>320.24200483294322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2.4134547266851543E-20</v>
      </c>
      <c r="BS171" s="24">
        <f t="shared" si="169"/>
        <v>2.4134547266851543E-20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1.5518253349000589E-14</v>
      </c>
      <c r="CA171" s="14">
        <f t="shared" si="170"/>
        <v>2.8958815659671149E-13</v>
      </c>
      <c r="CB171" s="22">
        <f t="shared" si="171"/>
        <v>5.3139366398878183E-13</v>
      </c>
      <c r="CC171" s="62">
        <f t="shared" si="119"/>
        <v>293.33333333333383</v>
      </c>
      <c r="CD171" s="62">
        <f ca="1">AVERAGE(OFFSET($CC$3,0,0,'Données projet'!$E$12+1,1))-AVERAGE(OFFSET($H$3,0,0,'Données projet'!$E$12+1,1))</f>
        <v>170.27677128684815</v>
      </c>
      <c r="CE171" s="62">
        <f t="shared" si="148"/>
        <v>243.47439640666289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0.28019707795201987</v>
      </c>
      <c r="CL171" s="23">
        <f>EXP(-LN(2)/25)*CL170+(1-EXP(-LN(2)/25))/(LN(2)/25)*Calculateur!CG171*Calculateur!CI171*VLOOKUP('Données projet'!$B$12,Paramètres!$A$1:$I$89,3,0)*0.475*44/12</f>
        <v>0.39443572086277623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0.6746327988147961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0</v>
      </c>
      <c r="CZ171" s="62">
        <f t="shared" si="150"/>
        <v>0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-2.5420376914553347E-13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388.88381485322674</v>
      </c>
      <c r="T172" s="62">
        <f t="shared" si="142"/>
        <v>355.82695155276218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1.4153428766139136</v>
      </c>
      <c r="AA172" s="23">
        <f>EXP(-LN(2)/25)*AA171+(1-EXP(-LN(2)/25))/(LN(2)/25)*Calculateur!V172*Calculateur!X172*VLOOKUP('Données projet'!$B$9,Paramètres!$A$1:$I$89,3,0)*0.475*44/12</f>
        <v>0.29702792430027725</v>
      </c>
      <c r="AB172" s="23">
        <f>EXP(-LN(2)/2)*AB171+(1-EXP(-LN(2)/2))/(LN(2)/2)*V172*Y172*VLOOKUP('Données projet'!$B$9,Paramètres!$A$1:$I$89,3,0)*0.475*44/12</f>
        <v>5.8088837884503214E-21</v>
      </c>
      <c r="AC172" s="24">
        <f t="shared" si="163"/>
        <v>1.7123708009141909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4.9658410716801891E-14</v>
      </c>
      <c r="AK172" s="14">
        <f t="shared" si="164"/>
        <v>8.0934058173791862E-13</v>
      </c>
      <c r="AL172" s="22">
        <f t="shared" si="165"/>
        <v>1.4960899118586383E-12</v>
      </c>
      <c r="AM172" s="62">
        <f t="shared" si="113"/>
        <v>293.33333333333479</v>
      </c>
      <c r="AN172" s="62">
        <f ca="1">AVERAGE(OFFSET($AM$3,0,0,'Données projet'!$E$10+1,1))-AVERAGE(OFFSET($H$3,0,0,'Données projet'!$E$10+1,1))</f>
        <v>321.62968871874483</v>
      </c>
      <c r="AO172" s="62">
        <f t="shared" si="144"/>
        <v>389.91636841473559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0.23296556811775884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4.3762369670198808E-20</v>
      </c>
      <c r="AX172" s="23">
        <f t="shared" si="166"/>
        <v>0.23296556811775884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317.99999999999972</v>
      </c>
      <c r="BE172" s="14">
        <f>BD172*VLOOKUP('Données projet'!$B$11,Paramètres!$A$1:$I$89,3,0)*VLOOKUP('Données projet'!$B$11,Paramètres!$A$1:$I$89,5,0)</f>
        <v>233.1575999999998</v>
      </c>
      <c r="BF172" s="14">
        <f t="shared" si="167"/>
        <v>56.964885721091697</v>
      </c>
      <c r="BG172" s="22">
        <f t="shared" si="168"/>
        <v>505.29666263090093</v>
      </c>
      <c r="BH172" s="62">
        <f t="shared" si="116"/>
        <v>798.62999596423424</v>
      </c>
      <c r="BI172" s="62">
        <f ca="1">AVERAGE(OFFSET($BH$3,0,0,'Données projet'!$E$11+1,1))-AVERAGE(OFFSET($H$3,0,0,'Données projet'!$E$11+1,1))</f>
        <v>327.81662150328646</v>
      </c>
      <c r="BJ172" s="62">
        <f t="shared" si="146"/>
        <v>320.24200483294322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1.7065702033257983E-20</v>
      </c>
      <c r="BS172" s="24">
        <f t="shared" si="169"/>
        <v>1.7065702033257983E-20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1.5518253349000589E-14</v>
      </c>
      <c r="CA172" s="14">
        <f t="shared" si="170"/>
        <v>2.8958815659671149E-13</v>
      </c>
      <c r="CB172" s="22">
        <f t="shared" si="171"/>
        <v>5.3139366398878183E-13</v>
      </c>
      <c r="CC172" s="62">
        <f t="shared" si="119"/>
        <v>293.33333333333383</v>
      </c>
      <c r="CD172" s="62">
        <f ca="1">AVERAGE(OFFSET($CC$3,0,0,'Données projet'!$E$12+1,1))-AVERAGE(OFFSET($H$3,0,0,'Données projet'!$E$12+1,1))</f>
        <v>170.27677128684815</v>
      </c>
      <c r="CE172" s="62">
        <f t="shared" si="148"/>
        <v>243.47439640666289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0.274702584156723</v>
      </c>
      <c r="CL172" s="23">
        <f>EXP(-LN(2)/25)*CL171+(1-EXP(-LN(2)/25))/(LN(2)/25)*Calculateur!CG172*Calculateur!CI172*VLOOKUP('Données projet'!$B$12,Paramètres!$A$1:$I$89,3,0)*0.475*44/12</f>
        <v>0.38364985533331053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0.65835243949003353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0</v>
      </c>
      <c r="CZ172" s="62">
        <f t="shared" si="150"/>
        <v>0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-2.5420376914553347E-13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388.88381485322674</v>
      </c>
      <c r="T173" s="62">
        <f t="shared" si="142"/>
        <v>355.82695155276218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1.3875888660774283</v>
      </c>
      <c r="AA173" s="23">
        <f>EXP(-LN(2)/25)*AA172+(1-EXP(-LN(2)/25))/(LN(2)/25)*Calculateur!V173*Calculateur!X173*VLOOKUP('Données projet'!$B$9,Paramètres!$A$1:$I$89,3,0)*0.475*44/12</f>
        <v>0.28890568009026651</v>
      </c>
      <c r="AB173" s="23">
        <f>EXP(-LN(2)/2)*AB172+(1-EXP(-LN(2)/2))/(LN(2)/2)*V173*Y173*VLOOKUP('Données projet'!$B$9,Paramètres!$A$1:$I$89,3,0)*0.475*44/12</f>
        <v>4.1075011179378246E-21</v>
      </c>
      <c r="AC173" s="24">
        <f t="shared" si="163"/>
        <v>1.6764945461676948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4.9658410716801891E-14</v>
      </c>
      <c r="AK173" s="14">
        <f t="shared" si="164"/>
        <v>8.0934058173791862E-13</v>
      </c>
      <c r="AL173" s="22">
        <f t="shared" si="165"/>
        <v>1.4960899118586383E-12</v>
      </c>
      <c r="AM173" s="62">
        <f t="shared" si="113"/>
        <v>293.33333333333479</v>
      </c>
      <c r="AN173" s="62">
        <f ca="1">AVERAGE(OFFSET($AM$3,0,0,'Données projet'!$E$10+1,1))-AVERAGE(OFFSET($H$3,0,0,'Données projet'!$E$10+1,1))</f>
        <v>321.62968871874483</v>
      </c>
      <c r="AO173" s="62">
        <f t="shared" si="144"/>
        <v>389.91636841473559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0.22839725542193542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3.0944668354590072E-20</v>
      </c>
      <c r="AX173" s="23">
        <f t="shared" si="166"/>
        <v>0.22839725542193542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317.99999999999972</v>
      </c>
      <c r="BE173" s="14">
        <f>BD173*VLOOKUP('Données projet'!$B$11,Paramètres!$A$1:$I$89,3,0)*VLOOKUP('Données projet'!$B$11,Paramètres!$A$1:$I$89,5,0)</f>
        <v>233.1575999999998</v>
      </c>
      <c r="BF173" s="14">
        <f t="shared" si="167"/>
        <v>56.964885721091697</v>
      </c>
      <c r="BG173" s="22">
        <f t="shared" si="168"/>
        <v>505.29666263090093</v>
      </c>
      <c r="BH173" s="62">
        <f t="shared" si="116"/>
        <v>798.62999596423424</v>
      </c>
      <c r="BI173" s="62">
        <f ca="1">AVERAGE(OFFSET($BH$3,0,0,'Données projet'!$E$11+1,1))-AVERAGE(OFFSET($H$3,0,0,'Données projet'!$E$11+1,1))</f>
        <v>327.81662150328646</v>
      </c>
      <c r="BJ173" s="62">
        <f t="shared" si="146"/>
        <v>320.24200483294322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1.2067273633425772E-20</v>
      </c>
      <c r="BS173" s="24">
        <f t="shared" si="169"/>
        <v>1.2067273633425772E-20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1.5518253349000589E-14</v>
      </c>
      <c r="CA173" s="14">
        <f t="shared" si="170"/>
        <v>2.8958815659671149E-13</v>
      </c>
      <c r="CB173" s="22">
        <f t="shared" si="171"/>
        <v>5.3139366398878183E-13</v>
      </c>
      <c r="CC173" s="62">
        <f t="shared" si="119"/>
        <v>293.33333333333383</v>
      </c>
      <c r="CD173" s="62">
        <f ca="1">AVERAGE(OFFSET($CC$3,0,0,'Données projet'!$E$12+1,1))-AVERAGE(OFFSET($H$3,0,0,'Données projet'!$E$12+1,1))</f>
        <v>170.27677128684815</v>
      </c>
      <c r="CE173" s="62">
        <f t="shared" si="148"/>
        <v>243.47439640666289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0.26931583403344161</v>
      </c>
      <c r="CL173" s="23">
        <f>EXP(-LN(2)/25)*CL172+(1-EXP(-LN(2)/25))/(LN(2)/25)*Calculateur!CG173*Calculateur!CI173*VLOOKUP('Données projet'!$B$12,Paramètres!$A$1:$I$89,3,0)*0.475*44/12</f>
        <v>0.3731589298639521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0.64247476389739377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0</v>
      </c>
      <c r="CZ173" s="62">
        <f t="shared" si="150"/>
        <v>0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-2.5420376914553347E-13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388.88381485322674</v>
      </c>
      <c r="T174" s="62">
        <f t="shared" si="142"/>
        <v>355.82695155276218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1.3603790947592884</v>
      </c>
      <c r="AA174" s="23">
        <f>EXP(-LN(2)/25)*AA173+(1-EXP(-LN(2)/25))/(LN(2)/25)*Calculateur!V174*Calculateur!X174*VLOOKUP('Données projet'!$B$9,Paramètres!$A$1:$I$89,3,0)*0.475*44/12</f>
        <v>0.28100553907530879</v>
      </c>
      <c r="AB174" s="23">
        <f>EXP(-LN(2)/2)*AB173+(1-EXP(-LN(2)/2))/(LN(2)/2)*V174*Y174*VLOOKUP('Données projet'!$B$9,Paramètres!$A$1:$I$89,3,0)*0.475*44/12</f>
        <v>2.9044418942251607E-21</v>
      </c>
      <c r="AC174" s="24">
        <f t="shared" si="163"/>
        <v>1.6413846338345972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4.9658410716801891E-14</v>
      </c>
      <c r="AK174" s="14">
        <f t="shared" si="164"/>
        <v>8.0934058173791862E-13</v>
      </c>
      <c r="AL174" s="22">
        <f t="shared" si="165"/>
        <v>1.4960899118586383E-12</v>
      </c>
      <c r="AM174" s="62">
        <f t="shared" si="113"/>
        <v>293.33333333333479</v>
      </c>
      <c r="AN174" s="62">
        <f ca="1">AVERAGE(OFFSET($AM$3,0,0,'Données projet'!$E$10+1,1))-AVERAGE(OFFSET($H$3,0,0,'Données projet'!$E$10+1,1))</f>
        <v>321.62968871874483</v>
      </c>
      <c r="AO174" s="62">
        <f t="shared" si="144"/>
        <v>389.91636841473559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0.22391852455168149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2.1881184835099404E-20</v>
      </c>
      <c r="AX174" s="23">
        <f t="shared" si="166"/>
        <v>0.22391852455168149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317.99999999999972</v>
      </c>
      <c r="BE174" s="14">
        <f>BD174*VLOOKUP('Données projet'!$B$11,Paramètres!$A$1:$I$89,3,0)*VLOOKUP('Données projet'!$B$11,Paramètres!$A$1:$I$89,5,0)</f>
        <v>233.1575999999998</v>
      </c>
      <c r="BF174" s="14">
        <f t="shared" si="167"/>
        <v>56.964885721091697</v>
      </c>
      <c r="BG174" s="22">
        <f t="shared" si="168"/>
        <v>505.29666263090093</v>
      </c>
      <c r="BH174" s="62">
        <f t="shared" si="116"/>
        <v>798.62999596423424</v>
      </c>
      <c r="BI174" s="62">
        <f ca="1">AVERAGE(OFFSET($BH$3,0,0,'Données projet'!$E$11+1,1))-AVERAGE(OFFSET($H$3,0,0,'Données projet'!$E$11+1,1))</f>
        <v>327.81662150328646</v>
      </c>
      <c r="BJ174" s="62">
        <f t="shared" si="146"/>
        <v>320.24200483294322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8.5328510166289913E-21</v>
      </c>
      <c r="BS174" s="24">
        <f t="shared" si="169"/>
        <v>8.5328510166289913E-21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1.5518253349000589E-14</v>
      </c>
      <c r="CA174" s="14">
        <f t="shared" si="170"/>
        <v>2.8958815659671149E-13</v>
      </c>
      <c r="CB174" s="22">
        <f t="shared" si="171"/>
        <v>5.3139366398878183E-13</v>
      </c>
      <c r="CC174" s="62">
        <f t="shared" si="119"/>
        <v>293.33333333333383</v>
      </c>
      <c r="CD174" s="62">
        <f ca="1">AVERAGE(OFFSET($CC$3,0,0,'Données projet'!$E$12+1,1))-AVERAGE(OFFSET($H$3,0,0,'Données projet'!$E$12+1,1))</f>
        <v>170.27677128684815</v>
      </c>
      <c r="CE174" s="62">
        <f t="shared" si="148"/>
        <v>243.47439640666289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0.26403471479448465</v>
      </c>
      <c r="CL174" s="23">
        <f>EXP(-LN(2)/25)*CL173+(1-EXP(-LN(2)/25))/(LN(2)/25)*Calculateur!CG174*Calculateur!CI174*VLOOKUP('Données projet'!$B$12,Paramètres!$A$1:$I$89,3,0)*0.475*44/12</f>
        <v>0.3629548793032471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0.6269895940977317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0</v>
      </c>
      <c r="CZ174" s="62">
        <f t="shared" si="150"/>
        <v>0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-2.5420376914553347E-13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388.88381485322674</v>
      </c>
      <c r="T175" s="62">
        <f t="shared" si="142"/>
        <v>355.82695155276218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1.3337028904603756</v>
      </c>
      <c r="AA175" s="23">
        <f>EXP(-LN(2)/25)*AA174+(1-EXP(-LN(2)/25))/(LN(2)/25)*Calculateur!V175*Calculateur!X175*VLOOKUP('Données projet'!$B$9,Paramètres!$A$1:$I$89,3,0)*0.475*44/12</f>
        <v>0.27332142783185542</v>
      </c>
      <c r="AB175" s="23">
        <f>EXP(-LN(2)/2)*AB174+(1-EXP(-LN(2)/2))/(LN(2)/2)*V175*Y175*VLOOKUP('Données projet'!$B$9,Paramètres!$A$1:$I$89,3,0)*0.475*44/12</f>
        <v>2.0537505589689123E-21</v>
      </c>
      <c r="AC175" s="24">
        <f t="shared" si="163"/>
        <v>1.607024318292231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4.9658410716801891E-14</v>
      </c>
      <c r="AK175" s="14">
        <f t="shared" si="164"/>
        <v>8.0934058173791862E-13</v>
      </c>
      <c r="AL175" s="22">
        <f t="shared" si="165"/>
        <v>1.4960899118586383E-12</v>
      </c>
      <c r="AM175" s="62">
        <f t="shared" si="113"/>
        <v>293.33333333333479</v>
      </c>
      <c r="AN175" s="62">
        <f ca="1">AVERAGE(OFFSET($AM$3,0,0,'Données projet'!$E$10+1,1))-AVERAGE(OFFSET($H$3,0,0,'Données projet'!$E$10+1,1))</f>
        <v>321.62968871874483</v>
      </c>
      <c r="AO175" s="62">
        <f t="shared" si="144"/>
        <v>389.91636841473559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0.21952761886203714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1.5472334177295036E-20</v>
      </c>
      <c r="AX175" s="23">
        <f t="shared" si="166"/>
        <v>0.21952761886203714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317.99999999999972</v>
      </c>
      <c r="BE175" s="14">
        <f>BD175*VLOOKUP('Données projet'!$B$11,Paramètres!$A$1:$I$89,3,0)*VLOOKUP('Données projet'!$B$11,Paramètres!$A$1:$I$89,5,0)</f>
        <v>233.1575999999998</v>
      </c>
      <c r="BF175" s="14">
        <f t="shared" si="167"/>
        <v>56.964885721091697</v>
      </c>
      <c r="BG175" s="22">
        <f t="shared" si="168"/>
        <v>505.29666263090093</v>
      </c>
      <c r="BH175" s="62">
        <f t="shared" si="116"/>
        <v>798.62999596423424</v>
      </c>
      <c r="BI175" s="62">
        <f ca="1">AVERAGE(OFFSET($BH$3,0,0,'Données projet'!$E$11+1,1))-AVERAGE(OFFSET($H$3,0,0,'Données projet'!$E$11+1,1))</f>
        <v>327.81662150328646</v>
      </c>
      <c r="BJ175" s="62">
        <f t="shared" si="146"/>
        <v>320.24200483294322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6.0336368167128858E-21</v>
      </c>
      <c r="BS175" s="24">
        <f t="shared" si="169"/>
        <v>6.0336368167128858E-21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1.5518253349000589E-14</v>
      </c>
      <c r="CA175" s="14">
        <f t="shared" si="170"/>
        <v>2.8958815659671149E-13</v>
      </c>
      <c r="CB175" s="22">
        <f t="shared" si="171"/>
        <v>5.3139366398878183E-13</v>
      </c>
      <c r="CC175" s="62">
        <f t="shared" si="119"/>
        <v>293.33333333333383</v>
      </c>
      <c r="CD175" s="62">
        <f ca="1">AVERAGE(OFFSET($CC$3,0,0,'Données projet'!$E$12+1,1))-AVERAGE(OFFSET($H$3,0,0,'Données projet'!$E$12+1,1))</f>
        <v>170.27677128684815</v>
      </c>
      <c r="CE175" s="62">
        <f t="shared" si="148"/>
        <v>243.47439640666289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0.25885715508263896</v>
      </c>
      <c r="CL175" s="23">
        <f>EXP(-LN(2)/25)*CL174+(1-EXP(-LN(2)/25))/(LN(2)/25)*Calculateur!CG175*Calculateur!CI175*VLOOKUP('Données projet'!$B$12,Paramètres!$A$1:$I$89,3,0)*0.475*44/12</f>
        <v>0.35302985904173223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0.61188701412437119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0</v>
      </c>
      <c r="CZ175" s="62">
        <f t="shared" si="150"/>
        <v>0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-2.5420376914553347E-13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388.88381485322674</v>
      </c>
      <c r="T176" s="62">
        <f t="shared" si="142"/>
        <v>355.82695155276218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1.3075497902568864</v>
      </c>
      <c r="AA176" s="23">
        <f>EXP(-LN(2)/25)*AA175+(1-EXP(-LN(2)/25))/(LN(2)/25)*Calculateur!V176*Calculateur!X176*VLOOKUP('Données projet'!$B$9,Paramètres!$A$1:$I$89,3,0)*0.475*44/12</f>
        <v>0.26584743901444413</v>
      </c>
      <c r="AB176" s="23">
        <f>EXP(-LN(2)/2)*AB175+(1-EXP(-LN(2)/2))/(LN(2)/2)*V176*Y176*VLOOKUP('Données projet'!$B$9,Paramètres!$A$1:$I$89,3,0)*0.475*44/12</f>
        <v>1.4522209471125804E-21</v>
      </c>
      <c r="AC176" s="24">
        <f t="shared" si="163"/>
        <v>1.5733972292713305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4.9658410716801891E-14</v>
      </c>
      <c r="AK176" s="14">
        <f t="shared" si="164"/>
        <v>8.0934058173791862E-13</v>
      </c>
      <c r="AL176" s="22">
        <f t="shared" si="165"/>
        <v>1.4960899118586383E-12</v>
      </c>
      <c r="AM176" s="62">
        <f t="shared" si="113"/>
        <v>293.33333333333479</v>
      </c>
      <c r="AN176" s="62">
        <f ca="1">AVERAGE(OFFSET($AM$3,0,0,'Données projet'!$E$10+1,1))-AVERAGE(OFFSET($H$3,0,0,'Données projet'!$E$10+1,1))</f>
        <v>321.62968871874483</v>
      </c>
      <c r="AO176" s="62">
        <f t="shared" si="144"/>
        <v>389.91636841473559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0.2152228161547787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1.0940592417549702E-20</v>
      </c>
      <c r="AX176" s="23">
        <f t="shared" si="166"/>
        <v>0.2152228161547787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317.99999999999972</v>
      </c>
      <c r="BE176" s="14">
        <f>BD176*VLOOKUP('Données projet'!$B$11,Paramètres!$A$1:$I$89,3,0)*VLOOKUP('Données projet'!$B$11,Paramètres!$A$1:$I$89,5,0)</f>
        <v>233.1575999999998</v>
      </c>
      <c r="BF176" s="14">
        <f t="shared" si="167"/>
        <v>56.964885721091697</v>
      </c>
      <c r="BG176" s="22">
        <f t="shared" si="168"/>
        <v>505.29666263090093</v>
      </c>
      <c r="BH176" s="62">
        <f t="shared" si="116"/>
        <v>798.62999596423424</v>
      </c>
      <c r="BI176" s="62">
        <f ca="1">AVERAGE(OFFSET($BH$3,0,0,'Données projet'!$E$11+1,1))-AVERAGE(OFFSET($H$3,0,0,'Données projet'!$E$11+1,1))</f>
        <v>327.81662150328646</v>
      </c>
      <c r="BJ176" s="62">
        <f t="shared" si="146"/>
        <v>320.24200483294322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4.2664255083144957E-21</v>
      </c>
      <c r="BS176" s="24">
        <f t="shared" si="169"/>
        <v>4.2664255083144957E-21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1.5518253349000589E-14</v>
      </c>
      <c r="CA176" s="14">
        <f t="shared" si="170"/>
        <v>2.8958815659671149E-13</v>
      </c>
      <c r="CB176" s="22">
        <f t="shared" si="171"/>
        <v>5.3139366398878183E-13</v>
      </c>
      <c r="CC176" s="62">
        <f t="shared" si="119"/>
        <v>293.33333333333383</v>
      </c>
      <c r="CD176" s="62">
        <f ca="1">AVERAGE(OFFSET($CC$3,0,0,'Données projet'!$E$12+1,1))-AVERAGE(OFFSET($H$3,0,0,'Données projet'!$E$12+1,1))</f>
        <v>170.27677128684815</v>
      </c>
      <c r="CE176" s="62">
        <f t="shared" si="148"/>
        <v>243.47439640666289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0.25378112415874293</v>
      </c>
      <c r="CL176" s="23">
        <f>EXP(-LN(2)/25)*CL175+(1-EXP(-LN(2)/25))/(LN(2)/25)*Calculateur!CG176*Calculateur!CI176*VLOOKUP('Données projet'!$B$12,Paramètres!$A$1:$I$89,3,0)*0.475*44/12</f>
        <v>0.34337623898120262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0.59715736313994561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0</v>
      </c>
      <c r="CZ176" s="62">
        <f t="shared" si="150"/>
        <v>0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-2.5420376914553347E-13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388.88381485322674</v>
      </c>
      <c r="T177" s="62">
        <f t="shared" si="142"/>
        <v>355.82695155276218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1.2819095363965718</v>
      </c>
      <c r="AA177" s="23">
        <f>EXP(-LN(2)/25)*AA176+(1-EXP(-LN(2)/25))/(LN(2)/25)*Calculateur!V177*Calculateur!X177*VLOOKUP('Données projet'!$B$9,Paramètres!$A$1:$I$89,3,0)*0.475*44/12</f>
        <v>0.25857782681428493</v>
      </c>
      <c r="AB177" s="23">
        <f>EXP(-LN(2)/2)*AB176+(1-EXP(-LN(2)/2))/(LN(2)/2)*V177*Y177*VLOOKUP('Données projet'!$B$9,Paramètres!$A$1:$I$89,3,0)*0.475*44/12</f>
        <v>1.0268752794844562E-21</v>
      </c>
      <c r="AC177" s="24">
        <f t="shared" si="163"/>
        <v>1.5404873632108567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4.9658410716801891E-14</v>
      </c>
      <c r="AK177" s="14">
        <f t="shared" si="164"/>
        <v>8.0934058173791862E-13</v>
      </c>
      <c r="AL177" s="22">
        <f t="shared" si="165"/>
        <v>1.4960899118586383E-12</v>
      </c>
      <c r="AM177" s="62">
        <f t="shared" si="113"/>
        <v>293.33333333333479</v>
      </c>
      <c r="AN177" s="62">
        <f ca="1">AVERAGE(OFFSET($AM$3,0,0,'Données projet'!$E$10+1,1))-AVERAGE(OFFSET($H$3,0,0,'Données projet'!$E$10+1,1))</f>
        <v>321.62968871874483</v>
      </c>
      <c r="AO177" s="62">
        <f t="shared" si="144"/>
        <v>389.91636841473559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0.21100242800293922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7.736167088647518E-21</v>
      </c>
      <c r="AX177" s="23">
        <f t="shared" si="166"/>
        <v>0.21100242800293922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317.99999999999972</v>
      </c>
      <c r="BE177" s="14">
        <f>BD177*VLOOKUP('Données projet'!$B$11,Paramètres!$A$1:$I$89,3,0)*VLOOKUP('Données projet'!$B$11,Paramètres!$A$1:$I$89,5,0)</f>
        <v>233.1575999999998</v>
      </c>
      <c r="BF177" s="14">
        <f t="shared" si="167"/>
        <v>56.964885721091697</v>
      </c>
      <c r="BG177" s="22">
        <f t="shared" si="168"/>
        <v>505.29666263090093</v>
      </c>
      <c r="BH177" s="62">
        <f t="shared" si="116"/>
        <v>798.62999596423424</v>
      </c>
      <c r="BI177" s="62">
        <f ca="1">AVERAGE(OFFSET($BH$3,0,0,'Données projet'!$E$11+1,1))-AVERAGE(OFFSET($H$3,0,0,'Données projet'!$E$11+1,1))</f>
        <v>327.81662150328646</v>
      </c>
      <c r="BJ177" s="62">
        <f t="shared" si="146"/>
        <v>320.24200483294322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3.0168184083564429E-21</v>
      </c>
      <c r="BS177" s="24">
        <f t="shared" si="169"/>
        <v>3.0168184083564429E-21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1.5518253349000589E-14</v>
      </c>
      <c r="CA177" s="14">
        <f t="shared" si="170"/>
        <v>2.8958815659671149E-13</v>
      </c>
      <c r="CB177" s="22">
        <f t="shared" si="171"/>
        <v>5.3139366398878183E-13</v>
      </c>
      <c r="CC177" s="62">
        <f t="shared" si="119"/>
        <v>293.33333333333383</v>
      </c>
      <c r="CD177" s="62">
        <f ca="1">AVERAGE(OFFSET($CC$3,0,0,'Données projet'!$E$12+1,1))-AVERAGE(OFFSET($H$3,0,0,'Données projet'!$E$12+1,1))</f>
        <v>170.27677128684815</v>
      </c>
      <c r="CE177" s="62">
        <f t="shared" si="148"/>
        <v>243.47439640666289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0.24880463110519135</v>
      </c>
      <c r="CL177" s="23">
        <f>EXP(-LN(2)/25)*CL176+(1-EXP(-LN(2)/25))/(LN(2)/25)*Calculateur!CG177*Calculateur!CI177*VLOOKUP('Données projet'!$B$12,Paramètres!$A$1:$I$89,3,0)*0.475*44/12</f>
        <v>0.33398659766889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0.58279122877408129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0</v>
      </c>
      <c r="CZ177" s="62">
        <f t="shared" si="150"/>
        <v>0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-2.5420376914553347E-13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388.88381485322674</v>
      </c>
      <c r="T178" s="62">
        <f t="shared" si="142"/>
        <v>355.82695155276218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1.2567720722754472</v>
      </c>
      <c r="AA178" s="23">
        <f>EXP(-LN(2)/25)*AA177+(1-EXP(-LN(2)/25))/(LN(2)/25)*Calculateur!V178*Calculateur!X178*VLOOKUP('Données projet'!$B$9,Paramètres!$A$1:$I$89,3,0)*0.475*44/12</f>
        <v>0.2515070025420314</v>
      </c>
      <c r="AB178" s="23">
        <f>EXP(-LN(2)/2)*AB177+(1-EXP(-LN(2)/2))/(LN(2)/2)*V178*Y178*VLOOKUP('Données projet'!$B$9,Paramètres!$A$1:$I$89,3,0)*0.475*44/12</f>
        <v>7.2611047355629018E-22</v>
      </c>
      <c r="AC178" s="24">
        <f t="shared" si="163"/>
        <v>1.5082790748174786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4.9658410716801891E-14</v>
      </c>
      <c r="AK178" s="14">
        <f t="shared" si="164"/>
        <v>8.0934058173791862E-13</v>
      </c>
      <c r="AL178" s="22">
        <f t="shared" si="165"/>
        <v>1.4960899118586383E-12</v>
      </c>
      <c r="AM178" s="62">
        <f t="shared" si="113"/>
        <v>293.33333333333479</v>
      </c>
      <c r="AN178" s="62">
        <f ca="1">AVERAGE(OFFSET($AM$3,0,0,'Données projet'!$E$10+1,1))-AVERAGE(OFFSET($H$3,0,0,'Données projet'!$E$10+1,1))</f>
        <v>321.62968871874483</v>
      </c>
      <c r="AO178" s="62">
        <f t="shared" si="144"/>
        <v>389.91636841473559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0.20686479908857472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5.4702962087748511E-21</v>
      </c>
      <c r="AX178" s="23">
        <f t="shared" si="166"/>
        <v>0.20686479908857472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317.99999999999972</v>
      </c>
      <c r="BE178" s="14">
        <f>BD178*VLOOKUP('Données projet'!$B$11,Paramètres!$A$1:$I$89,3,0)*VLOOKUP('Données projet'!$B$11,Paramètres!$A$1:$I$89,5,0)</f>
        <v>233.1575999999998</v>
      </c>
      <c r="BF178" s="14">
        <f t="shared" si="167"/>
        <v>56.964885721091697</v>
      </c>
      <c r="BG178" s="22">
        <f t="shared" si="168"/>
        <v>505.29666263090093</v>
      </c>
      <c r="BH178" s="62">
        <f t="shared" si="116"/>
        <v>798.62999596423424</v>
      </c>
      <c r="BI178" s="62">
        <f ca="1">AVERAGE(OFFSET($BH$3,0,0,'Données projet'!$E$11+1,1))-AVERAGE(OFFSET($H$3,0,0,'Données projet'!$E$11+1,1))</f>
        <v>327.81662150328646</v>
      </c>
      <c r="BJ178" s="62">
        <f t="shared" si="146"/>
        <v>320.24200483294322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2.1332127541572478E-21</v>
      </c>
      <c r="BS178" s="24">
        <f t="shared" si="169"/>
        <v>2.1332127541572478E-21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1.5518253349000589E-14</v>
      </c>
      <c r="CA178" s="14">
        <f t="shared" si="170"/>
        <v>2.8958815659671149E-13</v>
      </c>
      <c r="CB178" s="22">
        <f t="shared" si="171"/>
        <v>5.3139366398878183E-13</v>
      </c>
      <c r="CC178" s="62">
        <f t="shared" si="119"/>
        <v>293.33333333333383</v>
      </c>
      <c r="CD178" s="62">
        <f ca="1">AVERAGE(OFFSET($CC$3,0,0,'Données projet'!$E$12+1,1))-AVERAGE(OFFSET($H$3,0,0,'Données projet'!$E$12+1,1))</f>
        <v>170.27677128684815</v>
      </c>
      <c r="CE178" s="62">
        <f t="shared" si="148"/>
        <v>243.47439640666289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0.24392572404505888</v>
      </c>
      <c r="CL178" s="23">
        <f>EXP(-LN(2)/25)*CL177+(1-EXP(-LN(2)/25))/(LN(2)/25)*Calculateur!CG178*Calculateur!CI178*VLOOKUP('Données projet'!$B$12,Paramètres!$A$1:$I$89,3,0)*0.475*44/12</f>
        <v>0.32485371659204237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0.56877944063710129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0</v>
      </c>
      <c r="CZ178" s="62">
        <f t="shared" si="150"/>
        <v>0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-2.5420376914553347E-13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388.88381485322674</v>
      </c>
      <c r="T179" s="62">
        <f t="shared" si="142"/>
        <v>355.82695155276218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1.2321275384933987</v>
      </c>
      <c r="AA179" s="23">
        <f>EXP(-LN(2)/25)*AA178+(1-EXP(-LN(2)/25))/(LN(2)/25)*Calculateur!V179*Calculateur!X179*VLOOKUP('Données projet'!$B$9,Paramètres!$A$1:$I$89,3,0)*0.475*44/12</f>
        <v>0.24462953033134111</v>
      </c>
      <c r="AB179" s="23">
        <f>EXP(-LN(2)/2)*AB178+(1-EXP(-LN(2)/2))/(LN(2)/2)*V179*Y179*VLOOKUP('Données projet'!$B$9,Paramètres!$A$1:$I$89,3,0)*0.475*44/12</f>
        <v>5.1343763974222808E-22</v>
      </c>
      <c r="AC179" s="24">
        <f t="shared" si="163"/>
        <v>1.4767570688247398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4.9658410716801891E-14</v>
      </c>
      <c r="AK179" s="14">
        <f t="shared" si="164"/>
        <v>8.0934058173791862E-13</v>
      </c>
      <c r="AL179" s="22">
        <f t="shared" si="165"/>
        <v>1.4960899118586383E-12</v>
      </c>
      <c r="AM179" s="62">
        <f t="shared" si="113"/>
        <v>293.33333333333479</v>
      </c>
      <c r="AN179" s="62">
        <f ca="1">AVERAGE(OFFSET($AM$3,0,0,'Données projet'!$E$10+1,1))-AVERAGE(OFFSET($H$3,0,0,'Données projet'!$E$10+1,1))</f>
        <v>321.62968871874483</v>
      </c>
      <c r="AO179" s="62">
        <f t="shared" si="144"/>
        <v>389.91636841473559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0.20280830655351645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3.868083544323759E-21</v>
      </c>
      <c r="AX179" s="23">
        <f t="shared" si="166"/>
        <v>0.20280830655351645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317.99999999999972</v>
      </c>
      <c r="BE179" s="14">
        <f>BD179*VLOOKUP('Données projet'!$B$11,Paramètres!$A$1:$I$89,3,0)*VLOOKUP('Données projet'!$B$11,Paramètres!$A$1:$I$89,5,0)</f>
        <v>233.1575999999998</v>
      </c>
      <c r="BF179" s="14">
        <f t="shared" si="167"/>
        <v>56.964885721091697</v>
      </c>
      <c r="BG179" s="22">
        <f t="shared" si="168"/>
        <v>505.29666263090093</v>
      </c>
      <c r="BH179" s="62">
        <f t="shared" si="116"/>
        <v>798.62999596423424</v>
      </c>
      <c r="BI179" s="62">
        <f ca="1">AVERAGE(OFFSET($BH$3,0,0,'Données projet'!$E$11+1,1))-AVERAGE(OFFSET($H$3,0,0,'Données projet'!$E$11+1,1))</f>
        <v>327.81662150328646</v>
      </c>
      <c r="BJ179" s="62">
        <f t="shared" si="146"/>
        <v>320.24200483294322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1.5084092041782215E-21</v>
      </c>
      <c r="BS179" s="24">
        <f t="shared" si="169"/>
        <v>1.5084092041782215E-21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1.5518253349000589E-14</v>
      </c>
      <c r="CA179" s="14">
        <f t="shared" si="170"/>
        <v>2.8958815659671149E-13</v>
      </c>
      <c r="CB179" s="22">
        <f t="shared" si="171"/>
        <v>5.3139366398878183E-13</v>
      </c>
      <c r="CC179" s="62">
        <f t="shared" si="119"/>
        <v>293.33333333333383</v>
      </c>
      <c r="CD179" s="62">
        <f ca="1">AVERAGE(OFFSET($CC$3,0,0,'Données projet'!$E$12+1,1))-AVERAGE(OFFSET($H$3,0,0,'Données projet'!$E$12+1,1))</f>
        <v>170.27677128684815</v>
      </c>
      <c r="CE179" s="62">
        <f t="shared" si="148"/>
        <v>243.47439640666289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0.23914248937653615</v>
      </c>
      <c r="CL179" s="23">
        <f>EXP(-LN(2)/25)*CL178+(1-EXP(-LN(2)/25))/(LN(2)/25)*Calculateur!CG179*Calculateur!CI179*VLOOKUP('Données projet'!$B$12,Paramètres!$A$1:$I$89,3,0)*0.475*44/12</f>
        <v>0.31597057462851846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0.55511306400505456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0</v>
      </c>
      <c r="CZ179" s="62">
        <f t="shared" si="150"/>
        <v>0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-2.5420376914553347E-13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388.88381485322674</v>
      </c>
      <c r="T180" s="62">
        <f t="shared" si="142"/>
        <v>355.82695155276218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1.2079662689871349</v>
      </c>
      <c r="AA180" s="23">
        <f>EXP(-LN(2)/25)*AA179+(1-EXP(-LN(2)/25))/(LN(2)/25)*Calculateur!V180*Calculateur!X180*VLOOKUP('Données projet'!$B$9,Paramètres!$A$1:$I$89,3,0)*0.475*44/12</f>
        <v>0.2379401229599227</v>
      </c>
      <c r="AB180" s="23">
        <f>EXP(-LN(2)/2)*AB179+(1-EXP(-LN(2)/2))/(LN(2)/2)*V180*Y180*VLOOKUP('Données projet'!$B$9,Paramètres!$A$1:$I$89,3,0)*0.475*44/12</f>
        <v>3.6305523677814509E-22</v>
      </c>
      <c r="AC180" s="24">
        <f t="shared" si="163"/>
        <v>1.4459063919470576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4.9658410716801891E-14</v>
      </c>
      <c r="AK180" s="14">
        <f t="shared" si="164"/>
        <v>8.0934058173791862E-13</v>
      </c>
      <c r="AL180" s="22">
        <f t="shared" si="165"/>
        <v>1.4960899118586383E-12</v>
      </c>
      <c r="AM180" s="62">
        <f t="shared" si="113"/>
        <v>293.33333333333479</v>
      </c>
      <c r="AN180" s="62">
        <f ca="1">AVERAGE(OFFSET($AM$3,0,0,'Données projet'!$E$10+1,1))-AVERAGE(OFFSET($H$3,0,0,'Données projet'!$E$10+1,1))</f>
        <v>321.62968871874483</v>
      </c>
      <c r="AO180" s="62">
        <f t="shared" si="144"/>
        <v>389.91636841473559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0.19883135936285454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2.7351481043874255E-21</v>
      </c>
      <c r="AX180" s="23">
        <f t="shared" si="166"/>
        <v>0.19883135936285454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317.99999999999972</v>
      </c>
      <c r="BE180" s="14">
        <f>BD180*VLOOKUP('Données projet'!$B$11,Paramètres!$A$1:$I$89,3,0)*VLOOKUP('Données projet'!$B$11,Paramètres!$A$1:$I$89,5,0)</f>
        <v>233.1575999999998</v>
      </c>
      <c r="BF180" s="14">
        <f t="shared" si="167"/>
        <v>56.964885721091697</v>
      </c>
      <c r="BG180" s="22">
        <f t="shared" si="168"/>
        <v>505.29666263090093</v>
      </c>
      <c r="BH180" s="62">
        <f t="shared" si="116"/>
        <v>798.62999596423424</v>
      </c>
      <c r="BI180" s="62">
        <f ca="1">AVERAGE(OFFSET($BH$3,0,0,'Données projet'!$E$11+1,1))-AVERAGE(OFFSET($H$3,0,0,'Données projet'!$E$11+1,1))</f>
        <v>327.81662150328646</v>
      </c>
      <c r="BJ180" s="62">
        <f t="shared" si="146"/>
        <v>320.24200483294322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1.0666063770786239E-21</v>
      </c>
      <c r="BS180" s="24">
        <f t="shared" si="169"/>
        <v>1.0666063770786239E-21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1.5518253349000589E-14</v>
      </c>
      <c r="CA180" s="14">
        <f t="shared" si="170"/>
        <v>2.8958815659671149E-13</v>
      </c>
      <c r="CB180" s="22">
        <f t="shared" si="171"/>
        <v>5.3139366398878183E-13</v>
      </c>
      <c r="CC180" s="62">
        <f t="shared" si="119"/>
        <v>293.33333333333383</v>
      </c>
      <c r="CD180" s="62">
        <f ca="1">AVERAGE(OFFSET($CC$3,0,0,'Données projet'!$E$12+1,1))-AVERAGE(OFFSET($H$3,0,0,'Données projet'!$E$12+1,1))</f>
        <v>170.27677128684815</v>
      </c>
      <c r="CE180" s="62">
        <f t="shared" si="148"/>
        <v>243.47439640666289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0.23445305102237807</v>
      </c>
      <c r="CL180" s="23">
        <f>EXP(-LN(2)/25)*CL179+(1-EXP(-LN(2)/25))/(LN(2)/25)*Calculateur!CG180*Calculateur!CI180*VLOOKUP('Données projet'!$B$12,Paramètres!$A$1:$I$89,3,0)*0.475*44/12</f>
        <v>0.30733034264913128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0.54178339367150929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0</v>
      </c>
      <c r="CZ180" s="62">
        <f t="shared" si="150"/>
        <v>0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-2.5420376914553347E-13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388.88381485322674</v>
      </c>
      <c r="T181" s="62">
        <f t="shared" si="142"/>
        <v>355.82695155276218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1.1842787872389695</v>
      </c>
      <c r="AA181" s="23">
        <f>EXP(-LN(2)/25)*AA180+(1-EXP(-LN(2)/25))/(LN(2)/25)*Calculateur!V181*Calculateur!X181*VLOOKUP('Données projet'!$B$9,Paramètres!$A$1:$I$89,3,0)*0.475*44/12</f>
        <v>0.23143363778485637</v>
      </c>
      <c r="AB181" s="23">
        <f>EXP(-LN(2)/2)*AB180+(1-EXP(-LN(2)/2))/(LN(2)/2)*V181*Y181*VLOOKUP('Données projet'!$B$9,Paramètres!$A$1:$I$89,3,0)*0.475*44/12</f>
        <v>2.5671881987111404E-22</v>
      </c>
      <c r="AC181" s="24">
        <f t="shared" si="163"/>
        <v>1.415712425023826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4.9658410716801891E-14</v>
      </c>
      <c r="AK181" s="14">
        <f t="shared" si="164"/>
        <v>8.0934058173791862E-13</v>
      </c>
      <c r="AL181" s="22">
        <f t="shared" si="165"/>
        <v>1.4960899118586383E-12</v>
      </c>
      <c r="AM181" s="62">
        <f t="shared" si="113"/>
        <v>293.33333333333479</v>
      </c>
      <c r="AN181" s="62">
        <f ca="1">AVERAGE(OFFSET($AM$3,0,0,'Données projet'!$E$10+1,1))-AVERAGE(OFFSET($H$3,0,0,'Données projet'!$E$10+1,1))</f>
        <v>321.62968871874483</v>
      </c>
      <c r="AO181" s="62">
        <f t="shared" si="144"/>
        <v>389.91636841473559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0.19493239768090326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1.9340417721618795E-21</v>
      </c>
      <c r="AX181" s="23">
        <f t="shared" si="166"/>
        <v>0.19493239768090326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317.99999999999972</v>
      </c>
      <c r="BE181" s="14">
        <f>BD181*VLOOKUP('Données projet'!$B$11,Paramètres!$A$1:$I$89,3,0)*VLOOKUP('Données projet'!$B$11,Paramètres!$A$1:$I$89,5,0)</f>
        <v>233.1575999999998</v>
      </c>
      <c r="BF181" s="14">
        <f t="shared" si="167"/>
        <v>56.964885721091697</v>
      </c>
      <c r="BG181" s="22">
        <f t="shared" si="168"/>
        <v>505.29666263090093</v>
      </c>
      <c r="BH181" s="62">
        <f t="shared" si="116"/>
        <v>798.62999596423424</v>
      </c>
      <c r="BI181" s="62">
        <f ca="1">AVERAGE(OFFSET($BH$3,0,0,'Données projet'!$E$11+1,1))-AVERAGE(OFFSET($H$3,0,0,'Données projet'!$E$11+1,1))</f>
        <v>327.81662150328646</v>
      </c>
      <c r="BJ181" s="62">
        <f t="shared" si="146"/>
        <v>320.24200483294322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7.5420460208911073E-22</v>
      </c>
      <c r="BS181" s="24">
        <f t="shared" si="169"/>
        <v>7.5420460208911073E-22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1.5518253349000589E-14</v>
      </c>
      <c r="CA181" s="14">
        <f t="shared" si="170"/>
        <v>2.8958815659671149E-13</v>
      </c>
      <c r="CB181" s="22">
        <f t="shared" si="171"/>
        <v>5.3139366398878183E-13</v>
      </c>
      <c r="CC181" s="62">
        <f t="shared" si="119"/>
        <v>293.33333333333383</v>
      </c>
      <c r="CD181" s="62">
        <f ca="1">AVERAGE(OFFSET($CC$3,0,0,'Données projet'!$E$12+1,1))-AVERAGE(OFFSET($H$3,0,0,'Données projet'!$E$12+1,1))</f>
        <v>170.27677128684815</v>
      </c>
      <c r="CE181" s="62">
        <f t="shared" si="148"/>
        <v>243.47439640666289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0.22985556969407006</v>
      </c>
      <c r="CL181" s="23">
        <f>EXP(-LN(2)/25)*CL180+(1-EXP(-LN(2)/25))/(LN(2)/25)*Calculateur!CG181*Calculateur!CI181*VLOOKUP('Données projet'!$B$12,Paramètres!$A$1:$I$89,3,0)*0.475*44/12</f>
        <v>0.2989263782675905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0.52878194796166056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0</v>
      </c>
      <c r="CZ181" s="62">
        <f t="shared" si="150"/>
        <v>0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-2.5420376914553347E-13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388.88381485322674</v>
      </c>
      <c r="T182" s="62">
        <f t="shared" si="142"/>
        <v>355.82695155276218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1.1610558025599484</v>
      </c>
      <c r="AA182" s="23">
        <f>EXP(-LN(2)/25)*AA181+(1-EXP(-LN(2)/25))/(LN(2)/25)*Calculateur!V182*Calculateur!X182*VLOOKUP('Données projet'!$B$9,Paramètres!$A$1:$I$89,3,0)*0.475*44/12</f>
        <v>0.22510507278906342</v>
      </c>
      <c r="AB182" s="23">
        <f>EXP(-LN(2)/2)*AB181+(1-EXP(-LN(2)/2))/(LN(2)/2)*V182*Y182*VLOOKUP('Données projet'!$B$9,Paramètres!$A$1:$I$89,3,0)*0.475*44/12</f>
        <v>1.8152761838907254E-22</v>
      </c>
      <c r="AC182" s="24">
        <f t="shared" si="163"/>
        <v>1.3861608753490118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4.9658410716801891E-14</v>
      </c>
      <c r="AK182" s="14">
        <f t="shared" si="164"/>
        <v>8.0934058173791862E-13</v>
      </c>
      <c r="AL182" s="22">
        <f t="shared" si="165"/>
        <v>1.4960899118586383E-12</v>
      </c>
      <c r="AM182" s="62">
        <f t="shared" si="113"/>
        <v>293.33333333333479</v>
      </c>
      <c r="AN182" s="62">
        <f ca="1">AVERAGE(OFFSET($AM$3,0,0,'Données projet'!$E$10+1,1))-AVERAGE(OFFSET($H$3,0,0,'Données projet'!$E$10+1,1))</f>
        <v>321.62968871874483</v>
      </c>
      <c r="AO182" s="62">
        <f t="shared" si="144"/>
        <v>389.91636841473559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0.19110989225940322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1.3675740521937128E-21</v>
      </c>
      <c r="AX182" s="23">
        <f t="shared" si="166"/>
        <v>0.19110989225940322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317.99999999999972</v>
      </c>
      <c r="BE182" s="14">
        <f>BD182*VLOOKUP('Données projet'!$B$11,Paramètres!$A$1:$I$89,3,0)*VLOOKUP('Données projet'!$B$11,Paramètres!$A$1:$I$89,5,0)</f>
        <v>233.1575999999998</v>
      </c>
      <c r="BF182" s="14">
        <f t="shared" si="167"/>
        <v>56.964885721091697</v>
      </c>
      <c r="BG182" s="22">
        <f t="shared" si="168"/>
        <v>505.29666263090093</v>
      </c>
      <c r="BH182" s="62">
        <f t="shared" si="116"/>
        <v>798.62999596423424</v>
      </c>
      <c r="BI182" s="62">
        <f ca="1">AVERAGE(OFFSET($BH$3,0,0,'Données projet'!$E$11+1,1))-AVERAGE(OFFSET($H$3,0,0,'Données projet'!$E$11+1,1))</f>
        <v>327.81662150328646</v>
      </c>
      <c r="BJ182" s="62">
        <f t="shared" si="146"/>
        <v>320.24200483294322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5.3330318853931196E-22</v>
      </c>
      <c r="BS182" s="24">
        <f t="shared" si="169"/>
        <v>5.3330318853931196E-22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1.5518253349000589E-14</v>
      </c>
      <c r="CA182" s="14">
        <f t="shared" si="170"/>
        <v>2.8958815659671149E-13</v>
      </c>
      <c r="CB182" s="22">
        <f t="shared" si="171"/>
        <v>5.3139366398878183E-13</v>
      </c>
      <c r="CC182" s="62">
        <f t="shared" si="119"/>
        <v>293.33333333333383</v>
      </c>
      <c r="CD182" s="62">
        <f ca="1">AVERAGE(OFFSET($CC$3,0,0,'Données projet'!$E$12+1,1))-AVERAGE(OFFSET($H$3,0,0,'Données projet'!$E$12+1,1))</f>
        <v>170.27677128684815</v>
      </c>
      <c r="CE182" s="62">
        <f t="shared" si="148"/>
        <v>243.47439640666289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0.22534824217042346</v>
      </c>
      <c r="CL182" s="23">
        <f>EXP(-LN(2)/25)*CL181+(1-EXP(-LN(2)/25))/(LN(2)/25)*Calculateur!CG182*Calculateur!CI182*VLOOKUP('Données projet'!$B$12,Paramètres!$A$1:$I$89,3,0)*0.475*44/12</f>
        <v>0.29075222073400819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0.51610046290443168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0</v>
      </c>
      <c r="CZ182" s="62">
        <f t="shared" si="150"/>
        <v>0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-2.5420376914553347E-13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388.88381485322674</v>
      </c>
      <c r="T183" s="62">
        <f t="shared" si="142"/>
        <v>355.82695155276218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1.138288206445861</v>
      </c>
      <c r="AA183" s="23">
        <f>EXP(-LN(2)/25)*AA182+(1-EXP(-LN(2)/25))/(LN(2)/25)*Calculateur!V183*Calculateur!X183*VLOOKUP('Données projet'!$B$9,Paramètres!$A$1:$I$89,3,0)*0.475*44/12</f>
        <v>0.21894956273588517</v>
      </c>
      <c r="AB183" s="23">
        <f>EXP(-LN(2)/2)*AB182+(1-EXP(-LN(2)/2))/(LN(2)/2)*V183*Y183*VLOOKUP('Données projet'!$B$9,Paramètres!$A$1:$I$89,3,0)*0.475*44/12</f>
        <v>1.2835940993555702E-22</v>
      </c>
      <c r="AC183" s="24">
        <f t="shared" si="163"/>
        <v>1.3572377691817463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4.9658410716801891E-14</v>
      </c>
      <c r="AK183" s="14">
        <f t="shared" si="164"/>
        <v>8.0934058173791862E-13</v>
      </c>
      <c r="AL183" s="22">
        <f t="shared" si="165"/>
        <v>1.4960899118586383E-12</v>
      </c>
      <c r="AM183" s="62">
        <f t="shared" si="113"/>
        <v>293.33333333333479</v>
      </c>
      <c r="AN183" s="62">
        <f ca="1">AVERAGE(OFFSET($AM$3,0,0,'Données projet'!$E$10+1,1))-AVERAGE(OFFSET($H$3,0,0,'Données projet'!$E$10+1,1))</f>
        <v>321.62968871874483</v>
      </c>
      <c r="AO183" s="62">
        <f t="shared" si="144"/>
        <v>389.91636841473559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0.18736234383772071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9.6702088608093975E-22</v>
      </c>
      <c r="AX183" s="23">
        <f t="shared" si="166"/>
        <v>0.18736234383772071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317.99999999999972</v>
      </c>
      <c r="BE183" s="14">
        <f>BD183*VLOOKUP('Données projet'!$B$11,Paramètres!$A$1:$I$89,3,0)*VLOOKUP('Données projet'!$B$11,Paramètres!$A$1:$I$89,5,0)</f>
        <v>233.1575999999998</v>
      </c>
      <c r="BF183" s="14">
        <f t="shared" si="167"/>
        <v>56.964885721091697</v>
      </c>
      <c r="BG183" s="22">
        <f t="shared" si="168"/>
        <v>505.29666263090093</v>
      </c>
      <c r="BH183" s="62">
        <f t="shared" si="116"/>
        <v>798.62999596423424</v>
      </c>
      <c r="BI183" s="62">
        <f ca="1">AVERAGE(OFFSET($BH$3,0,0,'Données projet'!$E$11+1,1))-AVERAGE(OFFSET($H$3,0,0,'Données projet'!$E$11+1,1))</f>
        <v>327.81662150328646</v>
      </c>
      <c r="BJ183" s="62">
        <f t="shared" si="146"/>
        <v>320.24200483294322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3.7710230104455536E-22</v>
      </c>
      <c r="BS183" s="24">
        <f t="shared" si="169"/>
        <v>3.7710230104455536E-22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1.5518253349000589E-14</v>
      </c>
      <c r="CA183" s="14">
        <f t="shared" si="170"/>
        <v>2.8958815659671149E-13</v>
      </c>
      <c r="CB183" s="22">
        <f t="shared" si="171"/>
        <v>5.3139366398878183E-13</v>
      </c>
      <c r="CC183" s="62">
        <f t="shared" si="119"/>
        <v>293.33333333333383</v>
      </c>
      <c r="CD183" s="62">
        <f ca="1">AVERAGE(OFFSET($CC$3,0,0,'Données projet'!$E$12+1,1))-AVERAGE(OFFSET($H$3,0,0,'Données projet'!$E$12+1,1))</f>
        <v>170.27677128684815</v>
      </c>
      <c r="CE183" s="62">
        <f t="shared" si="148"/>
        <v>243.47439640666289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0.22092930059031723</v>
      </c>
      <c r="CL183" s="23">
        <f>EXP(-LN(2)/25)*CL182+(1-EXP(-LN(2)/25))/(LN(2)/25)*Calculateur!CG183*Calculateur!CI183*VLOOKUP('Données projet'!$B$12,Paramètres!$A$1:$I$89,3,0)*0.475*44/12</f>
        <v>0.28280158596804195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0.50373088655835918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0</v>
      </c>
      <c r="CZ183" s="62">
        <f t="shared" si="150"/>
        <v>0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-2.5420376914553347E-13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388.88381485322674</v>
      </c>
      <c r="T184" s="62">
        <f t="shared" si="142"/>
        <v>355.82695155276218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1.1159670690047085</v>
      </c>
      <c r="AA184" s="23">
        <f>EXP(-LN(2)/25)*AA183+(1-EXP(-LN(2)/25))/(LN(2)/25)*Calculateur!V184*Calculateur!X184*VLOOKUP('Données projet'!$B$9,Paramètres!$A$1:$I$89,3,0)*0.475*44/12</f>
        <v>0.2129623754288153</v>
      </c>
      <c r="AB184" s="23">
        <f>EXP(-LN(2)/2)*AB183+(1-EXP(-LN(2)/2))/(LN(2)/2)*V184*Y184*VLOOKUP('Données projet'!$B$9,Paramètres!$A$1:$I$89,3,0)*0.475*44/12</f>
        <v>9.0763809194536272E-23</v>
      </c>
      <c r="AC184" s="24">
        <f t="shared" si="163"/>
        <v>1.3289294444335238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4.9658410716801891E-14</v>
      </c>
      <c r="AK184" s="14">
        <f t="shared" si="164"/>
        <v>8.0934058173791862E-13</v>
      </c>
      <c r="AL184" s="22">
        <f t="shared" si="165"/>
        <v>1.4960899118586383E-12</v>
      </c>
      <c r="AM184" s="62">
        <f t="shared" si="113"/>
        <v>293.33333333333479</v>
      </c>
      <c r="AN184" s="62">
        <f ca="1">AVERAGE(OFFSET($AM$3,0,0,'Données projet'!$E$10+1,1))-AVERAGE(OFFSET($H$3,0,0,'Données projet'!$E$10+1,1))</f>
        <v>321.62968871874483</v>
      </c>
      <c r="AO184" s="62">
        <f t="shared" si="144"/>
        <v>389.91636841473559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0.18368828255480857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6.8378702609685638E-22</v>
      </c>
      <c r="AX184" s="23">
        <f t="shared" si="166"/>
        <v>0.18368828255480857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317.99999999999972</v>
      </c>
      <c r="BE184" s="14">
        <f>BD184*VLOOKUP('Données projet'!$B$11,Paramètres!$A$1:$I$89,3,0)*VLOOKUP('Données projet'!$B$11,Paramètres!$A$1:$I$89,5,0)</f>
        <v>233.1575999999998</v>
      </c>
      <c r="BF184" s="14">
        <f t="shared" si="167"/>
        <v>56.964885721091697</v>
      </c>
      <c r="BG184" s="22">
        <f t="shared" si="168"/>
        <v>505.29666263090093</v>
      </c>
      <c r="BH184" s="62">
        <f t="shared" si="116"/>
        <v>798.62999596423424</v>
      </c>
      <c r="BI184" s="62">
        <f ca="1">AVERAGE(OFFSET($BH$3,0,0,'Données projet'!$E$11+1,1))-AVERAGE(OFFSET($H$3,0,0,'Données projet'!$E$11+1,1))</f>
        <v>327.81662150328646</v>
      </c>
      <c r="BJ184" s="62">
        <f t="shared" si="146"/>
        <v>320.24200483294322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2.6665159426965598E-22</v>
      </c>
      <c r="BS184" s="24">
        <f t="shared" si="169"/>
        <v>2.6665159426965598E-22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1.5518253349000589E-14</v>
      </c>
      <c r="CA184" s="14">
        <f t="shared" si="170"/>
        <v>2.8958815659671149E-13</v>
      </c>
      <c r="CB184" s="22">
        <f t="shared" si="171"/>
        <v>5.3139366398878183E-13</v>
      </c>
      <c r="CC184" s="62">
        <f t="shared" si="119"/>
        <v>293.33333333333383</v>
      </c>
      <c r="CD184" s="62">
        <f ca="1">AVERAGE(OFFSET($CC$3,0,0,'Données projet'!$E$12+1,1))-AVERAGE(OFFSET($H$3,0,0,'Données projet'!$E$12+1,1))</f>
        <v>170.27677128684815</v>
      </c>
      <c r="CE184" s="62">
        <f t="shared" si="148"/>
        <v>243.47439640666289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0.21659701175930868</v>
      </c>
      <c r="CL184" s="23">
        <f>EXP(-LN(2)/25)*CL183+(1-EXP(-LN(2)/25))/(LN(2)/25)*Calculateur!CG184*Calculateur!CI184*VLOOKUP('Données projet'!$B$12,Paramètres!$A$1:$I$89,3,0)*0.475*44/12</f>
        <v>0.27506836172785676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0.49166537348716544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0</v>
      </c>
      <c r="CZ184" s="62">
        <f t="shared" si="150"/>
        <v>0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-2.5420376914553347E-13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388.88381485322674</v>
      </c>
      <c r="T185" s="62">
        <f t="shared" si="142"/>
        <v>355.82695155276218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1.0940836354542274</v>
      </c>
      <c r="AA185" s="23">
        <f>EXP(-LN(2)/25)*AA184+(1-EXP(-LN(2)/25))/(LN(2)/25)*Calculateur!V185*Calculateur!X185*VLOOKUP('Données projet'!$B$9,Paramètres!$A$1:$I$89,3,0)*0.475*44/12</f>
        <v>0.20713890807350976</v>
      </c>
      <c r="AB185" s="23">
        <f>EXP(-LN(2)/2)*AB184+(1-EXP(-LN(2)/2))/(LN(2)/2)*V185*Y185*VLOOKUP('Données projet'!$B$9,Paramètres!$A$1:$I$89,3,0)*0.475*44/12</f>
        <v>6.417970496777851E-23</v>
      </c>
      <c r="AC185" s="24">
        <f t="shared" si="163"/>
        <v>1.3012225435277371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4.9658410716801891E-14</v>
      </c>
      <c r="AK185" s="14">
        <f t="shared" si="164"/>
        <v>8.0934058173791862E-13</v>
      </c>
      <c r="AL185" s="22">
        <f t="shared" si="165"/>
        <v>1.4960899118586383E-12</v>
      </c>
      <c r="AM185" s="62">
        <f t="shared" si="113"/>
        <v>293.33333333333479</v>
      </c>
      <c r="AN185" s="62">
        <f ca="1">AVERAGE(OFFSET($AM$3,0,0,'Données projet'!$E$10+1,1))-AVERAGE(OFFSET($H$3,0,0,'Données projet'!$E$10+1,1))</f>
        <v>321.62968871874483</v>
      </c>
      <c r="AO185" s="62">
        <f t="shared" si="144"/>
        <v>389.91636841473559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0.18008626737269823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4.8351044304046988E-22</v>
      </c>
      <c r="AX185" s="23">
        <f t="shared" si="166"/>
        <v>0.18008626737269823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317.99999999999972</v>
      </c>
      <c r="BE185" s="14">
        <f>BD185*VLOOKUP('Données projet'!$B$11,Paramètres!$A$1:$I$89,3,0)*VLOOKUP('Données projet'!$B$11,Paramètres!$A$1:$I$89,5,0)</f>
        <v>233.1575999999998</v>
      </c>
      <c r="BF185" s="14">
        <f t="shared" si="167"/>
        <v>56.964885721091697</v>
      </c>
      <c r="BG185" s="22">
        <f t="shared" si="168"/>
        <v>505.29666263090093</v>
      </c>
      <c r="BH185" s="62">
        <f t="shared" si="116"/>
        <v>798.62999596423424</v>
      </c>
      <c r="BI185" s="62">
        <f ca="1">AVERAGE(OFFSET($BH$3,0,0,'Données projet'!$E$11+1,1))-AVERAGE(OFFSET($H$3,0,0,'Données projet'!$E$11+1,1))</f>
        <v>327.81662150328646</v>
      </c>
      <c r="BJ185" s="62">
        <f t="shared" si="146"/>
        <v>320.24200483294322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1.8855115052227768E-22</v>
      </c>
      <c r="BS185" s="24">
        <f t="shared" si="169"/>
        <v>1.8855115052227768E-22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1.5518253349000589E-14</v>
      </c>
      <c r="CA185" s="14">
        <f t="shared" si="170"/>
        <v>2.8958815659671149E-13</v>
      </c>
      <c r="CB185" s="22">
        <f t="shared" si="171"/>
        <v>5.3139366398878183E-13</v>
      </c>
      <c r="CC185" s="62">
        <f t="shared" si="119"/>
        <v>293.33333333333383</v>
      </c>
      <c r="CD185" s="62">
        <f ca="1">AVERAGE(OFFSET($CC$3,0,0,'Données projet'!$E$12+1,1))-AVERAGE(OFFSET($H$3,0,0,'Données projet'!$E$12+1,1))</f>
        <v>170.27677128684815</v>
      </c>
      <c r="CE185" s="62">
        <f t="shared" si="148"/>
        <v>243.47439640666289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0.2123496764698409</v>
      </c>
      <c r="CL185" s="23">
        <f>EXP(-LN(2)/25)*CL184+(1-EXP(-LN(2)/25))/(LN(2)/25)*Calculateur!CG185*Calculateur!CI185*VLOOKUP('Données projet'!$B$12,Paramètres!$A$1:$I$89,3,0)*0.475*44/12</f>
        <v>0.26754660291119203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0.47989627938103296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0</v>
      </c>
      <c r="CZ185" s="62">
        <f t="shared" si="150"/>
        <v>0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-2.5420376914553347E-13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388.88381485322674</v>
      </c>
      <c r="T186" s="62">
        <f t="shared" si="142"/>
        <v>355.82695155276218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1.0726293226880947</v>
      </c>
      <c r="AA186" s="23">
        <f>EXP(-LN(2)/25)*AA185+(1-EXP(-LN(2)/25))/(LN(2)/25)*Calculateur!V186*Calculateur!X186*VLOOKUP('Données projet'!$B$9,Paramètres!$A$1:$I$89,3,0)*0.475*44/12</f>
        <v>0.20147468373927788</v>
      </c>
      <c r="AB186" s="23">
        <f>EXP(-LN(2)/2)*AB185+(1-EXP(-LN(2)/2))/(LN(2)/2)*V186*Y186*VLOOKUP('Données projet'!$B$9,Paramètres!$A$1:$I$89,3,0)*0.475*44/12</f>
        <v>4.5381904597268136E-23</v>
      </c>
      <c r="AC186" s="24">
        <f t="shared" si="163"/>
        <v>1.2741040064273725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4.9658410716801891E-14</v>
      </c>
      <c r="AK186" s="14">
        <f t="shared" si="164"/>
        <v>8.0934058173791862E-13</v>
      </c>
      <c r="AL186" s="22">
        <f t="shared" si="165"/>
        <v>1.4960899118586383E-12</v>
      </c>
      <c r="AM186" s="62">
        <f t="shared" si="113"/>
        <v>293.33333333333479</v>
      </c>
      <c r="AN186" s="62">
        <f ca="1">AVERAGE(OFFSET($AM$3,0,0,'Données projet'!$E$10+1,1))-AVERAGE(OFFSET($H$3,0,0,'Données projet'!$E$10+1,1))</f>
        <v>321.62968871874483</v>
      </c>
      <c r="AO186" s="62">
        <f t="shared" si="144"/>
        <v>389.91636841473559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0.17655488551129675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3.4189351304842819E-22</v>
      </c>
      <c r="AX186" s="23">
        <f t="shared" si="166"/>
        <v>0.17655488551129675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317.99999999999972</v>
      </c>
      <c r="BE186" s="14">
        <f>BD186*VLOOKUP('Données projet'!$B$11,Paramètres!$A$1:$I$89,3,0)*VLOOKUP('Données projet'!$B$11,Paramètres!$A$1:$I$89,5,0)</f>
        <v>233.1575999999998</v>
      </c>
      <c r="BF186" s="14">
        <f t="shared" si="167"/>
        <v>56.964885721091697</v>
      </c>
      <c r="BG186" s="22">
        <f t="shared" si="168"/>
        <v>505.29666263090093</v>
      </c>
      <c r="BH186" s="62">
        <f t="shared" si="116"/>
        <v>798.62999596423424</v>
      </c>
      <c r="BI186" s="62">
        <f ca="1">AVERAGE(OFFSET($BH$3,0,0,'Données projet'!$E$11+1,1))-AVERAGE(OFFSET($H$3,0,0,'Données projet'!$E$11+1,1))</f>
        <v>327.81662150328646</v>
      </c>
      <c r="BJ186" s="62">
        <f t="shared" si="146"/>
        <v>320.24200483294322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1.3332579713482799E-22</v>
      </c>
      <c r="BS186" s="24">
        <f t="shared" si="169"/>
        <v>1.3332579713482799E-22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1.5518253349000589E-14</v>
      </c>
      <c r="CA186" s="14">
        <f t="shared" si="170"/>
        <v>2.8958815659671149E-13</v>
      </c>
      <c r="CB186" s="22">
        <f t="shared" si="171"/>
        <v>5.3139366398878183E-13</v>
      </c>
      <c r="CC186" s="62">
        <f t="shared" si="119"/>
        <v>293.33333333333383</v>
      </c>
      <c r="CD186" s="62">
        <f ca="1">AVERAGE(OFFSET($CC$3,0,0,'Données projet'!$E$12+1,1))-AVERAGE(OFFSET($H$3,0,0,'Données projet'!$E$12+1,1))</f>
        <v>170.27677128684815</v>
      </c>
      <c r="CE186" s="62">
        <f t="shared" si="148"/>
        <v>243.47439640666289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0.20818562883478089</v>
      </c>
      <c r="CL186" s="23">
        <f>EXP(-LN(2)/25)*CL185+(1-EXP(-LN(2)/25))/(LN(2)/25)*Calculateur!CG186*Calculateur!CI186*VLOOKUP('Données projet'!$B$12,Paramètres!$A$1:$I$89,3,0)*0.475*44/12</f>
        <v>0.26023052698492111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0.46841615581970197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0</v>
      </c>
      <c r="CZ186" s="62">
        <f t="shared" si="150"/>
        <v>0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-2.5420376914553347E-13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388.88381485322674</v>
      </c>
      <c r="T187" s="62">
        <f t="shared" si="142"/>
        <v>355.82695155276218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1.0515957159094673</v>
      </c>
      <c r="AA187" s="23">
        <f>EXP(-LN(2)/25)*AA186+(1-EXP(-LN(2)/25))/(LN(2)/25)*Calculateur!V187*Calculateur!X187*VLOOKUP('Données projet'!$B$9,Paramètres!$A$1:$I$89,3,0)*0.475*44/12</f>
        <v>0.19596534791733419</v>
      </c>
      <c r="AB187" s="23">
        <f>EXP(-LN(2)/2)*AB186+(1-EXP(-LN(2)/2))/(LN(2)/2)*V187*Y187*VLOOKUP('Données projet'!$B$9,Paramètres!$A$1:$I$89,3,0)*0.475*44/12</f>
        <v>3.2089852483889255E-23</v>
      </c>
      <c r="AC187" s="24">
        <f t="shared" si="163"/>
        <v>1.2475610638268015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4.9658410716801891E-14</v>
      </c>
      <c r="AK187" s="14">
        <f t="shared" si="164"/>
        <v>8.0934058173791862E-13</v>
      </c>
      <c r="AL187" s="22">
        <f t="shared" si="165"/>
        <v>1.4960899118586383E-12</v>
      </c>
      <c r="AM187" s="62">
        <f t="shared" si="113"/>
        <v>293.33333333333479</v>
      </c>
      <c r="AN187" s="62">
        <f ca="1">AVERAGE(OFFSET($AM$3,0,0,'Données projet'!$E$10+1,1))-AVERAGE(OFFSET($H$3,0,0,'Données projet'!$E$10+1,1))</f>
        <v>321.62968871874483</v>
      </c>
      <c r="AO187" s="62">
        <f t="shared" si="144"/>
        <v>389.91636841473559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0.17309275189426709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2.4175522152023494E-22</v>
      </c>
      <c r="AX187" s="23">
        <f t="shared" si="166"/>
        <v>0.17309275189426709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317.99999999999972</v>
      </c>
      <c r="BE187" s="14">
        <f>BD187*VLOOKUP('Données projet'!$B$11,Paramètres!$A$1:$I$89,3,0)*VLOOKUP('Données projet'!$B$11,Paramètres!$A$1:$I$89,5,0)</f>
        <v>233.1575999999998</v>
      </c>
      <c r="BF187" s="14">
        <f t="shared" si="167"/>
        <v>56.964885721091697</v>
      </c>
      <c r="BG187" s="22">
        <f t="shared" si="168"/>
        <v>505.29666263090093</v>
      </c>
      <c r="BH187" s="62">
        <f t="shared" si="116"/>
        <v>798.62999596423424</v>
      </c>
      <c r="BI187" s="62">
        <f ca="1">AVERAGE(OFFSET($BH$3,0,0,'Données projet'!$E$11+1,1))-AVERAGE(OFFSET($H$3,0,0,'Données projet'!$E$11+1,1))</f>
        <v>327.81662150328646</v>
      </c>
      <c r="BJ187" s="62">
        <f t="shared" si="146"/>
        <v>320.24200483294322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9.4275575261138841E-23</v>
      </c>
      <c r="BS187" s="24">
        <f t="shared" si="169"/>
        <v>9.4275575261138841E-23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1.5518253349000589E-14</v>
      </c>
      <c r="CA187" s="14">
        <f t="shared" si="170"/>
        <v>2.8958815659671149E-13</v>
      </c>
      <c r="CB187" s="22">
        <f t="shared" si="171"/>
        <v>5.3139366398878183E-13</v>
      </c>
      <c r="CC187" s="62">
        <f t="shared" si="119"/>
        <v>293.33333333333383</v>
      </c>
      <c r="CD187" s="62">
        <f ca="1">AVERAGE(OFFSET($CC$3,0,0,'Données projet'!$E$12+1,1))-AVERAGE(OFFSET($H$3,0,0,'Données projet'!$E$12+1,1))</f>
        <v>170.27677128684815</v>
      </c>
      <c r="CE187" s="62">
        <f t="shared" si="148"/>
        <v>243.47439640666289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0.20410323563402613</v>
      </c>
      <c r="CL187" s="23">
        <f>EXP(-LN(2)/25)*CL186+(1-EXP(-LN(2)/25))/(LN(2)/25)*Calculateur!CG187*Calculateur!CI187*VLOOKUP('Données projet'!$B$12,Paramètres!$A$1:$I$89,3,0)*0.475*44/12</f>
        <v>0.2531145095395898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0.45721774517361591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0</v>
      </c>
      <c r="CZ187" s="62">
        <f t="shared" si="150"/>
        <v>0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-2.5420376914553347E-13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388.88381485322674</v>
      </c>
      <c r="T188" s="62">
        <f t="shared" si="142"/>
        <v>355.82695155276218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1.0309745653305353</v>
      </c>
      <c r="AA188" s="23">
        <f>EXP(-LN(2)/25)*AA187+(1-EXP(-LN(2)/25))/(LN(2)/25)*Calculateur!V188*Calculateur!X188*VLOOKUP('Données projet'!$B$9,Paramètres!$A$1:$I$89,3,0)*0.475*44/12</f>
        <v>0.19060666517316494</v>
      </c>
      <c r="AB188" s="23">
        <f>EXP(-LN(2)/2)*AB187+(1-EXP(-LN(2)/2))/(LN(2)/2)*V188*Y188*VLOOKUP('Données projet'!$B$9,Paramètres!$A$1:$I$89,3,0)*0.475*44/12</f>
        <v>2.2690952298634068E-23</v>
      </c>
      <c r="AC188" s="24">
        <f t="shared" si="163"/>
        <v>1.2215812305037002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4.9658410716801891E-14</v>
      </c>
      <c r="AK188" s="14">
        <f t="shared" si="164"/>
        <v>8.0934058173791862E-13</v>
      </c>
      <c r="AL188" s="22">
        <f t="shared" si="165"/>
        <v>1.4960899118586383E-12</v>
      </c>
      <c r="AM188" s="62">
        <f t="shared" si="113"/>
        <v>293.33333333333479</v>
      </c>
      <c r="AN188" s="62">
        <f ca="1">AVERAGE(OFFSET($AM$3,0,0,'Données projet'!$E$10+1,1))-AVERAGE(OFFSET($H$3,0,0,'Données projet'!$E$10+1,1))</f>
        <v>321.62968871874483</v>
      </c>
      <c r="AO188" s="62">
        <f t="shared" si="144"/>
        <v>389.91636841473559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0.1696985086057744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1.709467565242141E-22</v>
      </c>
      <c r="AX188" s="23">
        <f t="shared" si="166"/>
        <v>0.1696985086057744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317.99999999999972</v>
      </c>
      <c r="BE188" s="14">
        <f>BD188*VLOOKUP('Données projet'!$B$11,Paramètres!$A$1:$I$89,3,0)*VLOOKUP('Données projet'!$B$11,Paramètres!$A$1:$I$89,5,0)</f>
        <v>233.1575999999998</v>
      </c>
      <c r="BF188" s="14">
        <f t="shared" si="167"/>
        <v>56.964885721091697</v>
      </c>
      <c r="BG188" s="22">
        <f t="shared" si="168"/>
        <v>505.29666263090093</v>
      </c>
      <c r="BH188" s="62">
        <f t="shared" si="116"/>
        <v>798.62999596423424</v>
      </c>
      <c r="BI188" s="62">
        <f ca="1">AVERAGE(OFFSET($BH$3,0,0,'Données projet'!$E$11+1,1))-AVERAGE(OFFSET($H$3,0,0,'Données projet'!$E$11+1,1))</f>
        <v>327.81662150328646</v>
      </c>
      <c r="BJ188" s="62">
        <f t="shared" si="146"/>
        <v>320.24200483294322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6.6662898567413995E-23</v>
      </c>
      <c r="BS188" s="24">
        <f t="shared" si="169"/>
        <v>6.6662898567413995E-23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1.5518253349000589E-14</v>
      </c>
      <c r="CA188" s="14">
        <f t="shared" si="170"/>
        <v>2.8958815659671149E-13</v>
      </c>
      <c r="CB188" s="22">
        <f t="shared" si="171"/>
        <v>5.3139366398878183E-13</v>
      </c>
      <c r="CC188" s="62">
        <f t="shared" si="119"/>
        <v>293.33333333333383</v>
      </c>
      <c r="CD188" s="62">
        <f ca="1">AVERAGE(OFFSET($CC$3,0,0,'Données projet'!$E$12+1,1))-AVERAGE(OFFSET($H$3,0,0,'Données projet'!$E$12+1,1))</f>
        <v>170.27677128684815</v>
      </c>
      <c r="CE188" s="62">
        <f t="shared" si="148"/>
        <v>243.47439640666289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0.2001008956739242</v>
      </c>
      <c r="CL188" s="23">
        <f>EXP(-LN(2)/25)*CL187+(1-EXP(-LN(2)/25))/(LN(2)/25)*Calculateur!CG188*Calculateur!CI188*VLOOKUP('Données projet'!$B$12,Paramètres!$A$1:$I$89,3,0)*0.475*44/12</f>
        <v>0.24619307996551618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0.4462939756394404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0</v>
      </c>
      <c r="CZ188" s="62">
        <f t="shared" si="150"/>
        <v>0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-2.5420376914553347E-13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388.88381485322674</v>
      </c>
      <c r="T189" s="62">
        <f t="shared" si="142"/>
        <v>355.82695155276218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1.0107577829367964</v>
      </c>
      <c r="AA189" s="23">
        <f>EXP(-LN(2)/25)*AA188+(1-EXP(-LN(2)/25))/(LN(2)/25)*Calculateur!V189*Calculateur!X189*VLOOKUP('Données projet'!$B$9,Paramètres!$A$1:$I$89,3,0)*0.475*44/12</f>
        <v>0.18539451589043585</v>
      </c>
      <c r="AB189" s="23">
        <f>EXP(-LN(2)/2)*AB188+(1-EXP(-LN(2)/2))/(LN(2)/2)*V189*Y189*VLOOKUP('Données projet'!$B$9,Paramètres!$A$1:$I$89,3,0)*0.475*44/12</f>
        <v>1.6044926241944627E-23</v>
      </c>
      <c r="AC189" s="24">
        <f t="shared" si="163"/>
        <v>1.1961522988272322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4.9658410716801891E-14</v>
      </c>
      <c r="AK189" s="14">
        <f t="shared" si="164"/>
        <v>8.0934058173791862E-13</v>
      </c>
      <c r="AL189" s="22">
        <f t="shared" si="165"/>
        <v>1.4960899118586383E-12</v>
      </c>
      <c r="AM189" s="62">
        <f t="shared" si="113"/>
        <v>293.33333333333479</v>
      </c>
      <c r="AN189" s="62">
        <f ca="1">AVERAGE(OFFSET($AM$3,0,0,'Données projet'!$E$10+1,1))-AVERAGE(OFFSET($H$3,0,0,'Données projet'!$E$10+1,1))</f>
        <v>321.62968871874483</v>
      </c>
      <c r="AO189" s="62">
        <f t="shared" si="144"/>
        <v>389.91636841473559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0.16637082435788506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1.2087761076011747E-22</v>
      </c>
      <c r="AX189" s="23">
        <f t="shared" si="166"/>
        <v>0.16637082435788506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317.99999999999972</v>
      </c>
      <c r="BE189" s="14">
        <f>BD189*VLOOKUP('Données projet'!$B$11,Paramètres!$A$1:$I$89,3,0)*VLOOKUP('Données projet'!$B$11,Paramètres!$A$1:$I$89,5,0)</f>
        <v>233.1575999999998</v>
      </c>
      <c r="BF189" s="14">
        <f t="shared" si="167"/>
        <v>56.964885721091697</v>
      </c>
      <c r="BG189" s="22">
        <f t="shared" si="168"/>
        <v>505.29666263090093</v>
      </c>
      <c r="BH189" s="62">
        <f t="shared" si="116"/>
        <v>798.62999596423424</v>
      </c>
      <c r="BI189" s="62">
        <f ca="1">AVERAGE(OFFSET($BH$3,0,0,'Données projet'!$E$11+1,1))-AVERAGE(OFFSET($H$3,0,0,'Données projet'!$E$11+1,1))</f>
        <v>327.81662150328646</v>
      </c>
      <c r="BJ189" s="62">
        <f t="shared" si="146"/>
        <v>320.24200483294322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4.713778763056942E-23</v>
      </c>
      <c r="BS189" s="24">
        <f t="shared" si="169"/>
        <v>4.713778763056942E-23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1.5518253349000589E-14</v>
      </c>
      <c r="CA189" s="14">
        <f t="shared" si="170"/>
        <v>2.8958815659671149E-13</v>
      </c>
      <c r="CB189" s="22">
        <f t="shared" si="171"/>
        <v>5.3139366398878183E-13</v>
      </c>
      <c r="CC189" s="62">
        <f t="shared" si="119"/>
        <v>293.33333333333383</v>
      </c>
      <c r="CD189" s="62">
        <f ca="1">AVERAGE(OFFSET($CC$3,0,0,'Données projet'!$E$12+1,1))-AVERAGE(OFFSET($H$3,0,0,'Données projet'!$E$12+1,1))</f>
        <v>170.27677128684815</v>
      </c>
      <c r="CE189" s="62">
        <f t="shared" si="148"/>
        <v>243.47439640666289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0.19617703915925352</v>
      </c>
      <c r="CL189" s="23">
        <f>EXP(-LN(2)/25)*CL188+(1-EXP(-LN(2)/25))/(LN(2)/25)*Calculateur!CG189*Calculateur!CI189*VLOOKUP('Données projet'!$B$12,Paramètres!$A$1:$I$89,3,0)*0.475*44/12</f>
        <v>0.23946091724712773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0.43563795640638125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0</v>
      </c>
      <c r="CZ189" s="62">
        <f t="shared" si="150"/>
        <v>0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-2.5420376914553347E-13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388.88381485322674</v>
      </c>
      <c r="T190" s="62">
        <f t="shared" si="142"/>
        <v>355.82695155276218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0.99093743931477896</v>
      </c>
      <c r="AA190" s="23">
        <f>EXP(-LN(2)/25)*AA189+(1-EXP(-LN(2)/25))/(LN(2)/25)*Calculateur!V190*Calculateur!X190*VLOOKUP('Données projet'!$B$9,Paramètres!$A$1:$I$89,3,0)*0.475*44/12</f>
        <v>0.18032489310393801</v>
      </c>
      <c r="AB190" s="23">
        <f>EXP(-LN(2)/2)*AB189+(1-EXP(-LN(2)/2))/(LN(2)/2)*V190*Y190*VLOOKUP('Données projet'!$B$9,Paramètres!$A$1:$I$89,3,0)*0.475*44/12</f>
        <v>1.1345476149317034E-23</v>
      </c>
      <c r="AC190" s="24">
        <f t="shared" si="163"/>
        <v>1.171262332418717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4.9658410716801891E-14</v>
      </c>
      <c r="AK190" s="14">
        <f t="shared" si="164"/>
        <v>8.0934058173791862E-13</v>
      </c>
      <c r="AL190" s="22">
        <f t="shared" si="165"/>
        <v>1.4960899118586383E-12</v>
      </c>
      <c r="AM190" s="62">
        <f t="shared" si="113"/>
        <v>293.33333333333479</v>
      </c>
      <c r="AN190" s="62">
        <f ca="1">AVERAGE(OFFSET($AM$3,0,0,'Données projet'!$E$10+1,1))-AVERAGE(OFFSET($H$3,0,0,'Données projet'!$E$10+1,1))</f>
        <v>321.62968871874483</v>
      </c>
      <c r="AO190" s="62">
        <f t="shared" si="144"/>
        <v>389.91636841473559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0.16310839396840984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8.5473378262107048E-23</v>
      </c>
      <c r="AX190" s="23">
        <f t="shared" si="166"/>
        <v>0.16310839396840984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317.99999999999972</v>
      </c>
      <c r="BE190" s="14">
        <f>BD190*VLOOKUP('Données projet'!$B$11,Paramètres!$A$1:$I$89,3,0)*VLOOKUP('Données projet'!$B$11,Paramètres!$A$1:$I$89,5,0)</f>
        <v>233.1575999999998</v>
      </c>
      <c r="BF190" s="14">
        <f t="shared" si="167"/>
        <v>56.964885721091697</v>
      </c>
      <c r="BG190" s="22">
        <f t="shared" si="168"/>
        <v>505.29666263090093</v>
      </c>
      <c r="BH190" s="62">
        <f t="shared" si="116"/>
        <v>798.62999596423424</v>
      </c>
      <c r="BI190" s="62">
        <f ca="1">AVERAGE(OFFSET($BH$3,0,0,'Données projet'!$E$11+1,1))-AVERAGE(OFFSET($H$3,0,0,'Données projet'!$E$11+1,1))</f>
        <v>327.81662150328646</v>
      </c>
      <c r="BJ190" s="62">
        <f t="shared" si="146"/>
        <v>320.24200483294322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3.3331449283706997E-23</v>
      </c>
      <c r="BS190" s="24">
        <f t="shared" si="169"/>
        <v>3.3331449283706997E-23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1.5518253349000589E-14</v>
      </c>
      <c r="CA190" s="14">
        <f t="shared" si="170"/>
        <v>2.8958815659671149E-13</v>
      </c>
      <c r="CB190" s="22">
        <f t="shared" si="171"/>
        <v>5.3139366398878183E-13</v>
      </c>
      <c r="CC190" s="62">
        <f t="shared" si="119"/>
        <v>293.33333333333383</v>
      </c>
      <c r="CD190" s="62">
        <f ca="1">AVERAGE(OFFSET($CC$3,0,0,'Données projet'!$E$12+1,1))-AVERAGE(OFFSET($H$3,0,0,'Données projet'!$E$12+1,1))</f>
        <v>170.27677128684815</v>
      </c>
      <c r="CE190" s="62">
        <f t="shared" si="148"/>
        <v>243.47439640666289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0.1923301270775194</v>
      </c>
      <c r="CL190" s="23">
        <f>EXP(-LN(2)/25)*CL189+(1-EXP(-LN(2)/25))/(LN(2)/25)*Calculateur!CG190*Calculateur!CI190*VLOOKUP('Données projet'!$B$12,Paramètres!$A$1:$I$89,3,0)*0.475*44/12</f>
        <v>0.23291284587230268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0.42524297294982205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0</v>
      </c>
      <c r="CZ190" s="62">
        <f t="shared" si="150"/>
        <v>0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-2.5420376914553347E-13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388.88381485322674</v>
      </c>
      <c r="T191" s="62">
        <f t="shared" si="142"/>
        <v>355.82695155276218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0.97150576054197335</v>
      </c>
      <c r="AA191" s="23">
        <f>EXP(-LN(2)/25)*AA190+(1-EXP(-LN(2)/25))/(LN(2)/25)*Calculateur!V191*Calculateur!X191*VLOOKUP('Données projet'!$B$9,Paramètres!$A$1:$I$89,3,0)*0.475*44/12</f>
        <v>0.17539389941913683</v>
      </c>
      <c r="AB191" s="23">
        <f>EXP(-LN(2)/2)*AB190+(1-EXP(-LN(2)/2))/(LN(2)/2)*V191*Y191*VLOOKUP('Données projet'!$B$9,Paramètres!$A$1:$I$89,3,0)*0.475*44/12</f>
        <v>8.0224631209723137E-24</v>
      </c>
      <c r="AC191" s="24">
        <f t="shared" si="163"/>
        <v>1.1468996599611101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4.9658410716801891E-14</v>
      </c>
      <c r="AK191" s="14">
        <f t="shared" si="164"/>
        <v>8.0934058173791862E-13</v>
      </c>
      <c r="AL191" s="22">
        <f t="shared" si="165"/>
        <v>1.4960899118586383E-12</v>
      </c>
      <c r="AM191" s="62">
        <f t="shared" si="113"/>
        <v>293.33333333333479</v>
      </c>
      <c r="AN191" s="62">
        <f ca="1">AVERAGE(OFFSET($AM$3,0,0,'Données projet'!$E$10+1,1))-AVERAGE(OFFSET($H$3,0,0,'Données projet'!$E$10+1,1))</f>
        <v>321.62968871874483</v>
      </c>
      <c r="AO191" s="62">
        <f t="shared" si="144"/>
        <v>389.91636841473559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0.15990993784898619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6.0438805380058735E-23</v>
      </c>
      <c r="AX191" s="23">
        <f t="shared" si="166"/>
        <v>0.15990993784898619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317.99999999999972</v>
      </c>
      <c r="BE191" s="14">
        <f>BD191*VLOOKUP('Données projet'!$B$11,Paramètres!$A$1:$I$89,3,0)*VLOOKUP('Données projet'!$B$11,Paramètres!$A$1:$I$89,5,0)</f>
        <v>233.1575999999998</v>
      </c>
      <c r="BF191" s="14">
        <f t="shared" si="167"/>
        <v>56.964885721091697</v>
      </c>
      <c r="BG191" s="22">
        <f t="shared" si="168"/>
        <v>505.29666263090093</v>
      </c>
      <c r="BH191" s="62">
        <f t="shared" si="116"/>
        <v>798.62999596423424</v>
      </c>
      <c r="BI191" s="62">
        <f ca="1">AVERAGE(OFFSET($BH$3,0,0,'Données projet'!$E$11+1,1))-AVERAGE(OFFSET($H$3,0,0,'Données projet'!$E$11+1,1))</f>
        <v>327.81662150328646</v>
      </c>
      <c r="BJ191" s="62">
        <f t="shared" si="146"/>
        <v>320.24200483294322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2.356889381528471E-23</v>
      </c>
      <c r="BS191" s="24">
        <f t="shared" si="169"/>
        <v>2.356889381528471E-23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1.5518253349000589E-14</v>
      </c>
      <c r="CA191" s="14">
        <f t="shared" si="170"/>
        <v>2.8958815659671149E-13</v>
      </c>
      <c r="CB191" s="22">
        <f t="shared" si="171"/>
        <v>5.3139366398878183E-13</v>
      </c>
      <c r="CC191" s="62">
        <f t="shared" si="119"/>
        <v>293.33333333333383</v>
      </c>
      <c r="CD191" s="62">
        <f ca="1">AVERAGE(OFFSET($CC$3,0,0,'Données projet'!$E$12+1,1))-AVERAGE(OFFSET($H$3,0,0,'Données projet'!$E$12+1,1))</f>
        <v>170.27677128684815</v>
      </c>
      <c r="CE191" s="62">
        <f t="shared" si="148"/>
        <v>243.47439640666289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0.18855865059532337</v>
      </c>
      <c r="CL191" s="23">
        <f>EXP(-LN(2)/25)*CL190+(1-EXP(-LN(2)/25))/(LN(2)/25)*Calculateur!CG191*Calculateur!CI191*VLOOKUP('Données projet'!$B$12,Paramètres!$A$1:$I$89,3,0)*0.475*44/12</f>
        <v>0.22654383185357033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0.41510248244889369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0</v>
      </c>
      <c r="CZ191" s="62">
        <f t="shared" si="150"/>
        <v>0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-2.5420376914553347E-13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388.88381485322674</v>
      </c>
      <c r="T192" s="62">
        <f t="shared" si="142"/>
        <v>355.82695155276218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0.95245512513774877</v>
      </c>
      <c r="AA192" s="23">
        <f>EXP(-LN(2)/25)*AA191+(1-EXP(-LN(2)/25))/(LN(2)/25)*Calculateur!V192*Calculateur!X192*VLOOKUP('Données projet'!$B$9,Paramètres!$A$1:$I$89,3,0)*0.475*44/12</f>
        <v>0.17059774401595623</v>
      </c>
      <c r="AB192" s="23">
        <f>EXP(-LN(2)/2)*AB191+(1-EXP(-LN(2)/2))/(LN(2)/2)*V192*Y192*VLOOKUP('Données projet'!$B$9,Paramètres!$A$1:$I$89,3,0)*0.475*44/12</f>
        <v>5.672738074658517E-24</v>
      </c>
      <c r="AC192" s="24">
        <f t="shared" si="163"/>
        <v>1.1230528691537049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4.9658410716801891E-14</v>
      </c>
      <c r="AK192" s="14">
        <f t="shared" si="164"/>
        <v>8.0934058173791862E-13</v>
      </c>
      <c r="AL192" s="22">
        <f t="shared" si="165"/>
        <v>1.4960899118586383E-12</v>
      </c>
      <c r="AM192" s="62">
        <f t="shared" si="113"/>
        <v>293.33333333333479</v>
      </c>
      <c r="AN192" s="62">
        <f ca="1">AVERAGE(OFFSET($AM$3,0,0,'Données projet'!$E$10+1,1))-AVERAGE(OFFSET($H$3,0,0,'Données projet'!$E$10+1,1))</f>
        <v>321.62968871874483</v>
      </c>
      <c r="AO192" s="62">
        <f t="shared" si="144"/>
        <v>389.91636841473559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0.15677420150319885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4.2736689131053524E-23</v>
      </c>
      <c r="AX192" s="23">
        <f t="shared" si="166"/>
        <v>0.15677420150319885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317.99999999999972</v>
      </c>
      <c r="BE192" s="14">
        <f>BD192*VLOOKUP('Données projet'!$B$11,Paramètres!$A$1:$I$89,3,0)*VLOOKUP('Données projet'!$B$11,Paramètres!$A$1:$I$89,5,0)</f>
        <v>233.1575999999998</v>
      </c>
      <c r="BF192" s="14">
        <f t="shared" si="167"/>
        <v>56.964885721091697</v>
      </c>
      <c r="BG192" s="22">
        <f t="shared" si="168"/>
        <v>505.29666263090093</v>
      </c>
      <c r="BH192" s="62">
        <f t="shared" si="116"/>
        <v>798.62999596423424</v>
      </c>
      <c r="BI192" s="62">
        <f ca="1">AVERAGE(OFFSET($BH$3,0,0,'Données projet'!$E$11+1,1))-AVERAGE(OFFSET($H$3,0,0,'Données projet'!$E$11+1,1))</f>
        <v>327.81662150328646</v>
      </c>
      <c r="BJ192" s="62">
        <f t="shared" si="146"/>
        <v>320.24200483294322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1.6665724641853499E-23</v>
      </c>
      <c r="BS192" s="24">
        <f t="shared" si="169"/>
        <v>1.6665724641853499E-23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1.5518253349000589E-14</v>
      </c>
      <c r="CA192" s="14">
        <f t="shared" si="170"/>
        <v>2.8958815659671149E-13</v>
      </c>
      <c r="CB192" s="22">
        <f t="shared" si="171"/>
        <v>5.3139366398878183E-13</v>
      </c>
      <c r="CC192" s="62">
        <f t="shared" si="119"/>
        <v>293.33333333333383</v>
      </c>
      <c r="CD192" s="62">
        <f ca="1">AVERAGE(OFFSET($CC$3,0,0,'Données projet'!$E$12+1,1))-AVERAGE(OFFSET($H$3,0,0,'Données projet'!$E$12+1,1))</f>
        <v>170.27677128684815</v>
      </c>
      <c r="CE192" s="62">
        <f t="shared" si="148"/>
        <v>243.47439640666289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0.18486113046656971</v>
      </c>
      <c r="CL192" s="23">
        <f>EXP(-LN(2)/25)*CL191+(1-EXP(-LN(2)/25))/(LN(2)/25)*Calculateur!CG192*Calculateur!CI192*VLOOKUP('Données projet'!$B$12,Paramètres!$A$1:$I$89,3,0)*0.475*44/12</f>
        <v>0.22034897885811211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0.40521010932468182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0</v>
      </c>
      <c r="CZ192" s="62">
        <f t="shared" si="150"/>
        <v>0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-2.5420376914553347E-13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388.88381485322674</v>
      </c>
      <c r="T193" s="62">
        <f t="shared" si="142"/>
        <v>355.82695155276218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0.93377806107406081</v>
      </c>
      <c r="AA193" s="23">
        <f>EXP(-LN(2)/25)*AA192+(1-EXP(-LN(2)/25))/(LN(2)/25)*Calculateur!V193*Calculateur!X193*VLOOKUP('Données projet'!$B$9,Paramètres!$A$1:$I$89,3,0)*0.475*44/12</f>
        <v>0.16593273973449446</v>
      </c>
      <c r="AB193" s="23">
        <f>EXP(-LN(2)/2)*AB192+(1-EXP(-LN(2)/2))/(LN(2)/2)*V193*Y193*VLOOKUP('Données projet'!$B$9,Paramètres!$A$1:$I$89,3,0)*0.475*44/12</f>
        <v>4.0112315604861569E-24</v>
      </c>
      <c r="AC193" s="24">
        <f t="shared" si="163"/>
        <v>1.0997108008085552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4.9658410716801891E-14</v>
      </c>
      <c r="AK193" s="14">
        <f t="shared" si="164"/>
        <v>8.0934058173791862E-13</v>
      </c>
      <c r="AL193" s="22">
        <f t="shared" si="165"/>
        <v>1.4960899118586383E-12</v>
      </c>
      <c r="AM193" s="62">
        <f t="shared" si="113"/>
        <v>293.33333333333479</v>
      </c>
      <c r="AN193" s="62">
        <f ca="1">AVERAGE(OFFSET($AM$3,0,0,'Données projet'!$E$10+1,1))-AVERAGE(OFFSET($H$3,0,0,'Données projet'!$E$10+1,1))</f>
        <v>321.62968871874483</v>
      </c>
      <c r="AO193" s="62">
        <f t="shared" si="144"/>
        <v>389.91636841473559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0.15369995503454206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3.0219402690029367E-23</v>
      </c>
      <c r="AX193" s="23">
        <f t="shared" si="166"/>
        <v>0.15369995503454206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317.99999999999972</v>
      </c>
      <c r="BE193" s="14">
        <f>BD193*VLOOKUP('Données projet'!$B$11,Paramètres!$A$1:$I$89,3,0)*VLOOKUP('Données projet'!$B$11,Paramètres!$A$1:$I$89,5,0)</f>
        <v>233.1575999999998</v>
      </c>
      <c r="BF193" s="14">
        <f t="shared" si="167"/>
        <v>56.964885721091697</v>
      </c>
      <c r="BG193" s="22">
        <f t="shared" si="168"/>
        <v>505.29666263090093</v>
      </c>
      <c r="BH193" s="62">
        <f t="shared" si="116"/>
        <v>798.62999596423424</v>
      </c>
      <c r="BI193" s="62">
        <f ca="1">AVERAGE(OFFSET($BH$3,0,0,'Données projet'!$E$11+1,1))-AVERAGE(OFFSET($H$3,0,0,'Données projet'!$E$11+1,1))</f>
        <v>327.81662150328646</v>
      </c>
      <c r="BJ193" s="62">
        <f t="shared" si="146"/>
        <v>320.24200483294322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1.1784446907642355E-23</v>
      </c>
      <c r="BS193" s="24">
        <f t="shared" si="169"/>
        <v>1.1784446907642355E-23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1.5518253349000589E-14</v>
      </c>
      <c r="CA193" s="14">
        <f t="shared" si="170"/>
        <v>2.8958815659671149E-13</v>
      </c>
      <c r="CB193" s="22">
        <f t="shared" si="171"/>
        <v>5.3139366398878183E-13</v>
      </c>
      <c r="CC193" s="62">
        <f t="shared" si="119"/>
        <v>293.33333333333383</v>
      </c>
      <c r="CD193" s="62">
        <f ca="1">AVERAGE(OFFSET($CC$3,0,0,'Données projet'!$E$12+1,1))-AVERAGE(OFFSET($H$3,0,0,'Données projet'!$E$12+1,1))</f>
        <v>170.27677128684815</v>
      </c>
      <c r="CE193" s="62">
        <f t="shared" si="148"/>
        <v>243.47439640666289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0.18123611645227633</v>
      </c>
      <c r="CL193" s="23">
        <f>EXP(-LN(2)/25)*CL192+(1-EXP(-LN(2)/25))/(LN(2)/25)*Calculateur!CG193*Calculateur!CI193*VLOOKUP('Données projet'!$B$12,Paramètres!$A$1:$I$89,3,0)*0.475*44/12</f>
        <v>0.21432352444358785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0.39555964089586415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0</v>
      </c>
      <c r="CZ193" s="62">
        <f t="shared" si="150"/>
        <v>0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-2.5420376914553347E-13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388.88381485322674</v>
      </c>
      <c r="T194" s="62">
        <f t="shared" si="142"/>
        <v>355.82695155276218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0.91546724284477754</v>
      </c>
      <c r="AA194" s="23">
        <f>EXP(-LN(2)/25)*AA193+(1-EXP(-LN(2)/25))/(LN(2)/25)*Calculateur!V194*Calculateur!X194*VLOOKUP('Données projet'!$B$9,Paramètres!$A$1:$I$89,3,0)*0.475*44/12</f>
        <v>0.16139530024043117</v>
      </c>
      <c r="AB194" s="23">
        <f>EXP(-LN(2)/2)*AB193+(1-EXP(-LN(2)/2))/(LN(2)/2)*V194*Y194*VLOOKUP('Données projet'!$B$9,Paramètres!$A$1:$I$89,3,0)*0.475*44/12</f>
        <v>2.8363690373292585E-24</v>
      </c>
      <c r="AC194" s="24">
        <f t="shared" si="163"/>
        <v>1.0768625430852088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4.9658410716801891E-14</v>
      </c>
      <c r="AK194" s="14">
        <f t="shared" si="164"/>
        <v>8.0934058173791862E-13</v>
      </c>
      <c r="AL194" s="22">
        <f t="shared" si="165"/>
        <v>1.4960899118586383E-12</v>
      </c>
      <c r="AM194" s="62">
        <f t="shared" si="113"/>
        <v>293.33333333333479</v>
      </c>
      <c r="AN194" s="62">
        <f ca="1">AVERAGE(OFFSET($AM$3,0,0,'Données projet'!$E$10+1,1))-AVERAGE(OFFSET($H$3,0,0,'Données projet'!$E$10+1,1))</f>
        <v>321.62968871874483</v>
      </c>
      <c r="AO194" s="62">
        <f t="shared" si="144"/>
        <v>389.91636841473559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0.15068599266403043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2.1368344565526762E-23</v>
      </c>
      <c r="AX194" s="23">
        <f t="shared" si="166"/>
        <v>0.15068599266403043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317.99999999999972</v>
      </c>
      <c r="BE194" s="14">
        <f>BD194*VLOOKUP('Données projet'!$B$11,Paramètres!$A$1:$I$89,3,0)*VLOOKUP('Données projet'!$B$11,Paramètres!$A$1:$I$89,5,0)</f>
        <v>233.1575999999998</v>
      </c>
      <c r="BF194" s="14">
        <f t="shared" si="167"/>
        <v>56.964885721091697</v>
      </c>
      <c r="BG194" s="22">
        <f t="shared" si="168"/>
        <v>505.29666263090093</v>
      </c>
      <c r="BH194" s="62">
        <f t="shared" si="116"/>
        <v>798.62999596423424</v>
      </c>
      <c r="BI194" s="62">
        <f ca="1">AVERAGE(OFFSET($BH$3,0,0,'Données projet'!$E$11+1,1))-AVERAGE(OFFSET($H$3,0,0,'Données projet'!$E$11+1,1))</f>
        <v>327.81662150328646</v>
      </c>
      <c r="BJ194" s="62">
        <f t="shared" si="146"/>
        <v>320.24200483294322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8.3328623209267493E-24</v>
      </c>
      <c r="BS194" s="24">
        <f t="shared" si="169"/>
        <v>8.3328623209267493E-24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1.5518253349000589E-14</v>
      </c>
      <c r="CA194" s="14">
        <f t="shared" si="170"/>
        <v>2.8958815659671149E-13</v>
      </c>
      <c r="CB194" s="22">
        <f t="shared" si="171"/>
        <v>5.3139366398878183E-13</v>
      </c>
      <c r="CC194" s="62">
        <f t="shared" si="119"/>
        <v>293.33333333333383</v>
      </c>
      <c r="CD194" s="62">
        <f ca="1">AVERAGE(OFFSET($CC$3,0,0,'Données projet'!$E$12+1,1))-AVERAGE(OFFSET($H$3,0,0,'Données projet'!$E$12+1,1))</f>
        <v>170.27677128684815</v>
      </c>
      <c r="CE194" s="62">
        <f t="shared" si="148"/>
        <v>243.47439640666289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0.177682186751763</v>
      </c>
      <c r="CL194" s="23">
        <f>EXP(-LN(2)/25)*CL193+(1-EXP(-LN(2)/25))/(LN(2)/25)*Calculateur!CG194*Calculateur!CI194*VLOOKUP('Données projet'!$B$12,Paramètres!$A$1:$I$89,3,0)*0.475*44/12</f>
        <v>0.20846283639689364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0.38614502314865662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0</v>
      </c>
      <c r="CZ194" s="62">
        <f t="shared" si="150"/>
        <v>0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-2.5420376914553347E-13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388.88381485322674</v>
      </c>
      <c r="T195" s="62">
        <f t="shared" si="142"/>
        <v>355.82695155276218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0.89751548859247421</v>
      </c>
      <c r="AA195" s="23">
        <f>EXP(-LN(2)/25)*AA194+(1-EXP(-LN(2)/25))/(LN(2)/25)*Calculateur!V195*Calculateur!X195*VLOOKUP('Données projet'!$B$9,Paramètres!$A$1:$I$89,3,0)*0.475*44/12</f>
        <v>0.1569819372679466</v>
      </c>
      <c r="AB195" s="23">
        <f>EXP(-LN(2)/2)*AB194+(1-EXP(-LN(2)/2))/(LN(2)/2)*V195*Y195*VLOOKUP('Données projet'!$B$9,Paramètres!$A$1:$I$89,3,0)*0.475*44/12</f>
        <v>2.0056157802430784E-24</v>
      </c>
      <c r="AC195" s="24">
        <f t="shared" si="163"/>
        <v>1.0544974258604207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4.9658410716801891E-14</v>
      </c>
      <c r="AK195" s="14">
        <f t="shared" si="164"/>
        <v>8.0934058173791862E-13</v>
      </c>
      <c r="AL195" s="22">
        <f t="shared" si="165"/>
        <v>1.4960899118586383E-12</v>
      </c>
      <c r="AM195" s="62">
        <f t="shared" si="113"/>
        <v>293.33333333333479</v>
      </c>
      <c r="AN195" s="62">
        <f ca="1">AVERAGE(OFFSET($AM$3,0,0,'Données projet'!$E$10+1,1))-AVERAGE(OFFSET($H$3,0,0,'Données projet'!$E$10+1,1))</f>
        <v>321.62968871874483</v>
      </c>
      <c r="AO195" s="62">
        <f t="shared" si="144"/>
        <v>389.91636841473559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0.14773113225726903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1.5109701345014684E-23</v>
      </c>
      <c r="AX195" s="23">
        <f t="shared" si="166"/>
        <v>0.14773113225726903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317.99999999999972</v>
      </c>
      <c r="BE195" s="14">
        <f>BD195*VLOOKUP('Données projet'!$B$11,Paramètres!$A$1:$I$89,3,0)*VLOOKUP('Données projet'!$B$11,Paramètres!$A$1:$I$89,5,0)</f>
        <v>233.1575999999998</v>
      </c>
      <c r="BF195" s="14">
        <f t="shared" si="167"/>
        <v>56.964885721091697</v>
      </c>
      <c r="BG195" s="22">
        <f t="shared" si="168"/>
        <v>505.29666263090093</v>
      </c>
      <c r="BH195" s="62">
        <f t="shared" si="116"/>
        <v>798.62999596423424</v>
      </c>
      <c r="BI195" s="62">
        <f ca="1">AVERAGE(OFFSET($BH$3,0,0,'Données projet'!$E$11+1,1))-AVERAGE(OFFSET($H$3,0,0,'Données projet'!$E$11+1,1))</f>
        <v>327.81662150328646</v>
      </c>
      <c r="BJ195" s="62">
        <f t="shared" si="146"/>
        <v>320.24200483294322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5.8922234538211775E-24</v>
      </c>
      <c r="BS195" s="24">
        <f t="shared" si="169"/>
        <v>5.8922234538211775E-24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1.5518253349000589E-14</v>
      </c>
      <c r="CA195" s="14">
        <f t="shared" si="170"/>
        <v>2.8958815659671149E-13</v>
      </c>
      <c r="CB195" s="22">
        <f t="shared" si="171"/>
        <v>5.3139366398878183E-13</v>
      </c>
      <c r="CC195" s="62">
        <f t="shared" si="119"/>
        <v>293.33333333333383</v>
      </c>
      <c r="CD195" s="62">
        <f ca="1">AVERAGE(OFFSET($CC$3,0,0,'Données projet'!$E$12+1,1))-AVERAGE(OFFSET($H$3,0,0,'Données projet'!$E$12+1,1))</f>
        <v>170.27677128684815</v>
      </c>
      <c r="CE195" s="62">
        <f t="shared" si="148"/>
        <v>243.47439640666289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0.17419794744499367</v>
      </c>
      <c r="CL195" s="23">
        <f>EXP(-LN(2)/25)*CL194+(1-EXP(-LN(2)/25))/(LN(2)/25)*Calculateur!CG195*Calculateur!CI195*VLOOKUP('Données projet'!$B$12,Paramètres!$A$1:$I$89,3,0)*0.475*44/12</f>
        <v>0.20276240917303648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0.37696035661803018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0</v>
      </c>
      <c r="CZ195" s="62">
        <f t="shared" si="150"/>
        <v>0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-2.5420376914553347E-13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388.88381485322674</v>
      </c>
      <c r="T196" s="62">
        <f t="shared" si="142"/>
        <v>355.82695155276218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0.87991575729156957</v>
      </c>
      <c r="AA196" s="23">
        <f>EXP(-LN(2)/25)*AA195+(1-EXP(-LN(2)/25))/(LN(2)/25)*Calculateur!V196*Calculateur!X196*VLOOKUP('Données projet'!$B$9,Paramètres!$A$1:$I$89,3,0)*0.475*44/12</f>
        <v>0.15268925793803331</v>
      </c>
      <c r="AB196" s="23">
        <f>EXP(-LN(2)/2)*AB195+(1-EXP(-LN(2)/2))/(LN(2)/2)*V196*Y196*VLOOKUP('Données projet'!$B$9,Paramètres!$A$1:$I$89,3,0)*0.475*44/12</f>
        <v>1.4181845186646293E-24</v>
      </c>
      <c r="AC196" s="24">
        <f t="shared" si="163"/>
        <v>1.0326050152296029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4.9658410716801891E-14</v>
      </c>
      <c r="AK196" s="14">
        <f t="shared" si="164"/>
        <v>8.0934058173791862E-13</v>
      </c>
      <c r="AL196" s="22">
        <f t="shared" si="165"/>
        <v>1.4960899118586383E-12</v>
      </c>
      <c r="AM196" s="62">
        <f t="shared" ref="AM196:AM203" si="193">AL196+(AD196+AE196)*44/12</f>
        <v>293.33333333333479</v>
      </c>
      <c r="AN196" s="62">
        <f ca="1">AVERAGE(OFFSET($AM$3,0,0,'Données projet'!$E$10+1,1))-AVERAGE(OFFSET($H$3,0,0,'Données projet'!$E$10+1,1))</f>
        <v>321.62968871874483</v>
      </c>
      <c r="AO196" s="62">
        <f t="shared" si="144"/>
        <v>389.91636841473559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0.14483421486079731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1.0684172282763381E-23</v>
      </c>
      <c r="AX196" s="23">
        <f t="shared" si="166"/>
        <v>0.14483421486079731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317.99999999999972</v>
      </c>
      <c r="BE196" s="14">
        <f>BD196*VLOOKUP('Données projet'!$B$11,Paramètres!$A$1:$I$89,3,0)*VLOOKUP('Données projet'!$B$11,Paramètres!$A$1:$I$89,5,0)</f>
        <v>233.1575999999998</v>
      </c>
      <c r="BF196" s="14">
        <f t="shared" si="167"/>
        <v>56.964885721091697</v>
      </c>
      <c r="BG196" s="22">
        <f t="shared" si="168"/>
        <v>505.29666263090093</v>
      </c>
      <c r="BH196" s="62">
        <f t="shared" ref="BH196:BH203" si="194">BG196+(AY196+AZ196)*44/12</f>
        <v>798.62999596423424</v>
      </c>
      <c r="BI196" s="62">
        <f ca="1">AVERAGE(OFFSET($BH$3,0,0,'Données projet'!$E$11+1,1))-AVERAGE(OFFSET($H$3,0,0,'Données projet'!$E$11+1,1))</f>
        <v>327.81662150328646</v>
      </c>
      <c r="BJ196" s="62">
        <f t="shared" si="146"/>
        <v>320.24200483294322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4.1664311604633747E-24</v>
      </c>
      <c r="BS196" s="24">
        <f t="shared" si="169"/>
        <v>4.1664311604633747E-24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1.5518253349000589E-14</v>
      </c>
      <c r="CA196" s="14">
        <f t="shared" si="170"/>
        <v>2.8958815659671149E-13</v>
      </c>
      <c r="CB196" s="22">
        <f t="shared" si="171"/>
        <v>5.3139366398878183E-13</v>
      </c>
      <c r="CC196" s="62">
        <f t="shared" ref="CC196:CC203" si="195">CB196+(BT196+BU196)*44/12</f>
        <v>293.33333333333383</v>
      </c>
      <c r="CD196" s="62">
        <f ca="1">AVERAGE(OFFSET($CC$3,0,0,'Données projet'!$E$12+1,1))-AVERAGE(OFFSET($H$3,0,0,'Données projet'!$E$12+1,1))</f>
        <v>170.27677128684815</v>
      </c>
      <c r="CE196" s="62">
        <f t="shared" si="148"/>
        <v>243.47439640666289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0.17078203194585395</v>
      </c>
      <c r="CL196" s="23">
        <f>EXP(-LN(2)/25)*CL195+(1-EXP(-LN(2)/25))/(LN(2)/25)*Calculateur!CG196*Calculateur!CI196*VLOOKUP('Données projet'!$B$12,Paramètres!$A$1:$I$89,3,0)*0.475*44/12</f>
        <v>0.19721786043138811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0.36799989237724207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0</v>
      </c>
      <c r="CZ196" s="62">
        <f t="shared" si="150"/>
        <v>0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-2.5420376914553347E-13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388.88381485322674</v>
      </c>
      <c r="T197" s="62">
        <f t="shared" ref="T197:T203" si="204">$T$3</f>
        <v>355.82695155276218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0.86266114598669952</v>
      </c>
      <c r="AA197" s="23">
        <f>EXP(-LN(2)/25)*AA196+(1-EXP(-LN(2)/25))/(LN(2)/25)*Calculateur!V197*Calculateur!X197*VLOOKUP('Données projet'!$B$9,Paramètres!$A$1:$I$89,3,0)*0.475*44/12</f>
        <v>0.14851396215013871</v>
      </c>
      <c r="AB197" s="23">
        <f>EXP(-LN(2)/2)*AB196+(1-EXP(-LN(2)/2))/(LN(2)/2)*V197*Y197*VLOOKUP('Données projet'!$B$9,Paramètres!$A$1:$I$89,3,0)*0.475*44/12</f>
        <v>1.0028078901215392E-24</v>
      </c>
      <c r="AC197" s="24">
        <f t="shared" si="163"/>
        <v>1.0111751081368383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4.9658410716801891E-14</v>
      </c>
      <c r="AK197" s="14">
        <f t="shared" si="164"/>
        <v>8.0934058173791862E-13</v>
      </c>
      <c r="AL197" s="22">
        <f t="shared" si="165"/>
        <v>1.4960899118586383E-12</v>
      </c>
      <c r="AM197" s="62">
        <f t="shared" si="193"/>
        <v>293.33333333333479</v>
      </c>
      <c r="AN197" s="62">
        <f ca="1">AVERAGE(OFFSET($AM$3,0,0,'Données projet'!$E$10+1,1))-AVERAGE(OFFSET($H$3,0,0,'Données projet'!$E$10+1,1))</f>
        <v>321.62968871874483</v>
      </c>
      <c r="AO197" s="62">
        <f t="shared" ref="AO197:AO203" si="205">$AO$3</f>
        <v>389.91636841473559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0.14199410424752529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7.5548506725073418E-24</v>
      </c>
      <c r="AX197" s="23">
        <f t="shared" si="166"/>
        <v>0.14199410424752529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317.99999999999972</v>
      </c>
      <c r="BE197" s="14">
        <f>BD197*VLOOKUP('Données projet'!$B$11,Paramètres!$A$1:$I$89,3,0)*VLOOKUP('Données projet'!$B$11,Paramètres!$A$1:$I$89,5,0)</f>
        <v>233.1575999999998</v>
      </c>
      <c r="BF197" s="14">
        <f t="shared" si="167"/>
        <v>56.964885721091697</v>
      </c>
      <c r="BG197" s="22">
        <f t="shared" si="168"/>
        <v>505.29666263090093</v>
      </c>
      <c r="BH197" s="62">
        <f t="shared" si="194"/>
        <v>798.62999596423424</v>
      </c>
      <c r="BI197" s="62">
        <f ca="1">AVERAGE(OFFSET($BH$3,0,0,'Données projet'!$E$11+1,1))-AVERAGE(OFFSET($H$3,0,0,'Données projet'!$E$11+1,1))</f>
        <v>327.81662150328646</v>
      </c>
      <c r="BJ197" s="62">
        <f t="shared" ref="BJ197:BJ203" si="206">$BJ$3</f>
        <v>320.24200483294322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2.9461117269105888E-24</v>
      </c>
      <c r="BS197" s="24">
        <f t="shared" si="169"/>
        <v>2.9461117269105888E-24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1.5518253349000589E-14</v>
      </c>
      <c r="CA197" s="14">
        <f t="shared" si="170"/>
        <v>2.8958815659671149E-13</v>
      </c>
      <c r="CB197" s="22">
        <f t="shared" si="171"/>
        <v>5.3139366398878183E-13</v>
      </c>
      <c r="CC197" s="62">
        <f t="shared" si="195"/>
        <v>293.33333333333383</v>
      </c>
      <c r="CD197" s="62">
        <f ca="1">AVERAGE(OFFSET($CC$3,0,0,'Données projet'!$E$12+1,1))-AVERAGE(OFFSET($H$3,0,0,'Données projet'!$E$12+1,1))</f>
        <v>170.27677128684815</v>
      </c>
      <c r="CE197" s="62">
        <f t="shared" ref="CE197:CE203" si="207">$CE$3</f>
        <v>243.47439640666289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0.16743310046614962</v>
      </c>
      <c r="CL197" s="23">
        <f>EXP(-LN(2)/25)*CL196+(1-EXP(-LN(2)/25))/(LN(2)/25)*Calculateur!CG197*Calculateur!CI197*VLOOKUP('Données projet'!$B$12,Paramètres!$A$1:$I$89,3,0)*0.475*44/12</f>
        <v>0.19182492766665526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0.35925802813280489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0</v>
      </c>
      <c r="CZ197" s="62">
        <f t="shared" ref="CZ197:CZ203" si="208">$CZ$3</f>
        <v>0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-2.5420376914553347E-13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388.88381485322674</v>
      </c>
      <c r="T198" s="62">
        <f t="shared" si="204"/>
        <v>355.82695155276218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0.84574488708524431</v>
      </c>
      <c r="AA198" s="23">
        <f>EXP(-LN(2)/25)*AA197+(1-EXP(-LN(2)/25))/(LN(2)/25)*Calculateur!V198*Calculateur!X198*VLOOKUP('Données projet'!$B$9,Paramètres!$A$1:$I$89,3,0)*0.475*44/12</f>
        <v>0.14445284004513334</v>
      </c>
      <c r="AB198" s="23">
        <f>EXP(-LN(2)/2)*AB197+(1-EXP(-LN(2)/2))/(LN(2)/2)*V198*Y198*VLOOKUP('Données projet'!$B$9,Paramètres!$A$1:$I$89,3,0)*0.475*44/12</f>
        <v>7.0909225933231463E-25</v>
      </c>
      <c r="AC198" s="24">
        <f t="shared" si="163"/>
        <v>0.99019772713037768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4.9658410716801891E-14</v>
      </c>
      <c r="AK198" s="14">
        <f t="shared" si="164"/>
        <v>8.0934058173791862E-13</v>
      </c>
      <c r="AL198" s="22">
        <f t="shared" si="165"/>
        <v>1.4960899118586383E-12</v>
      </c>
      <c r="AM198" s="62">
        <f t="shared" si="193"/>
        <v>293.33333333333479</v>
      </c>
      <c r="AN198" s="62">
        <f ca="1">AVERAGE(OFFSET($AM$3,0,0,'Données projet'!$E$10+1,1))-AVERAGE(OFFSET($H$3,0,0,'Données projet'!$E$10+1,1))</f>
        <v>321.62968871874483</v>
      </c>
      <c r="AO198" s="62">
        <f t="shared" si="205"/>
        <v>389.91636841473559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0.13920968647108309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5.3420861413816905E-24</v>
      </c>
      <c r="AX198" s="23">
        <f t="shared" si="166"/>
        <v>0.13920968647108309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317.99999999999972</v>
      </c>
      <c r="BE198" s="14">
        <f>BD198*VLOOKUP('Données projet'!$B$11,Paramètres!$A$1:$I$89,3,0)*VLOOKUP('Données projet'!$B$11,Paramètres!$A$1:$I$89,5,0)</f>
        <v>233.1575999999998</v>
      </c>
      <c r="BF198" s="14">
        <f t="shared" si="167"/>
        <v>56.964885721091697</v>
      </c>
      <c r="BG198" s="22">
        <f t="shared" si="168"/>
        <v>505.29666263090093</v>
      </c>
      <c r="BH198" s="62">
        <f t="shared" si="194"/>
        <v>798.62999596423424</v>
      </c>
      <c r="BI198" s="62">
        <f ca="1">AVERAGE(OFFSET($BH$3,0,0,'Données projet'!$E$11+1,1))-AVERAGE(OFFSET($H$3,0,0,'Données projet'!$E$11+1,1))</f>
        <v>327.81662150328646</v>
      </c>
      <c r="BJ198" s="62">
        <f t="shared" si="206"/>
        <v>320.24200483294322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2.0832155802316873E-24</v>
      </c>
      <c r="BS198" s="24">
        <f t="shared" si="169"/>
        <v>2.0832155802316873E-24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1.5518253349000589E-14</v>
      </c>
      <c r="CA198" s="14">
        <f t="shared" si="170"/>
        <v>2.8958815659671149E-13</v>
      </c>
      <c r="CB198" s="22">
        <f t="shared" si="171"/>
        <v>5.3139366398878183E-13</v>
      </c>
      <c r="CC198" s="62">
        <f t="shared" si="195"/>
        <v>293.33333333333383</v>
      </c>
      <c r="CD198" s="62">
        <f ca="1">AVERAGE(OFFSET($CC$3,0,0,'Données projet'!$E$12+1,1))-AVERAGE(OFFSET($H$3,0,0,'Données projet'!$E$12+1,1))</f>
        <v>170.27677128684815</v>
      </c>
      <c r="CE198" s="62">
        <f t="shared" si="207"/>
        <v>243.47439640666289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0.1641498394901158</v>
      </c>
      <c r="CL198" s="23">
        <f>EXP(-LN(2)/25)*CL197+(1-EXP(-LN(2)/25))/(LN(2)/25)*Calculateur!CG198*Calculateur!CI198*VLOOKUP('Données projet'!$B$12,Paramètres!$A$1:$I$89,3,0)*0.475*44/12</f>
        <v>0.18657946493197605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0.35072930442209183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0</v>
      </c>
      <c r="CZ198" s="62">
        <f t="shared" si="208"/>
        <v>0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-2.5420376914553347E-13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388.88381485322674</v>
      </c>
      <c r="T199" s="62">
        <f t="shared" si="204"/>
        <v>355.82695155276218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0.8291603457029475</v>
      </c>
      <c r="AA199" s="23">
        <f>EXP(-LN(2)/25)*AA198+(1-EXP(-LN(2)/25))/(LN(2)/25)*Calculateur!V199*Calculateur!X199*VLOOKUP('Données projet'!$B$9,Paramètres!$A$1:$I$89,3,0)*0.475*44/12</f>
        <v>0.14050276953765448</v>
      </c>
      <c r="AB199" s="23">
        <f>EXP(-LN(2)/2)*AB198+(1-EXP(-LN(2)/2))/(LN(2)/2)*V199*Y199*VLOOKUP('Données projet'!$B$9,Paramètres!$A$1:$I$89,3,0)*0.475*44/12</f>
        <v>5.0140394506076961E-25</v>
      </c>
      <c r="AC199" s="24">
        <f t="shared" si="163"/>
        <v>0.969663115240602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4.9658410716801891E-14</v>
      </c>
      <c r="AK199" s="14">
        <f t="shared" si="164"/>
        <v>8.0934058173791862E-13</v>
      </c>
      <c r="AL199" s="22">
        <f t="shared" si="165"/>
        <v>1.4960899118586383E-12</v>
      </c>
      <c r="AM199" s="62">
        <f t="shared" si="193"/>
        <v>293.33333333333479</v>
      </c>
      <c r="AN199" s="62">
        <f ca="1">AVERAGE(OFFSET($AM$3,0,0,'Données projet'!$E$10+1,1))-AVERAGE(OFFSET($H$3,0,0,'Données projet'!$E$10+1,1))</f>
        <v>321.62968871874483</v>
      </c>
      <c r="AO199" s="62">
        <f t="shared" si="205"/>
        <v>389.91636841473559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0.13647986942890977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3.7774253362536709E-24</v>
      </c>
      <c r="AX199" s="23">
        <f t="shared" si="166"/>
        <v>0.13647986942890977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317.99999999999972</v>
      </c>
      <c r="BE199" s="14">
        <f>BD199*VLOOKUP('Données projet'!$B$11,Paramètres!$A$1:$I$89,3,0)*VLOOKUP('Données projet'!$B$11,Paramètres!$A$1:$I$89,5,0)</f>
        <v>233.1575999999998</v>
      </c>
      <c r="BF199" s="14">
        <f t="shared" si="167"/>
        <v>56.964885721091697</v>
      </c>
      <c r="BG199" s="22">
        <f t="shared" si="168"/>
        <v>505.29666263090093</v>
      </c>
      <c r="BH199" s="62">
        <f t="shared" si="194"/>
        <v>798.62999596423424</v>
      </c>
      <c r="BI199" s="62">
        <f ca="1">AVERAGE(OFFSET($BH$3,0,0,'Données projet'!$E$11+1,1))-AVERAGE(OFFSET($H$3,0,0,'Données projet'!$E$11+1,1))</f>
        <v>327.81662150328646</v>
      </c>
      <c r="BJ199" s="62">
        <f t="shared" si="206"/>
        <v>320.24200483294322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1.4730558634552944E-24</v>
      </c>
      <c r="BS199" s="24">
        <f t="shared" si="169"/>
        <v>1.4730558634552944E-24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1.5518253349000589E-14</v>
      </c>
      <c r="CA199" s="14">
        <f t="shared" si="170"/>
        <v>2.8958815659671149E-13</v>
      </c>
      <c r="CB199" s="22">
        <f t="shared" si="171"/>
        <v>5.3139366398878183E-13</v>
      </c>
      <c r="CC199" s="62">
        <f t="shared" si="195"/>
        <v>293.33333333333383</v>
      </c>
      <c r="CD199" s="62">
        <f ca="1">AVERAGE(OFFSET($CC$3,0,0,'Données projet'!$E$12+1,1))-AVERAGE(OFFSET($H$3,0,0,'Données projet'!$E$12+1,1))</f>
        <v>170.27677128684815</v>
      </c>
      <c r="CE199" s="62">
        <f t="shared" si="207"/>
        <v>243.47439640666289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0.16093096125923054</v>
      </c>
      <c r="CL199" s="23">
        <f>EXP(-LN(2)/25)*CL198+(1-EXP(-LN(2)/25))/(LN(2)/25)*Calculateur!CG199*Calculateur!CI199*VLOOKUP('Données projet'!$B$12,Paramètres!$A$1:$I$89,3,0)*0.475*44/12</f>
        <v>0.18147743965162355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0.34240840091085412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0</v>
      </c>
      <c r="CZ199" s="62">
        <f t="shared" si="208"/>
        <v>0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-2.5420376914553347E-13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388.88381485322674</v>
      </c>
      <c r="T200" s="62">
        <f t="shared" si="204"/>
        <v>355.82695155276218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0.81290101706158613</v>
      </c>
      <c r="AA200" s="23">
        <f>EXP(-LN(2)/25)*AA199+(1-EXP(-LN(2)/25))/(LN(2)/25)*Calculateur!V200*Calculateur!X200*VLOOKUP('Données projet'!$B$9,Paramètres!$A$1:$I$89,3,0)*0.475*44/12</f>
        <v>0.1366607139159278</v>
      </c>
      <c r="AB200" s="23">
        <f>EXP(-LN(2)/2)*AB199+(1-EXP(-LN(2)/2))/(LN(2)/2)*V200*Y200*VLOOKUP('Données projet'!$B$9,Paramètres!$A$1:$I$89,3,0)*0.475*44/12</f>
        <v>3.5454612966615731E-25</v>
      </c>
      <c r="AC200" s="24">
        <f t="shared" si="163"/>
        <v>0.94956173097751395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4.9658410716801891E-14</v>
      </c>
      <c r="AK200" s="14">
        <f t="shared" si="164"/>
        <v>8.0934058173791862E-13</v>
      </c>
      <c r="AL200" s="22">
        <f t="shared" si="165"/>
        <v>1.4960899118586383E-12</v>
      </c>
      <c r="AM200" s="62">
        <f t="shared" si="193"/>
        <v>293.33333333333479</v>
      </c>
      <c r="AN200" s="62">
        <f ca="1">AVERAGE(OFFSET($AM$3,0,0,'Données projet'!$E$10+1,1))-AVERAGE(OFFSET($H$3,0,0,'Données projet'!$E$10+1,1))</f>
        <v>321.62968871874483</v>
      </c>
      <c r="AO200" s="62">
        <f t="shared" si="205"/>
        <v>389.91636841473559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0.1338035824339095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2.6710430706908452E-24</v>
      </c>
      <c r="AX200" s="23">
        <f t="shared" si="166"/>
        <v>0.1338035824339095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317.99999999999972</v>
      </c>
      <c r="BE200" s="14">
        <f>BD200*VLOOKUP('Données projet'!$B$11,Paramètres!$A$1:$I$89,3,0)*VLOOKUP('Données projet'!$B$11,Paramètres!$A$1:$I$89,5,0)</f>
        <v>233.1575999999998</v>
      </c>
      <c r="BF200" s="14">
        <f t="shared" si="167"/>
        <v>56.964885721091697</v>
      </c>
      <c r="BG200" s="22">
        <f t="shared" si="168"/>
        <v>505.29666263090093</v>
      </c>
      <c r="BH200" s="62">
        <f t="shared" si="194"/>
        <v>798.62999596423424</v>
      </c>
      <c r="BI200" s="62">
        <f ca="1">AVERAGE(OFFSET($BH$3,0,0,'Données projet'!$E$11+1,1))-AVERAGE(OFFSET($H$3,0,0,'Données projet'!$E$11+1,1))</f>
        <v>327.81662150328646</v>
      </c>
      <c r="BJ200" s="62">
        <f t="shared" si="206"/>
        <v>320.24200483294322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1.0416077901158437E-24</v>
      </c>
      <c r="BS200" s="24">
        <f t="shared" si="169"/>
        <v>1.0416077901158437E-24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1.5518253349000589E-14</v>
      </c>
      <c r="CA200" s="14">
        <f t="shared" si="170"/>
        <v>2.8958815659671149E-13</v>
      </c>
      <c r="CB200" s="22">
        <f t="shared" si="171"/>
        <v>5.3139366398878183E-13</v>
      </c>
      <c r="CC200" s="62">
        <f t="shared" si="195"/>
        <v>293.33333333333383</v>
      </c>
      <c r="CD200" s="62">
        <f ca="1">AVERAGE(OFFSET($CC$3,0,0,'Données projet'!$E$12+1,1))-AVERAGE(OFFSET($H$3,0,0,'Données projet'!$E$12+1,1))</f>
        <v>170.27677128684815</v>
      </c>
      <c r="CE200" s="62">
        <f t="shared" si="207"/>
        <v>243.47439640666289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0.15777520326713107</v>
      </c>
      <c r="CL200" s="23">
        <f>EXP(-LN(2)/25)*CL199+(1-EXP(-LN(2)/25))/(LN(2)/25)*Calculateur!CG200*Calculateur!CI200*VLOOKUP('Données projet'!$B$12,Paramètres!$A$1:$I$89,3,0)*0.475*44/12</f>
        <v>0.17651492952086612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0.33429013278799719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0</v>
      </c>
      <c r="CZ200" s="62">
        <f t="shared" si="208"/>
        <v>0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-2.5420376914553347E-13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388.88381485322674</v>
      </c>
      <c r="T201" s="62">
        <f t="shared" si="204"/>
        <v>355.82695155276218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0.79696052393767058</v>
      </c>
      <c r="AA201" s="23">
        <f>EXP(-LN(2)/25)*AA200+(1-EXP(-LN(2)/25))/(LN(2)/25)*Calculateur!V201*Calculateur!X201*VLOOKUP('Données projet'!$B$9,Paramètres!$A$1:$I$89,3,0)*0.475*44/12</f>
        <v>0.13292371950722215</v>
      </c>
      <c r="AB201" s="23">
        <f>EXP(-LN(2)/2)*AB200+(1-EXP(-LN(2)/2))/(LN(2)/2)*V201*Y201*VLOOKUP('Données projet'!$B$9,Paramètres!$A$1:$I$89,3,0)*0.475*44/12</f>
        <v>2.507019725303848E-25</v>
      </c>
      <c r="AC201" s="24">
        <f t="shared" si="163"/>
        <v>0.92988424344489273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4.9658410716801891E-14</v>
      </c>
      <c r="AK201" s="14">
        <f t="shared" si="164"/>
        <v>8.0934058173791862E-13</v>
      </c>
      <c r="AL201" s="22">
        <f t="shared" si="165"/>
        <v>1.4960899118586383E-12</v>
      </c>
      <c r="AM201" s="62">
        <f t="shared" si="193"/>
        <v>293.33333333333479</v>
      </c>
      <c r="AN201" s="62">
        <f ca="1">AVERAGE(OFFSET($AM$3,0,0,'Données projet'!$E$10+1,1))-AVERAGE(OFFSET($H$3,0,0,'Données projet'!$E$10+1,1))</f>
        <v>321.62968871874483</v>
      </c>
      <c r="AO201" s="62">
        <f t="shared" si="205"/>
        <v>389.91636841473559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0.13117977579450729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1.8887126681268355E-24</v>
      </c>
      <c r="AX201" s="23">
        <f t="shared" si="166"/>
        <v>0.13117977579450729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317.99999999999972</v>
      </c>
      <c r="BE201" s="14">
        <f>BD201*VLOOKUP('Données projet'!$B$11,Paramètres!$A$1:$I$89,3,0)*VLOOKUP('Données projet'!$B$11,Paramètres!$A$1:$I$89,5,0)</f>
        <v>233.1575999999998</v>
      </c>
      <c r="BF201" s="14">
        <f t="shared" si="167"/>
        <v>56.964885721091697</v>
      </c>
      <c r="BG201" s="22">
        <f t="shared" si="168"/>
        <v>505.29666263090093</v>
      </c>
      <c r="BH201" s="62">
        <f t="shared" si="194"/>
        <v>798.62999596423424</v>
      </c>
      <c r="BI201" s="62">
        <f ca="1">AVERAGE(OFFSET($BH$3,0,0,'Données projet'!$E$11+1,1))-AVERAGE(OFFSET($H$3,0,0,'Données projet'!$E$11+1,1))</f>
        <v>327.81662150328646</v>
      </c>
      <c r="BJ201" s="62">
        <f t="shared" si="206"/>
        <v>320.24200483294322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7.3652793172764719E-25</v>
      </c>
      <c r="BS201" s="24">
        <f t="shared" si="169"/>
        <v>7.3652793172764719E-25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1.5518253349000589E-14</v>
      </c>
      <c r="CA201" s="14">
        <f t="shared" si="170"/>
        <v>2.8958815659671149E-13</v>
      </c>
      <c r="CB201" s="22">
        <f t="shared" si="171"/>
        <v>5.3139366398878183E-13</v>
      </c>
      <c r="CC201" s="62">
        <f t="shared" si="195"/>
        <v>293.33333333333383</v>
      </c>
      <c r="CD201" s="62">
        <f ca="1">AVERAGE(OFFSET($CC$3,0,0,'Données projet'!$E$12+1,1))-AVERAGE(OFFSET($H$3,0,0,'Données projet'!$E$12+1,1))</f>
        <v>170.27677128684815</v>
      </c>
      <c r="CE201" s="62">
        <f t="shared" si="207"/>
        <v>243.47439640666289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0.15468132776443436</v>
      </c>
      <c r="CL201" s="23">
        <f>EXP(-LN(2)/25)*CL200+(1-EXP(-LN(2)/25))/(LN(2)/25)*Calculateur!CG201*Calculateur!CI201*VLOOKUP('Données projet'!$B$12,Paramètres!$A$1:$I$89,3,0)*0.475*44/12</f>
        <v>0.17168811949060131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0.32636944725503569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0</v>
      </c>
      <c r="CZ201" s="62">
        <f t="shared" si="208"/>
        <v>0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-2.5420376914553347E-13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388.88381485322674</v>
      </c>
      <c r="T202" s="62">
        <f t="shared" si="204"/>
        <v>355.82695155276218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0.78133261416117428</v>
      </c>
      <c r="AA202" s="23">
        <f>EXP(-LN(2)/25)*AA201+(1-EXP(-LN(2)/25))/(LN(2)/25)*Calculateur!V202*Calculateur!X202*VLOOKUP('Données projet'!$B$9,Paramètres!$A$1:$I$89,3,0)*0.475*44/12</f>
        <v>0.12928891340714255</v>
      </c>
      <c r="AB202" s="23">
        <f>EXP(-LN(2)/2)*AB201+(1-EXP(-LN(2)/2))/(LN(2)/2)*V202*Y202*VLOOKUP('Données projet'!$B$9,Paramètres!$A$1:$I$89,3,0)*0.475*44/12</f>
        <v>1.7727306483307866E-25</v>
      </c>
      <c r="AC202" s="24">
        <f t="shared" si="163"/>
        <v>0.91062152756831682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4.9658410716801891E-14</v>
      </c>
      <c r="AK202" s="14">
        <f t="shared" si="164"/>
        <v>8.0934058173791862E-13</v>
      </c>
      <c r="AL202" s="22">
        <f t="shared" si="165"/>
        <v>1.4960899118586383E-12</v>
      </c>
      <c r="AM202" s="62">
        <f t="shared" si="193"/>
        <v>293.33333333333479</v>
      </c>
      <c r="AN202" s="62">
        <f ca="1">AVERAGE(OFFSET($AM$3,0,0,'Données projet'!$E$10+1,1))-AVERAGE(OFFSET($H$3,0,0,'Données projet'!$E$10+1,1))</f>
        <v>321.62968871874483</v>
      </c>
      <c r="AO202" s="62">
        <f t="shared" si="205"/>
        <v>389.91636841473559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0.12860742040293974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1.3355215353454226E-24</v>
      </c>
      <c r="AX202" s="23">
        <f t="shared" si="166"/>
        <v>0.12860742040293974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317.99999999999972</v>
      </c>
      <c r="BE202" s="14">
        <f>BD202*VLOOKUP('Données projet'!$B$11,Paramètres!$A$1:$I$89,3,0)*VLOOKUP('Données projet'!$B$11,Paramètres!$A$1:$I$89,5,0)</f>
        <v>233.1575999999998</v>
      </c>
      <c r="BF202" s="14">
        <f t="shared" si="167"/>
        <v>56.964885721091697</v>
      </c>
      <c r="BG202" s="22">
        <f t="shared" si="168"/>
        <v>505.29666263090093</v>
      </c>
      <c r="BH202" s="62">
        <f t="shared" si="194"/>
        <v>798.62999596423424</v>
      </c>
      <c r="BI202" s="62">
        <f ca="1">AVERAGE(OFFSET($BH$3,0,0,'Données projet'!$E$11+1,1))-AVERAGE(OFFSET($H$3,0,0,'Données projet'!$E$11+1,1))</f>
        <v>327.81662150328646</v>
      </c>
      <c r="BJ202" s="62">
        <f t="shared" si="206"/>
        <v>320.24200483294322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5.2080389505792183E-25</v>
      </c>
      <c r="BS202" s="24">
        <f t="shared" si="169"/>
        <v>5.2080389505792183E-25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1.5518253349000589E-14</v>
      </c>
      <c r="CA202" s="14">
        <f t="shared" si="170"/>
        <v>2.8958815659671149E-13</v>
      </c>
      <c r="CB202" s="22">
        <f t="shared" si="171"/>
        <v>5.3139366398878183E-13</v>
      </c>
      <c r="CC202" s="62">
        <f t="shared" si="195"/>
        <v>293.33333333333383</v>
      </c>
      <c r="CD202" s="62">
        <f ca="1">AVERAGE(OFFSET($CC$3,0,0,'Données projet'!$E$12+1,1))-AVERAGE(OFFSET($H$3,0,0,'Données projet'!$E$12+1,1))</f>
        <v>170.27677128684815</v>
      </c>
      <c r="CE202" s="62">
        <f t="shared" si="207"/>
        <v>243.47439640666289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0.15164812127326782</v>
      </c>
      <c r="CL202" s="23">
        <f>EXP(-LN(2)/25)*CL201+(1-EXP(-LN(2)/25))/(LN(2)/25)*Calculateur!CG202*Calculateur!CI202*VLOOKUP('Données projet'!$B$12,Paramètres!$A$1:$I$89,3,0)*0.475*44/12</f>
        <v>0.166993298834445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0.31864142010771279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0</v>
      </c>
      <c r="CZ202" s="62">
        <f t="shared" si="208"/>
        <v>0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-2.5420376914553347E-13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388.88381485322674</v>
      </c>
      <c r="T203" s="62">
        <f t="shared" si="204"/>
        <v>355.82695155276218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0.76601115816331133</v>
      </c>
      <c r="AA203" s="23">
        <f>EXP(-LN(2)/25)*AA202+(1-EXP(-LN(2)/25))/(LN(2)/25)*Calculateur!V203*Calculateur!X203*VLOOKUP('Données projet'!$B$9,Paramètres!$A$1:$I$89,3,0)*0.475*44/12</f>
        <v>0.12575350127101578</v>
      </c>
      <c r="AB203" s="23">
        <f>EXP(-LN(2)/2)*AB202+(1-EXP(-LN(2)/2))/(LN(2)/2)*V203*Y203*VLOOKUP('Données projet'!$B$9,Paramètres!$A$1:$I$89,3,0)*0.475*44/12</f>
        <v>1.253509862651924E-25</v>
      </c>
      <c r="AC203" s="24">
        <f t="shared" si="163"/>
        <v>0.89176465943432714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4.9658410716801891E-14</v>
      </c>
      <c r="AK203" s="14">
        <f t="shared" si="164"/>
        <v>8.0934058173791862E-13</v>
      </c>
      <c r="AL203" s="22">
        <f t="shared" si="165"/>
        <v>1.4960899118586383E-12</v>
      </c>
      <c r="AM203" s="62">
        <f t="shared" si="193"/>
        <v>293.33333333333479</v>
      </c>
      <c r="AN203" s="62">
        <f ca="1">AVERAGE(OFFSET($AM$3,0,0,'Données projet'!$E$10+1,1))-AVERAGE(OFFSET($H$3,0,0,'Données projet'!$E$10+1,1))</f>
        <v>321.62968871874483</v>
      </c>
      <c r="AO203" s="62">
        <f t="shared" si="205"/>
        <v>389.91636841473559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0.12608550733161894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9.4435633406341773E-25</v>
      </c>
      <c r="AX203" s="23">
        <f t="shared" si="166"/>
        <v>0.12608550733161894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317.99999999999972</v>
      </c>
      <c r="BE203" s="14">
        <f>BD203*VLOOKUP('Données projet'!$B$11,Paramètres!$A$1:$I$89,3,0)*VLOOKUP('Données projet'!$B$11,Paramètres!$A$1:$I$89,5,0)</f>
        <v>233.1575999999998</v>
      </c>
      <c r="BF203" s="14">
        <f t="shared" si="167"/>
        <v>56.964885721091697</v>
      </c>
      <c r="BG203" s="22">
        <f t="shared" si="168"/>
        <v>505.29666263090093</v>
      </c>
      <c r="BH203" s="62">
        <f t="shared" si="194"/>
        <v>798.62999596423424</v>
      </c>
      <c r="BI203" s="62">
        <f ca="1">AVERAGE(OFFSET($BH$3,0,0,'Données projet'!$E$11+1,1))-AVERAGE(OFFSET($H$3,0,0,'Données projet'!$E$11+1,1))</f>
        <v>327.81662150328646</v>
      </c>
      <c r="BJ203" s="62">
        <f t="shared" si="206"/>
        <v>320.24200483294322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3.682639658638236E-25</v>
      </c>
      <c r="BS203" s="24">
        <f t="shared" si="169"/>
        <v>3.682639658638236E-25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1.5518253349000589E-14</v>
      </c>
      <c r="CA203" s="14">
        <f t="shared" si="170"/>
        <v>2.8958815659671149E-13</v>
      </c>
      <c r="CB203" s="22">
        <f t="shared" si="171"/>
        <v>5.3139366398878183E-13</v>
      </c>
      <c r="CC203" s="62">
        <f t="shared" si="195"/>
        <v>293.33333333333383</v>
      </c>
      <c r="CD203" s="62">
        <f ca="1">AVERAGE(OFFSET($CC$3,0,0,'Données projet'!$E$12+1,1))-AVERAGE(OFFSET($H$3,0,0,'Données projet'!$E$12+1,1))</f>
        <v>170.27677128684815</v>
      </c>
      <c r="CE203" s="62">
        <f t="shared" si="207"/>
        <v>243.47439640666289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0.14867439411131977</v>
      </c>
      <c r="CL203" s="23">
        <f>EXP(-LN(2)/25)*CL202+(1-EXP(-LN(2)/25))/(LN(2)/25)*Calculateur!CG203*Calculateur!CI203*VLOOKUP('Données projet'!$B$12,Paramètres!$A$1:$I$89,3,0)*0.475*44/12</f>
        <v>0.16242685829602119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0.31110125240734099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0</v>
      </c>
      <c r="CZ203" s="62">
        <f t="shared" si="208"/>
        <v>0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1.3035649343705267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1.3467943429205997</v>
      </c>
      <c r="BA205" s="88">
        <f>EXP(LN('Données projet'!B88)/'Données projet'!A88)</f>
        <v>1.2709816152101407</v>
      </c>
      <c r="BV205" s="88">
        <f>EXP(LN('Données projet'!B114)/'Données projet'!A114)</f>
        <v>1.4228132198218728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O22" sqref="O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1.0033999999999998</v>
      </c>
      <c r="C6" s="156">
        <f ca="1">IF(OR('Données projet'!B9="",'Données projet'!C9="",'Données projet'!C9=0%),0,Calculateur!S3)</f>
        <v>388.88381485322674</v>
      </c>
      <c r="D6" s="156">
        <f>IF(OR('Données projet'!B9="",'Données projet'!C9="",'Données projet'!C9=0%),0,Calculateur!T3)</f>
        <v>355.82695155276218</v>
      </c>
      <c r="E6" s="156">
        <f ca="1">MIN(C6,D6)</f>
        <v>355.82695155276218</v>
      </c>
      <c r="F6" s="156">
        <f ca="1">E6*B6</f>
        <v>357.0367631880415</v>
      </c>
      <c r="G6" s="156">
        <f ca="1">F6*(100%-'Données projet'!$C$24)*(100%-'Données projet'!$C$25)*(100%-'Données projet'!$C$26)*(100%-'Données projet'!$C$27)</f>
        <v>321.33308686923738</v>
      </c>
      <c r="H6" s="157">
        <f>IF(OR('Données projet'!B9="",'Données projet'!C9="",'Données projet'!C9=0%),0,AVERAGE(Calculateur!$AC$3:$AC$33)*B6)</f>
        <v>9.4547254987269955</v>
      </c>
      <c r="I6" s="158">
        <f>H6*(100%-'Données projet'!$C$24)*(100%-'Données projet'!$C$25)*(100%-'Données projet'!$C$26)*(100%-'Données projet'!$C$27)</f>
        <v>8.5092529488542965</v>
      </c>
      <c r="J6" s="159">
        <f>IF(OR('Données projet'!B9="",'Données projet'!C9="",'Données projet'!C9=0%),0,SUM(Calculateur!$V$3:$V$33)*VLOOKUP('Données projet'!$B$9,Paramètres!$A$1:$I$89,9,0)*B6)</f>
        <v>57.38444599999999</v>
      </c>
      <c r="K6" s="160">
        <f>J6*(100%-'Données projet'!$C$24)*(100%-'Données projet'!$C$25)*(100%-'Données projet'!$C$26)*(100%-'Données projet'!$C$27)</f>
        <v>51.646001399999989</v>
      </c>
      <c r="L6" s="161">
        <f ca="1">G6+I6+K6</f>
        <v>381.48834121809165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0.55359999999999998</v>
      </c>
      <c r="C7" s="156">
        <f ca="1">IF(OR('Données projet'!B10="",'Données projet'!C10="",'Données projet'!C10=0%),0,Calculateur!AN3)</f>
        <v>321.62968871874483</v>
      </c>
      <c r="D7" s="156">
        <f>IF(OR('Données projet'!B10="",'Données projet'!C10="",'Données projet'!C10=0%),0,Calculateur!AO3)</f>
        <v>389.91636841473559</v>
      </c>
      <c r="E7" s="156">
        <f t="shared" ref="E7:E15" ca="1" si="0">MIN(C7,D7)</f>
        <v>321.62968871874483</v>
      </c>
      <c r="F7" s="156">
        <f t="shared" ref="F7:F15" ca="1" si="1">E7*B7</f>
        <v>178.05419567469713</v>
      </c>
      <c r="G7" s="156">
        <f ca="1">F7*(100%-'Données projet'!$C$24)*(100%-'Données projet'!$C$25)*(100%-'Données projet'!$C$26)*(100%-'Données projet'!$C$27)</f>
        <v>160.24877610722743</v>
      </c>
      <c r="H7" s="164">
        <f>IF(OR('Données projet'!B10="",'Données projet'!C10="",'Données projet'!C10=0%),0,AVERAGE(Calculateur!$AX$3:$AX$33)*B7)</f>
        <v>4.6315459251139099</v>
      </c>
      <c r="I7" s="158">
        <f>H7*(100%-'Données projet'!$C$24)*(100%-'Données projet'!$C$25)*(100%-'Données projet'!$C$26)*(100%-'Données projet'!$C$27)</f>
        <v>4.1683913326025195</v>
      </c>
      <c r="J7" s="159">
        <f>IF(OR('Données projet'!B10="",'Données projet'!C10="",'Données projet'!C10=0%),0,SUM(Calculateur!$AQ$3:$AQ$33)*VLOOKUP('Données projet'!$B$10,Paramètres!$A$1:$I$89,9,0)*B7)</f>
        <v>21.036799999999999</v>
      </c>
      <c r="K7" s="160">
        <f>J7*(100%-'Données projet'!$C$24)*(100%-'Données projet'!$C$25)*(100%-'Données projet'!$C$26)*(100%-'Données projet'!$C$27)</f>
        <v>18.933119999999999</v>
      </c>
      <c r="L7" s="161">
        <f t="shared" ref="L7:L15" ca="1" si="2">G7+I7+K7</f>
        <v>183.35028743982994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1.4185999999999999</v>
      </c>
      <c r="C8" s="156">
        <f ca="1">IF(OR('Données projet'!B11="",'Données projet'!C11="",'Données projet'!C11=0%),0,Calculateur!BI3)</f>
        <v>327.81662150328646</v>
      </c>
      <c r="D8" s="156">
        <f>IF(OR('Données projet'!B11="",'Données projet'!C11="",'Données projet'!C11=0%),0,Calculateur!BJ3)</f>
        <v>320.24200483294322</v>
      </c>
      <c r="E8" s="156">
        <f t="shared" ca="1" si="0"/>
        <v>320.24200483294322</v>
      </c>
      <c r="F8" s="156">
        <f t="shared" ca="1" si="1"/>
        <v>454.2953080560132</v>
      </c>
      <c r="G8" s="156">
        <f ca="1">F8*(100%-'Données projet'!$C$24)*(100%-'Données projet'!$C$25)*(100%-'Données projet'!$C$26)*(100%-'Données projet'!$C$27)</f>
        <v>408.8657772504119</v>
      </c>
      <c r="H8" s="164">
        <f>IF(OR('Données projet'!B11="",'Données projet'!C11="",'Données projet'!C11=0%),0,AVERAGE(Calculateur!$BS$3:$BS$33)*B8)</f>
        <v>2.2090567848785923</v>
      </c>
      <c r="I8" s="158">
        <f>H8*(100%-'Données projet'!$C$24)*(100%-'Données projet'!$C$25)*(100%-'Données projet'!$C$26)*(100%-'Données projet'!$C$27)</f>
        <v>1.9881511063907331</v>
      </c>
      <c r="J8" s="159">
        <f>IF(OR('Données projet'!B11="",'Données projet'!C11="",'Données projet'!C11=0%),0,SUM(Calculateur!$BL$3:$BL$33)*VLOOKUP('Données projet'!$B$11,Paramètres!$A$1:$I$89,9,0)*B8)</f>
        <v>48.587049999999998</v>
      </c>
      <c r="K8" s="160">
        <f>J8*(100%-'Données projet'!$C$24)*(100%-'Données projet'!$C$25)*(100%-'Données projet'!$C$26)*(100%-'Données projet'!$C$27)</f>
        <v>43.728344999999997</v>
      </c>
      <c r="L8" s="161">
        <f t="shared" ca="1" si="2"/>
        <v>454.5822733568026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Mélèze hybride</v>
      </c>
      <c r="B9" s="163">
        <f>'Données projet'!D12</f>
        <v>0.44980000000000003</v>
      </c>
      <c r="C9" s="156">
        <f ca="1">IF(OR('Données projet'!B12="",'Données projet'!C12="",'Données projet'!C12=0%),0,Calculateur!CD3)</f>
        <v>170.27677128684815</v>
      </c>
      <c r="D9" s="156">
        <f>IF(OR('Données projet'!B12="",'Données projet'!C12="",'Données projet'!C12=0%),0,Calculateur!CE3)</f>
        <v>243.47439640666289</v>
      </c>
      <c r="E9" s="156">
        <f t="shared" ca="1" si="0"/>
        <v>170.27677128684815</v>
      </c>
      <c r="F9" s="156">
        <f t="shared" ca="1" si="1"/>
        <v>76.590491724824304</v>
      </c>
      <c r="G9" s="156">
        <f ca="1">F9*(100%-'Données projet'!$C$24)*(100%-'Données projet'!$C$25)*(100%-'Données projet'!$C$26)*(100%-'Données projet'!$C$27)</f>
        <v>68.931442552341878</v>
      </c>
      <c r="H9" s="164">
        <f>IF(OR('Données projet'!B12="",'Données projet'!C12="",'Données projet'!C12=0%),0,AVERAGE(Calculateur!$CN$3:$CN$33)*B9)</f>
        <v>3.9694260603552709</v>
      </c>
      <c r="I9" s="158">
        <f>H9*(100%-'Données projet'!$C$24)*(100%-'Données projet'!$C$25)*(100%-'Données projet'!$C$26)*(100%-'Données projet'!$C$27)</f>
        <v>3.5724834543197437</v>
      </c>
      <c r="J9" s="159">
        <f>IF(OR('Données projet'!B12="",'Données projet'!C12="",'Données projet'!C12=0%),0,SUM(Calculateur!$CG$3:$CG$33)*VLOOKUP('Données projet'!$B$12,Paramètres!$A$1:$I$89,9,0)*B9)</f>
        <v>17.600674000000001</v>
      </c>
      <c r="K9" s="160">
        <f>J9*(100%-'Données projet'!$C$24)*(100%-'Données projet'!$C$25)*(100%-'Données projet'!$C$26)*(100%-'Données projet'!$C$27)</f>
        <v>15.840606600000001</v>
      </c>
      <c r="L9" s="161">
        <f t="shared" ca="1" si="2"/>
        <v>88.344532606661616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Orme</v>
      </c>
      <c r="B10" s="163">
        <f>'Données projet'!D13</f>
        <v>3.4599999999999999E-2</v>
      </c>
      <c r="C10" s="156">
        <f ca="1"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ca="1" si="0"/>
        <v>0</v>
      </c>
      <c r="F10" s="156">
        <f t="shared" ca="1" si="1"/>
        <v>0</v>
      </c>
      <c r="G10" s="156">
        <f ca="1"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1065.976758643576</v>
      </c>
      <c r="G16" s="175">
        <f t="shared" ca="1" si="3"/>
        <v>959.37908277921861</v>
      </c>
      <c r="H16" s="176">
        <f t="shared" si="3"/>
        <v>20.264754269074768</v>
      </c>
      <c r="I16" s="176">
        <f t="shared" si="3"/>
        <v>18.238278842167293</v>
      </c>
      <c r="J16" s="177">
        <f t="shared" si="3"/>
        <v>144.60897</v>
      </c>
      <c r="K16" s="177">
        <f t="shared" si="3"/>
        <v>130.14807299999998</v>
      </c>
      <c r="L16" s="178">
        <f t="shared" ca="1" si="3"/>
        <v>1107.7654346213858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Mélèze hybride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Orme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90" zoomScaleNormal="90" workbookViewId="0">
      <selection activeCell="U29" sqref="U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3565.4438218858627</v>
      </c>
      <c r="U10" s="190">
        <f>'Données projet'!D9</f>
        <v>1.0033999999999998</v>
      </c>
      <c r="V10" s="189">
        <f>U10*T10</f>
        <v>3577.5663308802741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1639.0556540421335</v>
      </c>
      <c r="U11" s="190">
        <f>'Données projet'!D10</f>
        <v>0.55359999999999998</v>
      </c>
      <c r="V11" s="189">
        <f t="shared" ref="V11" si="0">U11*T11</f>
        <v>907.38121007772509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816.81515356965804</v>
      </c>
      <c r="U12" s="190">
        <f>'Données projet'!D11</f>
        <v>1.4185999999999999</v>
      </c>
      <c r="V12" s="189">
        <f t="shared" ref="V12:V19" si="1">U12*T12</f>
        <v>1158.7339768539168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hybride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2949.9194357719707</v>
      </c>
      <c r="U13" s="190">
        <f>'Données projet'!D12</f>
        <v>0.44980000000000003</v>
      </c>
      <c r="V13" s="189">
        <f t="shared" si="1"/>
        <v>1326.8737622102326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Orme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3.4599999999999999E-2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4907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>
        <v>15</v>
      </c>
      <c r="D23" s="194">
        <f>B23*C23</f>
        <v>0</v>
      </c>
      <c r="E23" s="206"/>
      <c r="F23" s="261"/>
      <c r="H23" s="203">
        <v>3</v>
      </c>
      <c r="I23" s="204">
        <v>750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-17770.318128569001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65</v>
      </c>
      <c r="C24" s="206">
        <v>20</v>
      </c>
      <c r="D24" s="194">
        <f t="shared" ref="D24:D42" si="2">B24*C24</f>
        <v>1300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68</v>
      </c>
      <c r="C25" s="206">
        <v>28</v>
      </c>
      <c r="D25" s="194">
        <f t="shared" si="2"/>
        <v>1904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-17770.318128569001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87</v>
      </c>
      <c r="C26" s="206">
        <v>28</v>
      </c>
      <c r="D26" s="194">
        <f t="shared" si="2"/>
        <v>2436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42</v>
      </c>
      <c r="B27" s="193">
        <f>'Données projet'!D40</f>
        <v>100</v>
      </c>
      <c r="C27" s="206">
        <v>35</v>
      </c>
      <c r="D27" s="194">
        <f t="shared" si="2"/>
        <v>3500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49</v>
      </c>
      <c r="B28" s="193">
        <f>'Données projet'!D41</f>
        <v>113</v>
      </c>
      <c r="C28" s="206">
        <v>40</v>
      </c>
      <c r="D28" s="194">
        <f t="shared" si="2"/>
        <v>4520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95</v>
      </c>
      <c r="C29" s="206">
        <v>50</v>
      </c>
      <c r="D29" s="194">
        <f t="shared" si="2"/>
        <v>4750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63</v>
      </c>
      <c r="B30" s="193">
        <f>'Données projet'!D43</f>
        <v>99</v>
      </c>
      <c r="C30" s="206">
        <v>80</v>
      </c>
      <c r="D30" s="194">
        <f t="shared" si="2"/>
        <v>7920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586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21</v>
      </c>
      <c r="C54" s="204">
        <v>5</v>
      </c>
      <c r="D54" s="191">
        <f>B54*C54</f>
        <v>105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43</v>
      </c>
      <c r="C55" s="204">
        <v>7</v>
      </c>
      <c r="D55" s="191">
        <f t="shared" ref="D55:D73" si="4">B55*C55</f>
        <v>301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44</v>
      </c>
      <c r="C56" s="204">
        <v>9</v>
      </c>
      <c r="D56" s="191">
        <f t="shared" si="4"/>
        <v>396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44</v>
      </c>
      <c r="C57" s="204">
        <v>9</v>
      </c>
      <c r="D57" s="191">
        <f t="shared" si="4"/>
        <v>396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42</v>
      </c>
      <c r="C58" s="204">
        <v>9</v>
      </c>
      <c r="D58" s="191">
        <f t="shared" si="4"/>
        <v>378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39</v>
      </c>
      <c r="C59" s="204">
        <v>14</v>
      </c>
      <c r="D59" s="191">
        <f t="shared" si="4"/>
        <v>546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36</v>
      </c>
      <c r="C60" s="204">
        <v>14</v>
      </c>
      <c r="D60" s="191">
        <f t="shared" si="4"/>
        <v>504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33</v>
      </c>
      <c r="C61" s="204">
        <v>14</v>
      </c>
      <c r="D61" s="191">
        <f t="shared" si="4"/>
        <v>462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29</v>
      </c>
      <c r="C62" s="204">
        <v>20</v>
      </c>
      <c r="D62" s="191">
        <f t="shared" si="4"/>
        <v>580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26</v>
      </c>
      <c r="C63" s="204">
        <v>25</v>
      </c>
      <c r="D63" s="191">
        <f t="shared" si="4"/>
        <v>650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23</v>
      </c>
      <c r="C64" s="204">
        <v>30</v>
      </c>
      <c r="D64" s="191">
        <f t="shared" si="4"/>
        <v>690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249</v>
      </c>
      <c r="C65" s="204">
        <v>80</v>
      </c>
      <c r="D65" s="191">
        <f t="shared" si="4"/>
        <v>19920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32</v>
      </c>
      <c r="C86" s="204">
        <v>7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35</v>
      </c>
      <c r="C87" s="204">
        <v>9</v>
      </c>
      <c r="D87" s="191">
        <f t="shared" si="6"/>
        <v>315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35</v>
      </c>
      <c r="C88" s="204">
        <v>9</v>
      </c>
      <c r="D88" s="191">
        <f t="shared" si="6"/>
        <v>315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35</v>
      </c>
      <c r="C89" s="204">
        <v>9</v>
      </c>
      <c r="D89" s="191">
        <f t="shared" si="6"/>
        <v>315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35</v>
      </c>
      <c r="C90" s="204">
        <v>14</v>
      </c>
      <c r="D90" s="191">
        <f t="shared" si="6"/>
        <v>490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35</v>
      </c>
      <c r="C91" s="204">
        <v>14</v>
      </c>
      <c r="D91" s="191">
        <f t="shared" si="6"/>
        <v>490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24</v>
      </c>
      <c r="C92" s="204">
        <v>14</v>
      </c>
      <c r="D92" s="191">
        <f t="shared" si="6"/>
        <v>336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19</v>
      </c>
      <c r="C93" s="204">
        <v>17</v>
      </c>
      <c r="D93" s="191">
        <f t="shared" si="6"/>
        <v>323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16</v>
      </c>
      <c r="C94" s="204">
        <v>17</v>
      </c>
      <c r="D94" s="191">
        <f t="shared" si="6"/>
        <v>272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14</v>
      </c>
      <c r="C95" s="204">
        <v>17</v>
      </c>
      <c r="D95" s="191">
        <f t="shared" si="6"/>
        <v>238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13</v>
      </c>
      <c r="C96" s="204">
        <v>20</v>
      </c>
      <c r="D96" s="191">
        <f t="shared" si="6"/>
        <v>260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13</v>
      </c>
      <c r="C97" s="204">
        <v>25</v>
      </c>
      <c r="D97" s="191">
        <f t="shared" si="6"/>
        <v>325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12</v>
      </c>
      <c r="C98" s="204">
        <v>30</v>
      </c>
      <c r="D98" s="191">
        <f t="shared" si="6"/>
        <v>360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11</v>
      </c>
      <c r="C99" s="204">
        <v>80</v>
      </c>
      <c r="D99" s="191">
        <f t="shared" si="6"/>
        <v>880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Mélèze hybride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5</v>
      </c>
      <c r="C116" s="204">
        <v>15</v>
      </c>
      <c r="D116" s="191">
        <f>B116*C116</f>
        <v>75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21</v>
      </c>
      <c r="C117" s="204">
        <v>20</v>
      </c>
      <c r="D117" s="191">
        <f t="shared" ref="D117:D135" si="8">B117*C117</f>
        <v>420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24</v>
      </c>
      <c r="C118" s="204">
        <v>28</v>
      </c>
      <c r="D118" s="191">
        <f t="shared" si="8"/>
        <v>672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22</v>
      </c>
      <c r="C119" s="204">
        <v>28</v>
      </c>
      <c r="D119" s="191">
        <f t="shared" si="8"/>
        <v>616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19</v>
      </c>
      <c r="C120" s="204">
        <v>28</v>
      </c>
      <c r="D120" s="191">
        <f t="shared" si="8"/>
        <v>532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15</v>
      </c>
      <c r="C121" s="204">
        <v>35</v>
      </c>
      <c r="D121" s="191">
        <f t="shared" si="8"/>
        <v>525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11</v>
      </c>
      <c r="C122" s="204">
        <v>40</v>
      </c>
      <c r="D122" s="191">
        <f t="shared" si="8"/>
        <v>440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8</v>
      </c>
      <c r="C123" s="204">
        <v>50</v>
      </c>
      <c r="D123" s="191">
        <f t="shared" si="8"/>
        <v>400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205</v>
      </c>
      <c r="C124" s="204">
        <v>80</v>
      </c>
      <c r="D124" s="191">
        <f t="shared" si="8"/>
        <v>16400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Orme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2025-03-26T09:51:22Z</dcterms:modified>
</cp:coreProperties>
</file>