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ément Bourel\Downloads\"/>
    </mc:Choice>
  </mc:AlternateContent>
  <xr:revisionPtr revIDLastSave="0" documentId="8_{2CD7BA22-CE85-4F6E-912C-358EEAC98C48}" xr6:coauthVersionLast="47" xr6:coauthVersionMax="47" xr10:uidLastSave="{00000000-0000-0000-0000-000000000000}"/>
  <bookViews>
    <workbookView xWindow="-120" yWindow="-120" windowWidth="20730" windowHeight="110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TP" sheetId="9" r:id="rId8"/>
  </sheets>
  <externalReferences>
    <externalReference r:id="rId9"/>
  </externalReferences>
  <definedNames>
    <definedName name="Essence">Paramètres!$A$2:$A$86</definedName>
    <definedName name="Essences" localSheetId="7">[1]Paramètres!$A$2:$A$89</definedName>
    <definedName name="Essences">Paramètres!$A$2:$A$89</definedName>
    <definedName name="Fertilité" localSheetId="7">[1]Paramètres!$P$10:$P$11</definedName>
    <definedName name="Fertilité">Paramètres!$P$10:$P$11</definedName>
    <definedName name="Incendie" localSheetId="7">[1]Paramètres!$P$5:$P$8</definedName>
    <definedName name="Incendie">Paramètres!$P$5:$P$8</definedName>
    <definedName name="VAN" localSheetId="7">[1]Paramètres!$P$2:$P$3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9" l="1"/>
  <c r="Q8" i="9"/>
  <c r="P9" i="9"/>
  <c r="P10" i="9"/>
  <c r="Q10" i="9"/>
  <c r="P11" i="9"/>
  <c r="Q11" i="9"/>
  <c r="P12" i="9"/>
  <c r="Q12" i="9"/>
  <c r="P13" i="9"/>
  <c r="Q13" i="9"/>
  <c r="P14" i="9"/>
  <c r="Q14" i="9"/>
  <c r="P15" i="9"/>
  <c r="Q15" i="9"/>
  <c r="P16" i="9"/>
  <c r="Q16" i="9"/>
  <c r="P17" i="9"/>
  <c r="Q17" i="9"/>
  <c r="L24" i="9"/>
  <c r="P24" i="9"/>
  <c r="Q24" i="9"/>
  <c r="L25" i="9"/>
  <c r="P25" i="9"/>
  <c r="L26" i="9"/>
  <c r="P26" i="9"/>
  <c r="L27" i="9"/>
  <c r="P27" i="9"/>
  <c r="Q27" i="9"/>
  <c r="L28" i="9"/>
  <c r="P28" i="9"/>
  <c r="Q28" i="9"/>
  <c r="L29" i="9"/>
  <c r="P29" i="9"/>
  <c r="Q29" i="9"/>
  <c r="L30" i="9"/>
  <c r="P30" i="9"/>
  <c r="Q30" i="9"/>
  <c r="L31" i="9"/>
  <c r="P31" i="9"/>
  <c r="Q31" i="9"/>
  <c r="L32" i="9"/>
  <c r="P32" i="9"/>
  <c r="Q32" i="9"/>
  <c r="L33" i="9"/>
  <c r="P33" i="9"/>
  <c r="Q33" i="9"/>
  <c r="P34" i="9"/>
  <c r="Q34" i="9"/>
  <c r="P40" i="9"/>
  <c r="Q40" i="9"/>
  <c r="P41" i="9"/>
  <c r="P42" i="9"/>
  <c r="Q42" i="9"/>
  <c r="P43" i="9"/>
  <c r="Q43" i="9"/>
  <c r="P44" i="9"/>
  <c r="Q44" i="9"/>
  <c r="P45" i="9"/>
  <c r="Q45" i="9"/>
  <c r="P46" i="9"/>
  <c r="Q46" i="9"/>
  <c r="P47" i="9"/>
  <c r="Q47" i="9"/>
  <c r="P48" i="9"/>
  <c r="Q48" i="9"/>
  <c r="P49" i="9"/>
  <c r="Q49" i="9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X164" i="2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I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DI192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47" i="2" a="1"/>
  <c r="BC47" i="2" s="1"/>
  <c r="BC82" i="2" a="1"/>
  <c r="BC82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34" i="2" a="1"/>
  <c r="BC34" i="2" s="1"/>
  <c r="BC192" i="2" a="1"/>
  <c r="BC192" i="2" s="1"/>
  <c r="BC117" i="2" a="1"/>
  <c r="BC117" i="2" s="1"/>
  <c r="BC181" i="2" a="1"/>
  <c r="BC181" i="2" s="1"/>
  <c r="BC58" i="2" a="1"/>
  <c r="BC58" i="2" s="1"/>
  <c r="BC114" i="2" a="1"/>
  <c r="BC114" i="2" s="1"/>
  <c r="BC126" i="2" a="1"/>
  <c r="BC126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CY24" i="2" l="1"/>
  <c r="CY40" i="2"/>
  <c r="CY107" i="2"/>
  <c r="CY129" i="2"/>
  <c r="CY49" i="2"/>
  <c r="CY136" i="2"/>
  <c r="CY12" i="2"/>
  <c r="CY194" i="2"/>
  <c r="CY158" i="2"/>
  <c r="CY167" i="2"/>
  <c r="CY11" i="2"/>
  <c r="CY45" i="2"/>
  <c r="CY27" i="2"/>
  <c r="CY160" i="2"/>
  <c r="CY178" i="2"/>
  <c r="CY62" i="2"/>
  <c r="CY108" i="2"/>
  <c r="CY182" i="2"/>
  <c r="CY31" i="2"/>
  <c r="CY126" i="2"/>
  <c r="CY16" i="2"/>
  <c r="CY140" i="2"/>
  <c r="CY95" i="2"/>
  <c r="CY163" i="2"/>
  <c r="CY52" i="2"/>
  <c r="CY77" i="2"/>
  <c r="CY116" i="2"/>
  <c r="CY168" i="2"/>
  <c r="CY71" i="2"/>
  <c r="CY172" i="2"/>
  <c r="CY202" i="2"/>
  <c r="CY180" i="2"/>
  <c r="CY123" i="2"/>
  <c r="CY175" i="2"/>
  <c r="CY143" i="2"/>
  <c r="CY131" i="2"/>
  <c r="CY115" i="2"/>
  <c r="CY34" i="2"/>
  <c r="CY138" i="2"/>
  <c r="CY104" i="2"/>
  <c r="CY23" i="2"/>
  <c r="CY127" i="2"/>
  <c r="CY147" i="2"/>
  <c r="CY4" i="2"/>
  <c r="CY70" i="2"/>
  <c r="CY63" i="2"/>
  <c r="CY25" i="2"/>
  <c r="CY146" i="2"/>
  <c r="CY82" i="2"/>
  <c r="CY6" i="2"/>
  <c r="CY141" i="2"/>
  <c r="CY42" i="2"/>
  <c r="CY21" i="2"/>
  <c r="CY164" i="2"/>
  <c r="CY90" i="2"/>
  <c r="CY92" i="2"/>
  <c r="CY66" i="2"/>
  <c r="CY120" i="2"/>
  <c r="CY97" i="2"/>
  <c r="CY54" i="2"/>
  <c r="CY20" i="2"/>
  <c r="CY179" i="2"/>
  <c r="CY9" i="2"/>
  <c r="CY149" i="2"/>
  <c r="CY184" i="2"/>
  <c r="CY192" i="2"/>
  <c r="CY53" i="2"/>
  <c r="CY113" i="2"/>
  <c r="CY193" i="2"/>
  <c r="CY14" i="2"/>
  <c r="CY156" i="2"/>
  <c r="CY32" i="2"/>
  <c r="CY142" i="2"/>
  <c r="CY125" i="2"/>
  <c r="CY35" i="2"/>
  <c r="CY170" i="2"/>
  <c r="CY198" i="2"/>
  <c r="CY30" i="2"/>
  <c r="CY74" i="2"/>
  <c r="CY65" i="2"/>
  <c r="CY139" i="2"/>
  <c r="CY117" i="2"/>
  <c r="CY151" i="2"/>
  <c r="CY165" i="2"/>
  <c r="CY13" i="2"/>
  <c r="CY87" i="2"/>
  <c r="CY46" i="2"/>
  <c r="CY152" i="2"/>
  <c r="CY101" i="2"/>
  <c r="CY57" i="2"/>
  <c r="CY124" i="2"/>
  <c r="CY26" i="2"/>
  <c r="CY48" i="2"/>
  <c r="CY68" i="2"/>
  <c r="CY41" i="2"/>
  <c r="CY111" i="2"/>
  <c r="CY199" i="2"/>
  <c r="CY130" i="2"/>
  <c r="CY28" i="2"/>
  <c r="CY150" i="2"/>
  <c r="CY155" i="2"/>
  <c r="CY100" i="2"/>
  <c r="CY38" i="2"/>
  <c r="CY60" i="2"/>
  <c r="CY190" i="2"/>
  <c r="CY186" i="2"/>
  <c r="CY33" i="2"/>
  <c r="CY174" i="2"/>
  <c r="CY75" i="2"/>
  <c r="CY80" i="2"/>
  <c r="CY118" i="2"/>
  <c r="CY173" i="2"/>
  <c r="CY69" i="2"/>
  <c r="CY79" i="2"/>
  <c r="CY114" i="2"/>
  <c r="CY185" i="2"/>
  <c r="CY148" i="2"/>
  <c r="CY200" i="2"/>
  <c r="CY93" i="2"/>
  <c r="CY154" i="2"/>
  <c r="CY7" i="2"/>
  <c r="CY19" i="2"/>
  <c r="CY128" i="2"/>
  <c r="CY135" i="2"/>
  <c r="CY159" i="2"/>
  <c r="CY56" i="2"/>
  <c r="CY61" i="2"/>
  <c r="CY22" i="2"/>
  <c r="CY99" i="2"/>
  <c r="CY36" i="2"/>
  <c r="CY183" i="2"/>
  <c r="CY119" i="2"/>
  <c r="CY64" i="2"/>
  <c r="CY102" i="2"/>
  <c r="CY153" i="2"/>
  <c r="CY196" i="2"/>
  <c r="CY96" i="2"/>
  <c r="CY50" i="2"/>
  <c r="CY39" i="2"/>
  <c r="CY177" i="2"/>
  <c r="CY94" i="2"/>
  <c r="CY133" i="2"/>
  <c r="CY188" i="2"/>
  <c r="CY106" i="2"/>
  <c r="CY55" i="2"/>
  <c r="CY132" i="2"/>
  <c r="CY5" i="2"/>
  <c r="CY191" i="2"/>
  <c r="CY112" i="2"/>
  <c r="CY161" i="2"/>
  <c r="CY78" i="2"/>
  <c r="CY37" i="2"/>
  <c r="CY76" i="2"/>
  <c r="CY86" i="2"/>
  <c r="CY134" i="2"/>
  <c r="CY47" i="2"/>
  <c r="CY73" i="2"/>
  <c r="CY122" i="2"/>
  <c r="CY103" i="2"/>
  <c r="CY201" i="2"/>
  <c r="CY98" i="2"/>
  <c r="CY162" i="2"/>
  <c r="CY137" i="2"/>
  <c r="CY110" i="2"/>
  <c r="CY121" i="2"/>
  <c r="CY84" i="2"/>
  <c r="CY169" i="2"/>
  <c r="CY91" i="2"/>
  <c r="CY58" i="2"/>
  <c r="CY195" i="2"/>
  <c r="CY109" i="2"/>
  <c r="CY10" i="2"/>
  <c r="CY18" i="2"/>
  <c r="CY67" i="2"/>
  <c r="CY85" i="2"/>
  <c r="CY181" i="2"/>
  <c r="CY176" i="2"/>
  <c r="CY203" i="2"/>
  <c r="CY144" i="2"/>
  <c r="CY81" i="2"/>
  <c r="CY29" i="2"/>
  <c r="CY59" i="2"/>
  <c r="CY3" i="2"/>
  <c r="C10" i="4" s="1"/>
  <c r="E10" i="4" s="1"/>
  <c r="F10" i="4" s="1"/>
  <c r="G10" i="4" s="1"/>
  <c r="L10" i="4" s="1"/>
  <c r="CY89" i="2"/>
  <c r="CY171" i="2"/>
  <c r="CY8" i="2"/>
  <c r="CY17" i="2"/>
  <c r="CY88" i="2"/>
  <c r="CY83" i="2"/>
  <c r="CY51" i="2"/>
  <c r="CY15" i="2"/>
  <c r="CY157" i="2"/>
  <c r="CY189" i="2"/>
  <c r="CY44" i="2"/>
  <c r="CY145" i="2"/>
  <c r="CY43" i="2"/>
  <c r="CY187" i="2"/>
  <c r="CY105" i="2"/>
  <c r="CY197" i="2"/>
  <c r="CY166" i="2"/>
  <c r="CY72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3" i="2" l="1"/>
  <c r="BI162" i="2"/>
  <c r="BI47" i="2"/>
  <c r="BI92" i="2"/>
  <c r="BI176" i="2"/>
  <c r="BI194" i="2"/>
  <c r="BI17" i="2"/>
  <c r="BI45" i="2"/>
  <c r="BI101" i="2"/>
  <c r="BI100" i="2"/>
  <c r="BI84" i="2"/>
  <c r="BI152" i="2"/>
  <c r="BI130" i="2"/>
  <c r="BI115" i="2"/>
  <c r="BI160" i="2"/>
  <c r="BI141" i="2"/>
  <c r="BI27" i="2"/>
  <c r="BI10" i="2"/>
  <c r="BI136" i="2"/>
  <c r="BI131" i="2"/>
  <c r="BI198" i="2"/>
  <c r="BI125" i="2"/>
  <c r="BI26" i="2"/>
  <c r="BI179" i="2"/>
  <c r="BI79" i="2"/>
  <c r="BI72" i="2"/>
  <c r="BI146" i="2"/>
  <c r="BI24" i="2"/>
  <c r="BI96" i="2"/>
  <c r="BI69" i="2"/>
  <c r="BI197" i="2"/>
  <c r="BI140" i="2"/>
  <c r="BI3" i="2"/>
  <c r="C8" i="4" s="1"/>
  <c r="E8" i="4" s="1"/>
  <c r="F8" i="4" s="1"/>
  <c r="G8" i="4" s="1"/>
  <c r="L8" i="4" s="1"/>
  <c r="BI167" i="2"/>
  <c r="BI109" i="2"/>
  <c r="BI189" i="2"/>
  <c r="BI164" i="2"/>
  <c r="BI191" i="2"/>
  <c r="BI111" i="2"/>
  <c r="BI139" i="2"/>
  <c r="BI73" i="2"/>
  <c r="BI16" i="2"/>
  <c r="BI78" i="2"/>
  <c r="BI41" i="2"/>
  <c r="BI119" i="2"/>
  <c r="BI186" i="2"/>
  <c r="BI19" i="2"/>
  <c r="BI151" i="2"/>
  <c r="BI171" i="2"/>
  <c r="BI172" i="2"/>
  <c r="BI74" i="2"/>
  <c r="BI52" i="2"/>
  <c r="BI77" i="2"/>
  <c r="BI50" i="2"/>
  <c r="BI60" i="2"/>
  <c r="BI144" i="2"/>
  <c r="BI157" i="2"/>
  <c r="BI75" i="2"/>
  <c r="BI104" i="2"/>
  <c r="BI143" i="2"/>
  <c r="BI121" i="2"/>
  <c r="BI155" i="2"/>
  <c r="BI86" i="2"/>
  <c r="BI154" i="2"/>
  <c r="BI21" i="2"/>
  <c r="BI178" i="2"/>
  <c r="BI145" i="2"/>
  <c r="BI173" i="2"/>
  <c r="BI148" i="2"/>
  <c r="BI177" i="2"/>
  <c r="BI56" i="2"/>
  <c r="BI133" i="2"/>
  <c r="BI62" i="2"/>
  <c r="BI103" i="2"/>
  <c r="BI12" i="2"/>
  <c r="BI135" i="2"/>
  <c r="BI175" i="2"/>
  <c r="BI14" i="2"/>
  <c r="BI93" i="2"/>
  <c r="BI76" i="2"/>
  <c r="BI158" i="2"/>
  <c r="BI97" i="2"/>
  <c r="BI112" i="2"/>
  <c r="BI7" i="2"/>
  <c r="BI5" i="2"/>
  <c r="BI95" i="2"/>
  <c r="BI117" i="2"/>
  <c r="BI98" i="2"/>
  <c r="BI35" i="2"/>
  <c r="BI29" i="2"/>
  <c r="BI80" i="2"/>
  <c r="BI192" i="2"/>
  <c r="BI70" i="2"/>
  <c r="BI44" i="2"/>
  <c r="BI193" i="2"/>
  <c r="BI190" i="2"/>
  <c r="BI61" i="2"/>
  <c r="BI59" i="2"/>
  <c r="BI90" i="2"/>
  <c r="BI99" i="2"/>
  <c r="BI128" i="2"/>
  <c r="BI31" i="2"/>
  <c r="BI9" i="2"/>
  <c r="BI64" i="2"/>
  <c r="BI114" i="2"/>
  <c r="BI180" i="2"/>
  <c r="BI199" i="2"/>
  <c r="BI132" i="2"/>
  <c r="BI89" i="2"/>
  <c r="BI108" i="2"/>
  <c r="BI118" i="2"/>
  <c r="BI53" i="2"/>
  <c r="BI91" i="2"/>
  <c r="BI68" i="2"/>
  <c r="BI42" i="2"/>
  <c r="BI32" i="2"/>
  <c r="BI181" i="2"/>
  <c r="BI174" i="2"/>
  <c r="BI25" i="2"/>
  <c r="BI127" i="2"/>
  <c r="BI36" i="2"/>
  <c r="BI65" i="2"/>
  <c r="BI200" i="2"/>
  <c r="BI106" i="2"/>
  <c r="BI81" i="2"/>
  <c r="BI30" i="2"/>
  <c r="BI15" i="2"/>
  <c r="BI37" i="2"/>
  <c r="BI23" i="2"/>
  <c r="BI39" i="2"/>
  <c r="BI57" i="2"/>
  <c r="BI13" i="2"/>
  <c r="BI38" i="2"/>
  <c r="BI182" i="2"/>
  <c r="BI85" i="2"/>
  <c r="BI169" i="2"/>
  <c r="BI28" i="2"/>
  <c r="BI122" i="2"/>
  <c r="BI4" i="2"/>
  <c r="BI201" i="2"/>
  <c r="BI67" i="2"/>
  <c r="BI156" i="2"/>
  <c r="BI126" i="2"/>
  <c r="BI138" i="2"/>
  <c r="BI71" i="2"/>
  <c r="BI129" i="2"/>
  <c r="BI124" i="2"/>
  <c r="BI149" i="2"/>
  <c r="BI166" i="2"/>
  <c r="BI161" i="2"/>
  <c r="BI142" i="2"/>
  <c r="BI170" i="2"/>
  <c r="BI184" i="2"/>
  <c r="BI82" i="2"/>
  <c r="BI187" i="2"/>
  <c r="BI110" i="2"/>
  <c r="BI87" i="2"/>
  <c r="BI116" i="2"/>
  <c r="BI40" i="2"/>
  <c r="BI94" i="2"/>
  <c r="BI6" i="2"/>
  <c r="BI83" i="2"/>
  <c r="BI113" i="2"/>
  <c r="BI120" i="2"/>
  <c r="BI202" i="2"/>
  <c r="BI22" i="2"/>
  <c r="BI55" i="2"/>
  <c r="BI58" i="2"/>
  <c r="BI163" i="2"/>
  <c r="BI185" i="2"/>
  <c r="BI137" i="2"/>
  <c r="BI168" i="2"/>
  <c r="BI43" i="2"/>
  <c r="BI165" i="2"/>
  <c r="BI20" i="2"/>
  <c r="BI49" i="2"/>
  <c r="BI63" i="2"/>
  <c r="BI147" i="2"/>
  <c r="BI46" i="2"/>
  <c r="BI196" i="2"/>
  <c r="BI33" i="2"/>
  <c r="BI66" i="2"/>
  <c r="BI195" i="2"/>
  <c r="BI105" i="2"/>
  <c r="BI51" i="2"/>
  <c r="BI11" i="2"/>
  <c r="BI34" i="2"/>
  <c r="BI159" i="2"/>
  <c r="BI18" i="2"/>
  <c r="BI150" i="2"/>
  <c r="BI8" i="2"/>
  <c r="BI102" i="2"/>
  <c r="BI188" i="2"/>
  <c r="BI48" i="2"/>
  <c r="BI134" i="2"/>
  <c r="BI123" i="2"/>
  <c r="BI107" i="2"/>
  <c r="BI88" i="2"/>
  <c r="BI203" i="2"/>
  <c r="BI183" i="2"/>
  <c r="BI5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<sst xmlns="http://schemas.openxmlformats.org/spreadsheetml/2006/main" count="1375" uniqueCount="341">
  <si>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</si>
  <si>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</si>
  <si>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</si>
  <si>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</si>
  <si>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</si>
  <si>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</si>
  <si>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</si>
  <si>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</si>
  <si>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</si>
  <si>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</si>
  <si>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</si>
  <si>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</si>
  <si>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</si>
  <si>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</si>
  <si>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</si>
  <si>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</si>
  <si>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</si>
  <si>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</si>
  <si>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</si>
  <si>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</si>
  <si>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</si>
  <si>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</si>
  <si>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</si>
  <si>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</si>
  <si>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</si>
  <si>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</si>
  <si>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</si>
  <si>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</si>
  <si>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</si>
  <si>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</si>
  <si>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</si>
  <si>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</si>
  <si>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</si>
  <si>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</si>
  <si>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</si>
  <si>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</si>
  <si>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</si>
  <si>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</si>
  <si>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</si>
  <si>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</si>
  <si>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</si>
  <si>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</si>
  <si>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</si>
  <si>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</si>
  <si>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</si>
  <si>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</si>
  <si>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</si>
  <si>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</si>
  <si>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</si>
  <si>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</si>
  <si>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</si>
  <si>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</si>
  <si>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</si>
  <si>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</si>
  <si>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</si>
  <si>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</si>
  <si>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</si>
  <si>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</si>
  <si>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</si>
  <si>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</si>
  <si>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</si>
  <si>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</si>
  <si>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</si>
  <si>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</si>
  <si>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</si>
  <si>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</si>
  <si>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</si>
  <si>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</si>
  <si>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</si>
  <si>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</si>
  <si>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</si>
  <si>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</si>
  <si>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</si>
  <si>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</si>
  <si>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</si>
  <si>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</si>
  <si>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</si>
  <si>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</si>
  <si>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</si>
  <si>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</si>
  <si>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</si>
  <si>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</si>
  <si>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</si>
  <si>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</si>
  <si>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</si>
  <si>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</si>
  <si>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</si>
  <si>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</si>
  <si>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</si>
  <si>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</si>
  <si>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</si>
  <si>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</si>
  <si>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</si>
  <si>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</si>
  <si>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</si>
  <si>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</si>
  <si>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</si>
  <si>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</si>
  <si>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</si>
  <si>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</si>
  <si>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</si>
  <si>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</si>
  <si>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</si>
  <si>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</si>
  <si>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</si>
  <si>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</si>
  <si>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</si>
  <si>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</si>
  <si>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</si>
  <si>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</si>
  <si>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</si>
  <si>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</si>
  <si>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</si>
  <si>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</si>
  <si>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</si>
  <si>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</si>
  <si>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</si>
  <si>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</si>
  <si>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</si>
  <si>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</si>
  <si>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</si>
  <si>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</si>
  <si>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</si>
  <si>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</si>
  <si>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</si>
  <si>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</si>
  <si>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</si>
  <si>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</si>
  <si>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</si>
  <si>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</si>
  <si>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</si>
  <si>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</si>
  <si>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</si>
  <si>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</si>
  <si>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</si>
  <si>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</si>
  <si>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</si>
  <si>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</si>
  <si>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</si>
  <si>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</si>
  <si>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</si>
  <si>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</si>
  <si>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</si>
  <si>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</si>
  <si>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</si>
  <si>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</si>
  <si>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</si>
  <si>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</si>
  <si>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</si>
  <si>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</si>
  <si>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</si>
  <si>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</si>
  <si>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</si>
  <si>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</si>
  <si>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</si>
  <si>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</si>
  <si>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</si>
  <si>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</si>
  <si>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</si>
  <si>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</si>
  <si>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</si>
  <si>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</si>
  <si>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</si>
  <si>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</si>
  <si>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</si>
  <si>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</si>
  <si>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</si>
  <si>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</si>
  <si>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</si>
  <si>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</si>
  <si>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</si>
  <si>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</si>
  <si>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</si>
  <si>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</si>
  <si>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</si>
  <si>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</si>
  <si>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</si>
  <si>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</si>
  <si>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</si>
  <si>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</si>
  <si>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</si>
  <si>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</si>
  <si>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</si>
  <si>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</si>
  <si>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</si>
  <si>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</si>
  <si>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</si>
  <si>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</si>
  <si>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</si>
  <si>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</si>
  <si>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</si>
  <si>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</si>
  <si>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</si>
  <si>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</si>
  <si>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</si>
  <si>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</si>
  <si>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</si>
  <si>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</si>
  <si>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</si>
  <si>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</si>
  <si>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</si>
  <si>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</si>
  <si>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</si>
  <si>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</si>
  <si>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</si>
  <si>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</si>
  <si>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</si>
  <si>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</si>
  <si>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</si>
  <si>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</si>
  <si>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</si>
  <si>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</si>
  <si>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</si>
  <si>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</si>
  <si>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</si>
  <si>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</si>
  <si>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</si>
  <si>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</si>
  <si>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</si>
  <si>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</si>
  <si>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</si>
  <si>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</si>
  <si>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</si>
  <si>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</si>
  <si>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</si>
  <si>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</si>
  <si>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</si>
  <si>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</si>
  <si>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</si>
  <si>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</si>
  <si>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</si>
  <si>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</si>
  <si>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</si>
  <si>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</si>
  <si>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</si>
  <si>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</si>
  <si>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</si>
  <si>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</si>
  <si>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</si>
  <si>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</si>
  <si>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</si>
  <si>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</si>
  <si>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</si>
  <si>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</si>
  <si>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</si>
  <si>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</si>
  <si>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</si>
  <si>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</si>
  <si>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</si>
  <si>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</si>
  <si>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</si>
  <si>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</si>
  <si>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</si>
  <si>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</si>
  <si>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</si>
  <si>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</si>
  <si>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</si>
  <si>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</si>
  <si>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</si>
  <si>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</si>
  <si>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</si>
  <si>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</si>
  <si>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</si>
  <si>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</si>
  <si>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</si>
  <si>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</si>
  <si>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</si>
  <si>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</si>
  <si>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</si>
  <si>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</si>
  <si>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</si>
  <si>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</si>
  <si>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</si>
  <si>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</si>
  <si>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</si>
  <si>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</si>
  <si>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</si>
  <si>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</si>
  <si>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</si>
  <si>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</si>
  <si>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</si>
  <si>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</si>
  <si>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</si>
  <si>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</si>
  <si>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</si>
  <si>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</si>
  <si>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</si>
  <si>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</si>
  <si>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</si>
  <si>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</si>
  <si>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</si>
  <si>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</si>
  <si>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</si>
  <si>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</si>
  <si>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</si>
  <si>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</si>
  <si>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</si>
  <si>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</si>
  <si>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</si>
  <si>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</si>
  <si>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</si>
  <si>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</si>
  <si>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</si>
  <si>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</si>
  <si>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</si>
  <si>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</si>
  <si>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</si>
  <si>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</si>
  <si>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</si>
  <si>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</si>
  <si>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</si>
  <si>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</si>
  <si>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</si>
  <si>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</si>
  <si>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</si>
  <si>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</si>
  <si>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</si>
  <si>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</si>
  <si>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</si>
  <si>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</si>
  <si>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</si>
  <si>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</si>
  <si>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</si>
  <si>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</si>
  <si>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</si>
  <si>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r>
      <t>Volume bois fort 
avant éclaircie (m</t>
    </r>
    <r>
      <rPr>
        <b/>
        <sz val="11"/>
        <color theme="0"/>
        <rFont val="Calibri"/>
        <family val="2"/>
      </rPr>
      <t>³</t>
    </r>
    <r>
      <rPr>
        <b/>
        <sz val="11"/>
        <color theme="0"/>
        <rFont val="Calibri"/>
        <family val="2"/>
        <scheme val="minor"/>
      </rPr>
      <t>/ha)</t>
    </r>
  </si>
  <si>
    <t>CF.5</t>
  </si>
  <si>
    <t>CF.4</t>
  </si>
  <si>
    <t>CF.3</t>
  </si>
  <si>
    <t/>
  </si>
  <si>
    <t>CF.2</t>
  </si>
  <si>
    <t>CF.1</t>
  </si>
  <si>
    <t>Guide des sylvicultures Chênaies continentales - Sylviculture dynamique - ONF</t>
  </si>
  <si>
    <t>CRPF Bretagne - Bilan des essais forestiers consacrés au Châtaignier</t>
  </si>
  <si>
    <t>(DECOURT -  1965) SOLOGNE</t>
  </si>
  <si>
    <t>Rabais de 20% sur les productivités du Chêne</t>
  </si>
  <si>
    <t>Rabais de 20% sur les productivités du Chataignier</t>
  </si>
  <si>
    <t xml:space="preserve">FEUILLUS CROISSANCE LENTE  (ALISIER, CHENE VERT) </t>
  </si>
  <si>
    <t xml:space="preserve">FEUILLUS CROISSANCE RAPIDE (TILLEUL, MERISIER, ERABLE, CHARME) </t>
  </si>
  <si>
    <t>PIN SYLVESTRE</t>
  </si>
  <si>
    <t>CHENE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</si>
</sst>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Arial Narrow"/>
      <family val="2"/>
    </font>
    <font>
      <i/>
      <sz val="11"/>
      <color theme="3" tint="-0.499984740745262"/>
      <name val="Arial Narrow"/>
      <family val="2"/>
    </font>
    <font>
      <sz val="18"/>
      <color theme="0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4" fillId="0" borderId="0" xfId="3"/>
    <xf numFmtId="9" fontId="33" fillId="21" borderId="1" xfId="4" applyFont="1" applyFill="1" applyBorder="1" applyAlignment="1" applyProtection="1">
      <alignment horizontal="center"/>
      <protection locked="0" hidden="1"/>
    </xf>
    <xf numFmtId="1" fontId="4" fillId="0" borderId="1" xfId="3" applyNumberFormat="1" applyBorder="1"/>
    <xf numFmtId="0" fontId="33" fillId="21" borderId="1" xfId="3" applyFont="1" applyFill="1" applyBorder="1" applyAlignment="1" applyProtection="1">
      <alignment horizontal="center"/>
      <protection locked="0"/>
    </xf>
    <xf numFmtId="0" fontId="4" fillId="0" borderId="1" xfId="3" applyBorder="1"/>
    <xf numFmtId="0" fontId="32" fillId="22" borderId="1" xfId="3" applyFont="1" applyFill="1" applyBorder="1" applyAlignment="1" applyProtection="1">
      <alignment horizontal="center" vertical="center"/>
      <protection hidden="1"/>
    </xf>
    <xf numFmtId="0" fontId="32" fillId="22" borderId="1" xfId="3" applyFont="1" applyFill="1" applyBorder="1" applyAlignment="1" applyProtection="1">
      <alignment horizontal="center" vertical="center" wrapText="1"/>
      <protection hidden="1"/>
    </xf>
    <xf numFmtId="0" fontId="32" fillId="22" borderId="6" xfId="3" applyFont="1" applyFill="1" applyBorder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/>
      <protection hidden="1"/>
    </xf>
    <xf numFmtId="0" fontId="32" fillId="22" borderId="4" xfId="3" applyFont="1" applyFill="1" applyBorder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 wrapText="1"/>
      <protection hidden="1"/>
    </xf>
    <xf numFmtId="0" fontId="32" fillId="22" borderId="4" xfId="3" applyFont="1" applyFill="1" applyBorder="1" applyAlignment="1" applyProtection="1">
      <alignment horizontal="center" vertical="center" wrapText="1"/>
      <protection hidden="1"/>
    </xf>
    <xf numFmtId="0" fontId="32" fillId="22" borderId="7" xfId="3" applyFont="1" applyFill="1" applyBorder="1" applyAlignment="1" applyProtection="1">
      <alignment horizontal="center" vertical="center"/>
      <protection hidden="1"/>
    </xf>
    <xf numFmtId="0" fontId="4" fillId="0" borderId="0" xfId="3" applyProtection="1">
      <protection hidden="1"/>
    </xf>
    <xf numFmtId="9" fontId="33" fillId="0" borderId="0" xfId="4" applyFont="1" applyFill="1" applyBorder="1" applyAlignment="1" applyProtection="1">
      <alignment horizontal="center"/>
      <protection locked="0" hidden="1"/>
    </xf>
    <xf numFmtId="0" fontId="33" fillId="0" borderId="0" xfId="3" applyFont="1" applyAlignment="1" applyProtection="1">
      <alignment horizontal="center"/>
      <protection locked="0"/>
    </xf>
    <xf numFmtId="0" fontId="33" fillId="21" borderId="1" xfId="3" applyFont="1" applyFill="1" applyBorder="1" applyAlignment="1" applyProtection="1">
      <alignment horizontal="center"/>
      <protection locked="0" hidden="1"/>
    </xf>
    <xf numFmtId="0" fontId="4" fillId="0" borderId="1" xfId="3" applyBorder="1" applyAlignment="1">
      <alignment horizontal="center"/>
    </xf>
    <xf numFmtId="0" fontId="4" fillId="0" borderId="39" xfId="3" applyBorder="1"/>
    <xf numFmtId="0" fontId="32" fillId="22" borderId="6" xfId="3" applyFont="1" applyFill="1" applyBorder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/>
      <protection hidden="1"/>
    </xf>
    <xf numFmtId="0" fontId="32" fillId="22" borderId="4" xfId="3" applyFont="1" applyFill="1" applyBorder="1" applyAlignment="1" applyProtection="1">
      <alignment horizontal="center" vertical="center"/>
      <protection hidden="1"/>
    </xf>
    <xf numFmtId="0" fontId="32" fillId="22" borderId="5" xfId="3" applyFont="1" applyFill="1" applyBorder="1" applyAlignment="1" applyProtection="1">
      <alignment horizontal="center" vertical="center" wrapText="1"/>
      <protection hidden="1"/>
    </xf>
    <xf numFmtId="0" fontId="32" fillId="22" borderId="4" xfId="3" applyFont="1" applyFill="1" applyBorder="1" applyAlignment="1" applyProtection="1">
      <alignment horizontal="center" vertical="center" wrapText="1"/>
      <protection hidden="1"/>
    </xf>
    <xf numFmtId="0" fontId="4" fillId="0" borderId="1" xfId="3" applyBorder="1" applyAlignment="1">
      <alignment vertical="center"/>
    </xf>
    <xf numFmtId="0" fontId="4" fillId="0" borderId="39" xfId="3" applyBorder="1" applyAlignment="1">
      <alignment horizontal="center"/>
    </xf>
    <xf numFmtId="0" fontId="32" fillId="0" borderId="0" xfId="3" applyFont="1" applyAlignment="1" applyProtection="1">
      <alignment horizontal="center" vertical="center"/>
      <protection hidden="1"/>
    </xf>
    <xf numFmtId="0" fontId="32" fillId="0" borderId="0" xfId="3" applyFont="1" applyAlignment="1" applyProtection="1">
      <alignment horizontal="center" vertical="center" wrapText="1"/>
      <protection hidden="1"/>
    </xf>
    <xf numFmtId="9" fontId="33" fillId="21" borderId="0" xfId="4" applyFont="1" applyFill="1" applyBorder="1" applyAlignment="1" applyProtection="1">
      <alignment horizontal="center"/>
      <protection locked="0" hidden="1"/>
    </xf>
    <xf numFmtId="0" fontId="35" fillId="0" borderId="0" xfId="3" applyFont="1" applyAlignment="1">
      <alignment horizontal="center" vertical="center"/>
    </xf>
    <xf numFmtId="1" fontId="4" fillId="0" borderId="0" xfId="3" applyNumberFormat="1"/>
    <xf numFmtId="0" fontId="35" fillId="0" borderId="0" xfId="3" applyFont="1" applyAlignment="1">
      <alignment vertical="center"/>
    </xf>
    <xf numFmtId="0" fontId="36" fillId="0" borderId="0" xfId="3" applyFont="1" applyAlignment="1">
      <alignment horizontal="left" vertical="center"/>
    </xf>
    <xf numFmtId="0" fontId="36" fillId="0" borderId="0" xfId="3" applyFont="1" applyAlignment="1">
      <alignment horizontal="left" vertical="center"/>
    </xf>
    <xf numFmtId="0" fontId="27" fillId="0" borderId="0" xfId="3" applyFont="1"/>
    <xf numFmtId="0" fontId="37" fillId="22" borderId="0" xfId="3" applyFont="1" applyFill="1" applyAlignment="1">
      <alignment horizontal="center"/>
    </xf>
  </cellXfs>
  <cellStyles count="5">
    <cellStyle name="Lien hypertexte" xfId="2" builtinId="8"/>
    <cellStyle name="Normal" xfId="0" builtinId="0"/>
    <cellStyle name="Normal 2" xfId="3" xr:uid="{9FF11DE9-9D0C-4B9D-9DC5-6D87C44068E6}"/>
    <cellStyle name="Pourcentage" xfId="1" builtinId="5"/>
    <cellStyle name="Pourcentage 2" xfId="4" xr:uid="{04B68970-4334-4060-B716-F40C471E1F1B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6.00148160343565</c:v>
                </c:pt>
                <c:pt idx="2">
                  <c:v>11.729857801718786</c:v>
                </c:pt>
                <c:pt idx="3">
                  <c:v>17.370034663171413</c:v>
                </c:pt>
                <c:pt idx="4">
                  <c:v>22.955843401229529</c:v>
                </c:pt>
                <c:pt idx="5">
                  <c:v>28.502617430882832</c:v>
                </c:pt>
                <c:pt idx="6">
                  <c:v>34.019103572229398</c:v>
                </c:pt>
                <c:pt idx="7">
                  <c:v>39.510940561985755</c:v>
                </c:pt>
                <c:pt idx="8">
                  <c:v>44.982056002892115</c:v>
                </c:pt>
                <c:pt idx="9">
                  <c:v>50.435336732925691</c:v>
                </c:pt>
                <c:pt idx="10">
                  <c:v>55.872990435685118</c:v>
                </c:pt>
                <c:pt idx="11">
                  <c:v>61.296757707499445</c:v>
                </c:pt>
                <c:pt idx="12">
                  <c:v>66.708044520841597</c:v>
                </c:pt>
                <c:pt idx="13">
                  <c:v>72.108009157025222</c:v>
                </c:pt>
                <c:pt idx="14">
                  <c:v>77.497621577495494</c:v>
                </c:pt>
                <c:pt idx="15">
                  <c:v>82.877705325978226</c:v>
                </c:pt>
                <c:pt idx="16">
                  <c:v>88.248967928146428</c:v>
                </c:pt>
                <c:pt idx="17">
                  <c:v>93.61202347027897</c:v>
                </c:pt>
                <c:pt idx="18">
                  <c:v>98.96740971201227</c:v>
                </c:pt>
                <c:pt idx="19">
                  <c:v>104.31560128723459</c:v>
                </c:pt>
                <c:pt idx="20">
                  <c:v>109.65702004656204</c:v>
                </c:pt>
                <c:pt idx="21">
                  <c:v>114.99204327253635</c:v>
                </c:pt>
                <c:pt idx="22">
                  <c:v>120.32101028568674</c:v>
                </c:pt>
                <c:pt idx="23">
                  <c:v>125.64422781553765</c:v>
                </c:pt>
                <c:pt idx="24">
                  <c:v>130.9619744111707</c:v>
                </c:pt>
                <c:pt idx="25">
                  <c:v>136.27450409597938</c:v>
                </c:pt>
                <c:pt idx="26">
                  <c:v>141.58204942120318</c:v>
                </c:pt>
                <c:pt idx="27">
                  <c:v>146.88482403647276</c:v>
                </c:pt>
                <c:pt idx="28">
                  <c:v>152.18302486882931</c:v>
                </c:pt>
                <c:pt idx="29">
                  <c:v>157.47683398170673</c:v>
                </c:pt>
                <c:pt idx="30">
                  <c:v>162.76642017029977</c:v>
                </c:pt>
                <c:pt idx="31">
                  <c:v>168.05194033823986</c:v>
                </c:pt>
                <c:pt idx="32">
                  <c:v>173.33354069164636</c:v>
                </c:pt>
                <c:pt idx="33">
                  <c:v>178.6113577797278</c:v>
                </c:pt>
                <c:pt idx="34">
                  <c:v>183.88551940570605</c:v>
                </c:pt>
                <c:pt idx="35">
                  <c:v>189.1561454275616</c:v>
                </c:pt>
                <c:pt idx="36">
                  <c:v>194.42334846469248</c:v>
                </c:pt>
                <c:pt idx="37">
                  <c:v>199.68723452384862</c:v>
                </c:pt>
                <c:pt idx="38">
                  <c:v>204.94790355549432</c:v>
                </c:pt>
                <c:pt idx="39">
                  <c:v>210.20544994995885</c:v>
                </c:pt>
                <c:pt idx="40">
                  <c:v>215.45996298126826</c:v>
                </c:pt>
                <c:pt idx="41">
                  <c:v>220.71152720534405</c:v>
                </c:pt>
                <c:pt idx="42">
                  <c:v>225.96022281826015</c:v>
                </c:pt>
                <c:pt idx="43">
                  <c:v>179.35836102345846</c:v>
                </c:pt>
                <c:pt idx="44">
                  <c:v>191.44056779171277</c:v>
                </c:pt>
                <c:pt idx="45">
                  <c:v>203.5050258813136</c:v>
                </c:pt>
                <c:pt idx="46">
                  <c:v>215.55293641173822</c:v>
                </c:pt>
                <c:pt idx="47">
                  <c:v>227.5853551413918</c:v>
                </c:pt>
                <c:pt idx="48">
                  <c:v>239.60321698163887</c:v>
                </c:pt>
                <c:pt idx="49">
                  <c:v>196.17057600271923</c:v>
                </c:pt>
                <c:pt idx="50">
                  <c:v>207.41421566911529</c:v>
                </c:pt>
                <c:pt idx="51">
                  <c:v>218.64378008490459</c:v>
                </c:pt>
                <c:pt idx="52">
                  <c:v>229.86009453547467</c:v>
                </c:pt>
                <c:pt idx="53">
                  <c:v>241.06389711567908</c:v>
                </c:pt>
                <c:pt idx="54">
                  <c:v>252.25585165357404</c:v>
                </c:pt>
                <c:pt idx="55">
                  <c:v>263.43655821796295</c:v>
                </c:pt>
                <c:pt idx="56">
                  <c:v>274.60656174697812</c:v>
                </c:pt>
                <c:pt idx="57">
                  <c:v>217.42383107628061</c:v>
                </c:pt>
                <c:pt idx="58">
                  <c:v>230.34747151073736</c:v>
                </c:pt>
                <c:pt idx="59">
                  <c:v>243.2545399668592</c:v>
                </c:pt>
                <c:pt idx="60">
                  <c:v>256.14603997721747</c:v>
                </c:pt>
                <c:pt idx="61">
                  <c:v>269.02286575262457</c:v>
                </c:pt>
                <c:pt idx="62">
                  <c:v>281.88581886622069</c:v>
                </c:pt>
                <c:pt idx="63">
                  <c:v>294.73562173020292</c:v>
                </c:pt>
                <c:pt idx="64">
                  <c:v>307.57292859760338</c:v>
                </c:pt>
                <c:pt idx="65">
                  <c:v>239.11627858664042</c:v>
                </c:pt>
                <c:pt idx="66">
                  <c:v>250.3102488763225</c:v>
                </c:pt>
                <c:pt idx="67">
                  <c:v>261.49287101457111</c:v>
                </c:pt>
                <c:pt idx="68">
                  <c:v>272.6646989766358</c:v>
                </c:pt>
                <c:pt idx="69">
                  <c:v>283.82623760553963</c:v>
                </c:pt>
                <c:pt idx="70">
                  <c:v>294.97794877206235</c:v>
                </c:pt>
                <c:pt idx="71">
                  <c:v>306.12025655381473</c:v>
                </c:pt>
                <c:pt idx="72">
                  <c:v>317.25355162035777</c:v>
                </c:pt>
                <c:pt idx="73">
                  <c:v>264.67818878608631</c:v>
                </c:pt>
                <c:pt idx="74">
                  <c:v>274.17506344297743</c:v>
                </c:pt>
                <c:pt idx="75">
                  <c:v>283.66454742534944</c:v>
                </c:pt>
                <c:pt idx="76">
                  <c:v>293.14692302512321</c:v>
                </c:pt>
                <c:pt idx="77">
                  <c:v>302.62245276656</c:v>
                </c:pt>
                <c:pt idx="78">
                  <c:v>312.09138137959536</c:v>
                </c:pt>
                <c:pt idx="79">
                  <c:v>321.55393752100821</c:v>
                </c:pt>
                <c:pt idx="80">
                  <c:v>331.01033528227794</c:v>
                </c:pt>
                <c:pt idx="81">
                  <c:v>340.46077551603133</c:v>
                </c:pt>
                <c:pt idx="82">
                  <c:v>289.69959193116125</c:v>
                </c:pt>
                <c:pt idx="83">
                  <c:v>298.9622481936658</c:v>
                </c:pt>
                <c:pt idx="84">
                  <c:v>308.21851162836055</c:v>
                </c:pt>
                <c:pt idx="85">
                  <c:v>317.46860143287205</c:v>
                </c:pt>
                <c:pt idx="86">
                  <c:v>326.71272297937384</c:v>
                </c:pt>
                <c:pt idx="87">
                  <c:v>335.95106906163022</c:v>
                </c:pt>
                <c:pt idx="88">
                  <c:v>345.18382099762539</c:v>
                </c:pt>
                <c:pt idx="89">
                  <c:v>354.41114960799831</c:v>
                </c:pt>
                <c:pt idx="90">
                  <c:v>363.63321608721009</c:v>
                </c:pt>
                <c:pt idx="91">
                  <c:v>314.83401808651024</c:v>
                </c:pt>
                <c:pt idx="92">
                  <c:v>324.02608209744523</c:v>
                </c:pt>
                <c:pt idx="93">
                  <c:v>333.21238343704937</c:v>
                </c:pt>
                <c:pt idx="94">
                  <c:v>342.39310348379189</c:v>
                </c:pt>
                <c:pt idx="95">
                  <c:v>351.56841308920212</c:v>
                </c:pt>
                <c:pt idx="96">
                  <c:v>360.73847345360628</c:v>
                </c:pt>
                <c:pt idx="97">
                  <c:v>369.90343690812443</c:v>
                </c:pt>
                <c:pt idx="98">
                  <c:v>379.06344761508899</c:v>
                </c:pt>
                <c:pt idx="99">
                  <c:v>388.21864219719714</c:v>
                </c:pt>
                <c:pt idx="100">
                  <c:v>397.36915030419732</c:v>
                </c:pt>
                <c:pt idx="101">
                  <c:v>406.51509512463485</c:v>
                </c:pt>
                <c:pt idx="102">
                  <c:v>415.65659384912652</c:v>
                </c:pt>
                <c:pt idx="103">
                  <c:v>345.45213302786465</c:v>
                </c:pt>
                <c:pt idx="104">
                  <c:v>354.30388563085967</c:v>
                </c:pt>
                <c:pt idx="105">
                  <c:v>363.15079407733782</c:v>
                </c:pt>
                <c:pt idx="106">
                  <c:v>371.99299309375618</c:v>
                </c:pt>
                <c:pt idx="107">
                  <c:v>380.83061047520181</c:v>
                </c:pt>
                <c:pt idx="108">
                  <c:v>389.66376759807389</c:v>
                </c:pt>
                <c:pt idx="109">
                  <c:v>398.49257988383368</c:v>
                </c:pt>
                <c:pt idx="110">
                  <c:v>407.31715721949678</c:v>
                </c:pt>
                <c:pt idx="111">
                  <c:v>416.13760433977217</c:v>
                </c:pt>
                <c:pt idx="112">
                  <c:v>424.95402117510031</c:v>
                </c:pt>
                <c:pt idx="113">
                  <c:v>433.76650316929613</c:v>
                </c:pt>
                <c:pt idx="114">
                  <c:v>442.57514157002373</c:v>
                </c:pt>
                <c:pt idx="115">
                  <c:v>380.18802648892802</c:v>
                </c:pt>
                <c:pt idx="116">
                  <c:v>389.02150403308605</c:v>
                </c:pt>
                <c:pt idx="117">
                  <c:v>397.8506285372959</c:v>
                </c:pt>
                <c:pt idx="118">
                  <c:v>406.6755102777567</c:v>
                </c:pt>
                <c:pt idx="119">
                  <c:v>415.49625435176654</c:v>
                </c:pt>
                <c:pt idx="120">
                  <c:v>424.31296102811012</c:v>
                </c:pt>
                <c:pt idx="121">
                  <c:v>433.12572606679754</c:v>
                </c:pt>
                <c:pt idx="122">
                  <c:v>441.93464101141541</c:v>
                </c:pt>
                <c:pt idx="123">
                  <c:v>450.73979345694892</c:v>
                </c:pt>
                <c:pt idx="124">
                  <c:v>459.54126729557947</c:v>
                </c:pt>
                <c:pt idx="125">
                  <c:v>468.33914294266782</c:v>
                </c:pt>
                <c:pt idx="126">
                  <c:v>477.13349754486808</c:v>
                </c:pt>
                <c:pt idx="127">
                  <c:v>413.25136099204724</c:v>
                </c:pt>
                <c:pt idx="128">
                  <c:v>422.38965536388554</c:v>
                </c:pt>
                <c:pt idx="129">
                  <c:v>431.52369414956593</c:v>
                </c:pt>
                <c:pt idx="130">
                  <c:v>440.65358016358823</c:v>
                </c:pt>
                <c:pt idx="131">
                  <c:v>449.77941161089092</c:v>
                </c:pt>
                <c:pt idx="132">
                  <c:v>458.90128238487137</c:v>
                </c:pt>
                <c:pt idx="133">
                  <c:v>468.01928234047119</c:v>
                </c:pt>
                <c:pt idx="134">
                  <c:v>477.13349754486808</c:v>
                </c:pt>
                <c:pt idx="135">
                  <c:v>486.24401050801248</c:v>
                </c:pt>
                <c:pt idx="136">
                  <c:v>495.35090039498482</c:v>
                </c:pt>
                <c:pt idx="137">
                  <c:v>504.45424322192139</c:v>
                </c:pt>
                <c:pt idx="138">
                  <c:v>513.55411203705955</c:v>
                </c:pt>
                <c:pt idx="139">
                  <c:v>448.08262970670529</c:v>
                </c:pt>
                <c:pt idx="140">
                  <c:v>457.42924470500998</c:v>
                </c:pt>
                <c:pt idx="141">
                  <c:v>466.7717814393539</c:v>
                </c:pt>
                <c:pt idx="142">
                  <c:v>476.11033306856535</c:v>
                </c:pt>
                <c:pt idx="143">
                  <c:v>485.44498879797328</c:v>
                </c:pt>
                <c:pt idx="144">
                  <c:v>494.77583412162318</c:v>
                </c:pt>
                <c:pt idx="145">
                  <c:v>504.10295104526352</c:v>
                </c:pt>
                <c:pt idx="146">
                  <c:v>513.42641829197362</c:v>
                </c:pt>
                <c:pt idx="147">
                  <c:v>522.7463114920746</c:v>
                </c:pt>
                <c:pt idx="148">
                  <c:v>532.06270335879219</c:v>
                </c:pt>
                <c:pt idx="149">
                  <c:v>541.37566385097637</c:v>
                </c:pt>
                <c:pt idx="150">
                  <c:v>550.68526032404054</c:v>
                </c:pt>
                <c:pt idx="151">
                  <c:v>559.99155767016634</c:v>
                </c:pt>
                <c:pt idx="152">
                  <c:v>569.29461844870059</c:v>
                </c:pt>
                <c:pt idx="153">
                  <c:v>578.59450300758829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2.6913452112365879</c:v>
                </c:pt>
                <c:pt idx="2">
                  <c:v>3.617375309112838</c:v>
                </c:pt>
                <c:pt idx="3">
                  <c:v>4.8633487512178561</c:v>
                </c:pt>
                <c:pt idx="4">
                  <c:v>6.5402340730067232</c:v>
                </c:pt>
                <c:pt idx="5">
                  <c:v>8.7976264581280095</c:v>
                </c:pt>
                <c:pt idx="6">
                  <c:v>11.837237806997358</c:v>
                </c:pt>
                <c:pt idx="7">
                  <c:v>15.93111245298261</c:v>
                </c:pt>
                <c:pt idx="8">
                  <c:v>21.44622853840627</c:v>
                </c:pt>
                <c:pt idx="9">
                  <c:v>28.877729652177283</c:v>
                </c:pt>
                <c:pt idx="10">
                  <c:v>38.893822255751182</c:v>
                </c:pt>
                <c:pt idx="11">
                  <c:v>52.396444659904915</c:v>
                </c:pt>
                <c:pt idx="12">
                  <c:v>70.603261693655583</c:v>
                </c:pt>
                <c:pt idx="13">
                  <c:v>95.158499593487022</c:v>
                </c:pt>
                <c:pt idx="14">
                  <c:v>128.28278937107905</c:v>
                </c:pt>
                <c:pt idx="15">
                  <c:v>172.97577965567692</c:v>
                </c:pt>
                <c:pt idx="16">
                  <c:v>155.12658095276558</c:v>
                </c:pt>
                <c:pt idx="17">
                  <c:v>171.15764229763218</c:v>
                </c:pt>
                <c:pt idx="18">
                  <c:v>187.15335968871116</c:v>
                </c:pt>
                <c:pt idx="19">
                  <c:v>203.11718049708614</c:v>
                </c:pt>
                <c:pt idx="20">
                  <c:v>219.05196527708839</c:v>
                </c:pt>
                <c:pt idx="21">
                  <c:v>234.96012402148423</c:v>
                </c:pt>
                <c:pt idx="22">
                  <c:v>250.84371349555616</c:v>
                </c:pt>
                <c:pt idx="23">
                  <c:v>266.704508580484</c:v>
                </c:pt>
                <c:pt idx="24">
                  <c:v>282.54405573140474</c:v>
                </c:pt>
                <c:pt idx="25">
                  <c:v>298.36371380591089</c:v>
                </c:pt>
                <c:pt idx="26">
                  <c:v>269.73996719508528</c:v>
                </c:pt>
                <c:pt idx="27">
                  <c:v>289.70915136490083</c:v>
                </c:pt>
                <c:pt idx="28">
                  <c:v>309.64758098498442</c:v>
                </c:pt>
                <c:pt idx="29">
                  <c:v>329.5575141675327</c:v>
                </c:pt>
                <c:pt idx="30">
                  <c:v>349.44091393340415</c:v>
                </c:pt>
                <c:pt idx="31">
                  <c:v>369.29950172179468</c:v>
                </c:pt>
                <c:pt idx="32">
                  <c:v>389.13479878233085</c:v>
                </c:pt>
                <c:pt idx="33">
                  <c:v>408.94815868383029</c:v>
                </c:pt>
                <c:pt idx="34">
                  <c:v>428.74079319280526</c:v>
                </c:pt>
                <c:pt idx="35">
                  <c:v>448.51379312369119</c:v>
                </c:pt>
                <c:pt idx="36">
                  <c:v>399.28636049506116</c:v>
                </c:pt>
                <c:pt idx="37">
                  <c:v>423.18805454266277</c:v>
                </c:pt>
                <c:pt idx="38">
                  <c:v>447.06070214590392</c:v>
                </c:pt>
                <c:pt idx="39">
                  <c:v>470.90607104259328</c:v>
                </c:pt>
                <c:pt idx="40">
                  <c:v>494.72573548404097</c:v>
                </c:pt>
                <c:pt idx="41">
                  <c:v>518.52110589734923</c:v>
                </c:pt>
                <c:pt idx="42">
                  <c:v>542.29345282083227</c:v>
                </c:pt>
                <c:pt idx="43">
                  <c:v>566.04392642569144</c:v>
                </c:pt>
                <c:pt idx="44">
                  <c:v>589.77357259248072</c:v>
                </c:pt>
                <c:pt idx="45">
                  <c:v>613.48334626720168</c:v>
                </c:pt>
                <c:pt idx="46">
                  <c:v>540.53331922771201</c:v>
                </c:pt>
                <c:pt idx="47">
                  <c:v>567.68845861018656</c:v>
                </c:pt>
                <c:pt idx="48">
                  <c:v>594.81645853769805</c:v>
                </c:pt>
                <c:pt idx="49">
                  <c:v>621.91872918606475</c:v>
                </c:pt>
                <c:pt idx="50">
                  <c:v>648.99654796072673</c:v>
                </c:pt>
                <c:pt idx="51">
                  <c:v>676.05107712483652</c:v>
                </c:pt>
                <c:pt idx="52">
                  <c:v>703.08337846137113</c:v>
                </c:pt>
                <c:pt idx="53">
                  <c:v>730.09442556531621</c:v>
                </c:pt>
                <c:pt idx="54">
                  <c:v>757.08511422416393</c:v>
                </c:pt>
                <c:pt idx="55">
                  <c:v>784.05627124287309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2.8570438485924678</c:v>
                </c:pt>
                <c:pt idx="2">
                  <c:v>3.3655409320230496</c:v>
                </c:pt>
                <c:pt idx="3">
                  <c:v>3.9648711712921583</c:v>
                </c:pt>
                <c:pt idx="4">
                  <c:v>4.6713159255511032</c:v>
                </c:pt>
                <c:pt idx="5">
                  <c:v>5.5040842714494636</c:v>
                </c:pt>
                <c:pt idx="6">
                  <c:v>6.4858410348683284</c:v>
                </c:pt>
                <c:pt idx="7">
                  <c:v>7.6433303182525583</c:v>
                </c:pt>
                <c:pt idx="8">
                  <c:v>9.008111837685016</c:v>
                </c:pt>
                <c:pt idx="9">
                  <c:v>10.617430530273511</c:v>
                </c:pt>
                <c:pt idx="10">
                  <c:v>12.51524361183359</c:v>
                </c:pt>
                <c:pt idx="11">
                  <c:v>14.753433661788458</c:v>
                </c:pt>
                <c:pt idx="12">
                  <c:v>17.393241510319466</c:v>
                </c:pt>
                <c:pt idx="13">
                  <c:v>20.506958848338215</c:v>
                </c:pt>
                <c:pt idx="14">
                  <c:v>24.179927746808428</c:v>
                </c:pt>
                <c:pt idx="15">
                  <c:v>28.512902862953961</c:v>
                </c:pt>
                <c:pt idx="16">
                  <c:v>33.624842269016021</c:v>
                </c:pt>
                <c:pt idx="17">
                  <c:v>39.656204850824899</c:v>
                </c:pt>
                <c:pt idx="18">
                  <c:v>46.772846427294837</c:v>
                </c:pt>
                <c:pt idx="19">
                  <c:v>55.170623538812009</c:v>
                </c:pt>
                <c:pt idx="20">
                  <c:v>65.080833716519777</c:v>
                </c:pt>
                <c:pt idx="21">
                  <c:v>76.776644536700402</c:v>
                </c:pt>
                <c:pt idx="22">
                  <c:v>90.5806915485487</c:v>
                </c:pt>
                <c:pt idx="23">
                  <c:v>106.87405802497348</c:v>
                </c:pt>
                <c:pt idx="24">
                  <c:v>126.10688835389209</c:v>
                </c:pt>
                <c:pt idx="25">
                  <c:v>148.81093286135922</c:v>
                </c:pt>
                <c:pt idx="26">
                  <c:v>146.73924981884886</c:v>
                </c:pt>
                <c:pt idx="27">
                  <c:v>161.22694253209136</c:v>
                </c:pt>
                <c:pt idx="28">
                  <c:v>175.68381249632054</c:v>
                </c:pt>
                <c:pt idx="29">
                  <c:v>190.1127547666068</c:v>
                </c:pt>
                <c:pt idx="30">
                  <c:v>204.51618846220967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533.25835775155974</c:v>
                </c:pt>
                <c:pt idx="92">
                  <c:v>543.11954330395054</c:v>
                </c:pt>
                <c:pt idx="93">
                  <c:v>552.97697049424903</c:v>
                </c:pt>
                <c:pt idx="94">
                  <c:v>562.8307157648976</c:v>
                </c:pt>
                <c:pt idx="95">
                  <c:v>572.6808526634677</c:v>
                </c:pt>
                <c:pt idx="96">
                  <c:v>582.52745200125833</c:v>
                </c:pt>
                <c:pt idx="97">
                  <c:v>592.37058200061415</c:v>
                </c:pt>
                <c:pt idx="98">
                  <c:v>602.21030843194558</c:v>
                </c:pt>
                <c:pt idx="99">
                  <c:v>612.04669474132913</c:v>
                </c:pt>
                <c:pt idx="100">
                  <c:v>621.87980216948029</c:v>
                </c:pt>
                <c:pt idx="101">
                  <c:v>546.33870450994289</c:v>
                </c:pt>
                <c:pt idx="102">
                  <c:v>555.1893536017775</c:v>
                </c:pt>
                <c:pt idx="103">
                  <c:v>564.0370473975189</c:v>
                </c:pt>
                <c:pt idx="104">
                  <c:v>572.88183879502333</c:v>
                </c:pt>
                <c:pt idx="105">
                  <c:v>581.72377892544921</c:v>
                </c:pt>
                <c:pt idx="106">
                  <c:v>590.56291723879542</c:v>
                </c:pt>
                <c:pt idx="107">
                  <c:v>599.39930158405252</c:v>
                </c:pt>
                <c:pt idx="108">
                  <c:v>608.23297828438092</c:v>
                </c:pt>
                <c:pt idx="109">
                  <c:v>617.06399220769788</c:v>
                </c:pt>
                <c:pt idx="110">
                  <c:v>625.8923868330113</c:v>
                </c:pt>
                <c:pt idx="111">
                  <c:v>554.98823550946861</c:v>
                </c:pt>
                <c:pt idx="112">
                  <c:v>562.42859320508342</c:v>
                </c:pt>
                <c:pt idx="113">
                  <c:v>569.86689185785474</c:v>
                </c:pt>
                <c:pt idx="114">
                  <c:v>577.30316213955803</c:v>
                </c:pt>
                <c:pt idx="115">
                  <c:v>584.73743386720651</c:v>
                </c:pt>
                <c:pt idx="116">
                  <c:v>592.16973603767042</c:v>
                </c:pt>
                <c:pt idx="117">
                  <c:v>599.6000968604709</c:v>
                </c:pt>
                <c:pt idx="118">
                  <c:v>607.02854378886116</c:v>
                </c:pt>
                <c:pt idx="119">
                  <c:v>614.455103549309</c:v>
                </c:pt>
                <c:pt idx="120">
                  <c:v>621.8798021694796</c:v>
                </c:pt>
                <c:pt idx="121">
                  <c:v>558.00484690701069</c:v>
                </c:pt>
                <c:pt idx="122">
                  <c:v>564.43914594243324</c:v>
                </c:pt>
                <c:pt idx="123">
                  <c:v>570.87191111087338</c:v>
                </c:pt>
                <c:pt idx="124">
                  <c:v>577.30316213955791</c:v>
                </c:pt>
                <c:pt idx="125">
                  <c:v>583.73291828020763</c:v>
                </c:pt>
                <c:pt idx="126">
                  <c:v>590.16119832572406</c:v>
                </c:pt>
                <c:pt idx="127">
                  <c:v>596.5880206261121</c:v>
                </c:pt>
                <c:pt idx="128">
                  <c:v>603.01340310368084</c:v>
                </c:pt>
                <c:pt idx="129">
                  <c:v>609.437363267563</c:v>
                </c:pt>
                <c:pt idx="130">
                  <c:v>615.85991822758945</c:v>
                </c:pt>
                <c:pt idx="131">
                  <c:v>559.01030805396135</c:v>
                </c:pt>
                <c:pt idx="132">
                  <c:v>564.43914594243313</c:v>
                </c:pt>
                <c:pt idx="133">
                  <c:v>569.8668918578544</c:v>
                </c:pt>
                <c:pt idx="134">
                  <c:v>575.29355767229697</c:v>
                </c:pt>
                <c:pt idx="135">
                  <c:v>580.7191550154987</c:v>
                </c:pt>
                <c:pt idx="136">
                  <c:v>586.14369528207533</c:v>
                </c:pt>
                <c:pt idx="137">
                  <c:v>591.56718963845572</c:v>
                </c:pt>
                <c:pt idx="138">
                  <c:v>596.98964902954754</c:v>
                </c:pt>
                <c:pt idx="139">
                  <c:v>602.41108418514727</c:v>
                </c:pt>
                <c:pt idx="140">
                  <c:v>607.83150562610911</c:v>
                </c:pt>
                <c:pt idx="141">
                  <c:v>558.40703591428735</c:v>
                </c:pt>
                <c:pt idx="142">
                  <c:v>563.23283231363996</c:v>
                </c:pt>
                <c:pt idx="143">
                  <c:v>568.05776381181806</c:v>
                </c:pt>
                <c:pt idx="144">
                  <c:v>572.88183879502219</c:v>
                </c:pt>
                <c:pt idx="145">
                  <c:v>577.705065496629</c:v>
                </c:pt>
                <c:pt idx="146">
                  <c:v>582.52745200125673</c:v>
                </c:pt>
                <c:pt idx="147">
                  <c:v>587.34900624869056</c:v>
                </c:pt>
                <c:pt idx="148">
                  <c:v>592.16973603766962</c:v>
                </c:pt>
                <c:pt idx="149">
                  <c:v>596.98964902954719</c:v>
                </c:pt>
                <c:pt idx="150">
                  <c:v>601.80875275182416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1.8215803298201341</c:v>
                </c:pt>
                <c:pt idx="2">
                  <c:v>2.2329644536388686</c:v>
                </c:pt>
                <c:pt idx="3">
                  <c:v>2.7376157022683927</c:v>
                </c:pt>
                <c:pt idx="4">
                  <c:v>3.3567564601057627</c:v>
                </c:pt>
                <c:pt idx="5">
                  <c:v>4.1164546466454608</c:v>
                </c:pt>
                <c:pt idx="6">
                  <c:v>5.0487335707474124</c:v>
                </c:pt>
                <c:pt idx="7">
                  <c:v>6.1929367383518148</c:v>
                </c:pt>
                <c:pt idx="8">
                  <c:v>7.5974063384906421</c:v>
                </c:pt>
                <c:pt idx="9">
                  <c:v>9.3215476920586493</c:v>
                </c:pt>
                <c:pt idx="10">
                  <c:v>11.438368645322043</c:v>
                </c:pt>
                <c:pt idx="11">
                  <c:v>14.037603453182131</c:v>
                </c:pt>
                <c:pt idx="12">
                  <c:v>17.229556022424553</c:v>
                </c:pt>
                <c:pt idx="13">
                  <c:v>21.149828577579648</c:v>
                </c:pt>
                <c:pt idx="14">
                  <c:v>25.965140233455987</c:v>
                </c:pt>
                <c:pt idx="15">
                  <c:v>31.880487287395493</c:v>
                </c:pt>
                <c:pt idx="16">
                  <c:v>39.14795534973004</c:v>
                </c:pt>
                <c:pt idx="17">
                  <c:v>48.077565263009852</c:v>
                </c:pt>
                <c:pt idx="18">
                  <c:v>59.050623262996112</c:v>
                </c:pt>
                <c:pt idx="19">
                  <c:v>72.536154882603043</c:v>
                </c:pt>
                <c:pt idx="20">
                  <c:v>89.111136471711418</c:v>
                </c:pt>
                <c:pt idx="21">
                  <c:v>109.48540379156161</c:v>
                </c:pt>
                <c:pt idx="22">
                  <c:v>134.53232120499612</c:v>
                </c:pt>
                <c:pt idx="23">
                  <c:v>134.11627798441364</c:v>
                </c:pt>
                <c:pt idx="24">
                  <c:v>159.85607339448188</c:v>
                </c:pt>
                <c:pt idx="25">
                  <c:v>185.49747531062701</c:v>
                </c:pt>
                <c:pt idx="26">
                  <c:v>161.92733485312678</c:v>
                </c:pt>
                <c:pt idx="27">
                  <c:v>183.01988197396963</c:v>
                </c:pt>
                <c:pt idx="28">
                  <c:v>204.05556211554111</c:v>
                </c:pt>
                <c:pt idx="29">
                  <c:v>225.04106403626307</c:v>
                </c:pt>
                <c:pt idx="30">
                  <c:v>245.98172527600511</c:v>
                </c:pt>
                <c:pt idx="31">
                  <c:v>204.3027304607468</c:v>
                </c:pt>
                <c:pt idx="32">
                  <c:v>223.06794429933834</c:v>
                </c:pt>
                <c:pt idx="33">
                  <c:v>241.79695938999112</c:v>
                </c:pt>
                <c:pt idx="34">
                  <c:v>260.49297394090422</c:v>
                </c:pt>
                <c:pt idx="35">
                  <c:v>279.15868935410373</c:v>
                </c:pt>
                <c:pt idx="36">
                  <c:v>245.24335558609744</c:v>
                </c:pt>
                <c:pt idx="37">
                  <c:v>262.95066686184327</c:v>
                </c:pt>
                <c:pt idx="38">
                  <c:v>280.63107851839715</c:v>
                </c:pt>
                <c:pt idx="39">
                  <c:v>298.28652353338651</c:v>
                </c:pt>
                <c:pt idx="40">
                  <c:v>315.91868734548359</c:v>
                </c:pt>
                <c:pt idx="41">
                  <c:v>286.02836446450357</c:v>
                </c:pt>
                <c:pt idx="42">
                  <c:v>302.6966860261453</c:v>
                </c:pt>
                <c:pt idx="43">
                  <c:v>319.34458903944363</c:v>
                </c:pt>
                <c:pt idx="44">
                  <c:v>335.97328761728488</c:v>
                </c:pt>
                <c:pt idx="45">
                  <c:v>352.58386588275107</c:v>
                </c:pt>
                <c:pt idx="46">
                  <c:v>326.19396152047534</c:v>
                </c:pt>
                <c:pt idx="47">
                  <c:v>345.01357926471928</c:v>
                </c:pt>
                <c:pt idx="48">
                  <c:v>363.8106551455723</c:v>
                </c:pt>
                <c:pt idx="49">
                  <c:v>382.58651722523774</c:v>
                </c:pt>
                <c:pt idx="50">
                  <c:v>401.34235261702315</c:v>
                </c:pt>
                <c:pt idx="51">
                  <c:v>358.07619273123055</c:v>
                </c:pt>
                <c:pt idx="52">
                  <c:v>373.32308110780406</c:v>
                </c:pt>
                <c:pt idx="53">
                  <c:v>388.55640225486997</c:v>
                </c:pt>
                <c:pt idx="54">
                  <c:v>403.77676289014653</c:v>
                </c:pt>
                <c:pt idx="55">
                  <c:v>418.98472026564724</c:v>
                </c:pt>
                <c:pt idx="56">
                  <c:v>434.18078788713825</c:v>
                </c:pt>
                <c:pt idx="57">
                  <c:v>449.36544039116211</c:v>
                </c:pt>
                <c:pt idx="58">
                  <c:v>464.53911772855685</c:v>
                </c:pt>
                <c:pt idx="59">
                  <c:v>413.05505856608141</c:v>
                </c:pt>
                <c:pt idx="60">
                  <c:v>422.32885814959468</c:v>
                </c:pt>
                <c:pt idx="61">
                  <c:v>431.59827432953972</c:v>
                </c:pt>
                <c:pt idx="62">
                  <c:v>440.8634145576184</c:v>
                </c:pt>
                <c:pt idx="63">
                  <c:v>450.12438139910142</c:v>
                </c:pt>
                <c:pt idx="64">
                  <c:v>459.38127285317825</c:v>
                </c:pt>
                <c:pt idx="65">
                  <c:v>468.63418264613375</c:v>
                </c:pt>
                <c:pt idx="66">
                  <c:v>477.88320050016182</c:v>
                </c:pt>
                <c:pt idx="67">
                  <c:v>461.35353520338214</c:v>
                </c:pt>
                <c:pt idx="68">
                  <c:v>469.08914265582683</c:v>
                </c:pt>
                <c:pt idx="69">
                  <c:v>476.82203270193077</c:v>
                </c:pt>
                <c:pt idx="70">
                  <c:v>484.5522556457251</c:v>
                </c:pt>
                <c:pt idx="71">
                  <c:v>492.27986005462077</c:v>
                </c:pt>
                <c:pt idx="72">
                  <c:v>500.00489284627542</c:v>
                </c:pt>
                <c:pt idx="73">
                  <c:v>507.72739936981134</c:v>
                </c:pt>
                <c:pt idx="74">
                  <c:v>515.44742348183274</c:v>
                </c:pt>
                <c:pt idx="75">
                  <c:v>499.09619744323089</c:v>
                </c:pt>
                <c:pt idx="76">
                  <c:v>503.3364774048635</c:v>
                </c:pt>
                <c:pt idx="77">
                  <c:v>507.57600167435913</c:v>
                </c:pt>
                <c:pt idx="78">
                  <c:v>511.81477745903254</c:v>
                </c:pt>
                <c:pt idx="79">
                  <c:v>516.05281183698969</c:v>
                </c:pt>
                <c:pt idx="80">
                  <c:v>520.29011176051051</c:v>
                </c:pt>
                <c:pt idx="81">
                  <c:v>524.52668405931524</c:v>
                </c:pt>
                <c:pt idx="82">
                  <c:v>528.76253544371991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6.041452639842352</c:v>
                </c:pt>
                <c:pt idx="2">
                  <c:v>11.808136292984267</c:v>
                </c:pt>
                <c:pt idx="3">
                  <c:v>17.486083355962265</c:v>
                </c:pt>
                <c:pt idx="4">
                  <c:v>23.109331120090534</c:v>
                </c:pt>
                <c:pt idx="5">
                  <c:v>28.69330640160884</c:v>
                </c:pt>
                <c:pt idx="6">
                  <c:v>34.246809300587927</c:v>
                </c:pt>
                <c:pt idx="7">
                  <c:v>39.775512901282589</c:v>
                </c:pt>
                <c:pt idx="8">
                  <c:v>45.283368730849467</c:v>
                </c:pt>
                <c:pt idx="9">
                  <c:v>50.773281212016208</c:v>
                </c:pt>
                <c:pt idx="10">
                  <c:v>56.247471476162552</c:v>
                </c:pt>
                <c:pt idx="11">
                  <c:v>61.707690722204923</c:v>
                </c:pt>
                <c:pt idx="12">
                  <c:v>67.155353486891528</c:v>
                </c:pt>
                <c:pt idx="13">
                  <c:v>72.591625107036904</c:v>
                </c:pt>
                <c:pt idx="14">
                  <c:v>78.017481452464153</c:v>
                </c:pt>
                <c:pt idx="15">
                  <c:v>83.433751083395052</c:v>
                </c:pt>
                <c:pt idx="16">
                  <c:v>88.841145835291471</c:v>
                </c:pt>
                <c:pt idx="17">
                  <c:v>94.240283535048874</c:v>
                </c:pt>
                <c:pt idx="18">
                  <c:v>99.631705217987744</c:v>
                </c:pt>
                <c:pt idx="19">
                  <c:v>105.01588840915906</c:v>
                </c:pt>
                <c:pt idx="20">
                  <c:v>110.39325752882014</c:v>
                </c:pt>
                <c:pt idx="21">
                  <c:v>115.76419215767396</c:v>
                </c:pt>
                <c:pt idx="22">
                  <c:v>121.12903368317113</c:v>
                </c:pt>
                <c:pt idx="23">
                  <c:v>126.48809070323398</c:v>
                </c:pt>
                <c:pt idx="24">
                  <c:v>131.84164346368493</c:v>
                </c:pt>
                <c:pt idx="25">
                  <c:v>137.189947535264</c:v>
                </c:pt>
                <c:pt idx="26">
                  <c:v>142.53323688576216</c:v>
                </c:pt>
                <c:pt idx="27">
                  <c:v>147.87172646622568</c:v>
                </c:pt>
                <c:pt idx="28">
                  <c:v>153.20561440324789</c:v>
                </c:pt>
                <c:pt idx="29">
                  <c:v>158.53508386927555</c:v>
                </c:pt>
                <c:pt idx="30">
                  <c:v>163.86030468769439</c:v>
                </c:pt>
                <c:pt idx="31">
                  <c:v>169.18143471789139</c:v>
                </c:pt>
                <c:pt idx="32">
                  <c:v>174.49862105657908</c:v>
                </c:pt>
                <c:pt idx="33">
                  <c:v>179.8120010847355</c:v>
                </c:pt>
                <c:pt idx="34">
                  <c:v>185.12170338407705</c:v>
                </c:pt>
                <c:pt idx="35">
                  <c:v>190.42784854268163</c:v>
                </c:pt>
                <c:pt idx="36">
                  <c:v>195.73054986595176</c:v>
                </c:pt>
                <c:pt idx="37">
                  <c:v>201.02991400636199</c:v>
                </c:pt>
                <c:pt idx="38">
                  <c:v>206.32604152321014</c:v>
                </c:pt>
                <c:pt idx="39">
                  <c:v>211.61902738179052</c:v>
                </c:pt>
                <c:pt idx="40">
                  <c:v>216.90896139992856</c:v>
                </c:pt>
                <c:pt idx="41">
                  <c:v>222.19592864860601</c:v>
                </c:pt>
                <c:pt idx="42">
                  <c:v>227.48000981239917</c:v>
                </c:pt>
                <c:pt idx="43">
                  <c:v>180.56403797201264</c:v>
                </c:pt>
                <c:pt idx="44">
                  <c:v>192.72766649058644</c:v>
                </c:pt>
                <c:pt idx="45">
                  <c:v>204.87343821703209</c:v>
                </c:pt>
                <c:pt idx="46">
                  <c:v>217.00256158727015</c:v>
                </c:pt>
                <c:pt idx="47">
                  <c:v>229.11609879070315</c:v>
                </c:pt>
                <c:pt idx="48">
                  <c:v>241.21499043357142</c:v>
                </c:pt>
                <c:pt idx="49">
                  <c:v>197.4895533128155</c:v>
                </c:pt>
                <c:pt idx="50">
                  <c:v>208.808978021028</c:v>
                </c:pt>
                <c:pt idx="51">
                  <c:v>220.1142417413075</c:v>
                </c:pt>
                <c:pt idx="52">
                  <c:v>231.40617478614672</c:v>
                </c:pt>
                <c:pt idx="53">
                  <c:v>242.68551974639561</c:v>
                </c:pt>
                <c:pt idx="54">
                  <c:v>253.9529444937219</c:v>
                </c:pt>
                <c:pt idx="55">
                  <c:v>265.20905275216006</c:v>
                </c:pt>
                <c:pt idx="56">
                  <c:v>276.45439277925311</c:v>
                </c:pt>
                <c:pt idx="57">
                  <c:v>218.8860685422392</c:v>
                </c:pt>
                <c:pt idx="58">
                  <c:v>231.89683776676574</c:v>
                </c:pt>
                <c:pt idx="59">
                  <c:v>244.89093406718015</c:v>
                </c:pt>
                <c:pt idx="60">
                  <c:v>257.86936708892546</c:v>
                </c:pt>
                <c:pt idx="61">
                  <c:v>270.83303648976818</c:v>
                </c:pt>
                <c:pt idx="62">
                  <c:v>283.78274872551356</c:v>
                </c:pt>
                <c:pt idx="63">
                  <c:v>296.71923060882705</c:v>
                </c:pt>
                <c:pt idx="64">
                  <c:v>309.64314037802706</c:v>
                </c:pt>
                <c:pt idx="65">
                  <c:v>240.72476870476373</c:v>
                </c:pt>
                <c:pt idx="66">
                  <c:v>251.99422148253382</c:v>
                </c:pt>
                <c:pt idx="67">
                  <c:v>263.25225698326898</c:v>
                </c:pt>
                <c:pt idx="68">
                  <c:v>274.4994325566783</c:v>
                </c:pt>
                <c:pt idx="69">
                  <c:v>285.73625612096163</c:v>
                </c:pt>
                <c:pt idx="70">
                  <c:v>296.96319236031718</c:v>
                </c:pt>
                <c:pt idx="71">
                  <c:v>308.18066793556244</c:v>
                </c:pt>
                <c:pt idx="72">
                  <c:v>319.38907589596437</c:v>
                </c:pt>
                <c:pt idx="73">
                  <c:v>266.45905720409951</c:v>
                </c:pt>
                <c:pt idx="74">
                  <c:v>276.01998409329246</c:v>
                </c:pt>
                <c:pt idx="75">
                  <c:v>285.57347528875556</c:v>
                </c:pt>
                <c:pt idx="76">
                  <c:v>295.11981480194959</c:v>
                </c:pt>
                <c:pt idx="77">
                  <c:v>304.65926675626412</c:v>
                </c:pt>
                <c:pt idx="78">
                  <c:v>314.19207737237087</c:v>
                </c:pt>
                <c:pt idx="79">
                  <c:v>323.71847669987824</c:v>
                </c:pt>
                <c:pt idx="80">
                  <c:v>333.23868013437249</c:v>
                </c:pt>
                <c:pt idx="81">
                  <c:v>342.75288975194468</c:v>
                </c:pt>
                <c:pt idx="82">
                  <c:v>291.64922900961835</c:v>
                </c:pt>
                <c:pt idx="83">
                  <c:v>300.97436981076157</c:v>
                </c:pt>
                <c:pt idx="84">
                  <c:v>310.29307884312135</c:v>
                </c:pt>
                <c:pt idx="85">
                  <c:v>319.60557663953466</c:v>
                </c:pt>
                <c:pt idx="86">
                  <c:v>328.91206982316925</c:v>
                </c:pt>
                <c:pt idx="87">
                  <c:v>338.21275236216422</c:v>
                </c:pt>
                <c:pt idx="88">
                  <c:v>347.50780667897607</c:v>
                </c:pt>
                <c:pt idx="89">
                  <c:v>356.79740463477265</c:v>
                </c:pt>
                <c:pt idx="90">
                  <c:v>366.08170840590719</c:v>
                </c:pt>
                <c:pt idx="91">
                  <c:v>316.9532180284944</c:v>
                </c:pt>
                <c:pt idx="92">
                  <c:v>326.20730132905345</c:v>
                </c:pt>
                <c:pt idx="93">
                  <c:v>335.45558685581409</c:v>
                </c:pt>
                <c:pt idx="94">
                  <c:v>344.69825709208544</c:v>
                </c:pt>
                <c:pt idx="95">
                  <c:v>353.93548393011434</c:v>
                </c:pt>
                <c:pt idx="96">
                  <c:v>363.16742955215472</c:v>
                </c:pt>
                <c:pt idx="97">
                  <c:v>372.39424721722975</c:v>
                </c:pt>
                <c:pt idx="98">
                  <c:v>381.61608196581523</c:v>
                </c:pt>
                <c:pt idx="99">
                  <c:v>390.83307125282568</c:v>
                </c:pt>
                <c:pt idx="100">
                  <c:v>400.04534551775185</c:v>
                </c:pt>
                <c:pt idx="101">
                  <c:v>409.25302869952412</c:v>
                </c:pt>
                <c:pt idx="102">
                  <c:v>418.45623870260869</c:v>
                </c:pt>
                <c:pt idx="103">
                  <c:v>347.77792932592502</c:v>
                </c:pt>
                <c:pt idx="104">
                  <c:v>356.68941678151776</c:v>
                </c:pt>
                <c:pt idx="105">
                  <c:v>365.59603057312421</c:v>
                </c:pt>
                <c:pt idx="106">
                  <c:v>374.49790624786783</c:v>
                </c:pt>
                <c:pt idx="107">
                  <c:v>383.39517237928089</c:v>
                </c:pt>
                <c:pt idx="108">
                  <c:v>392.28795108310896</c:v>
                </c:pt>
                <c:pt idx="109">
                  <c:v>401.17635848388619</c:v>
                </c:pt>
                <c:pt idx="110">
                  <c:v>410.06050513798908</c:v>
                </c:pt>
                <c:pt idx="111">
                  <c:v>418.94049641810238</c:v>
                </c:pt>
                <c:pt idx="112">
                  <c:v>427.81643286337845</c:v>
                </c:pt>
                <c:pt idx="113">
                  <c:v>436.6884104990142</c:v>
                </c:pt>
                <c:pt idx="114">
                  <c:v>445.5565211284956</c:v>
                </c:pt>
                <c:pt idx="115">
                  <c:v>382.7482512269093</c:v>
                </c:pt>
                <c:pt idx="116">
                  <c:v>391.64135230382271</c:v>
                </c:pt>
                <c:pt idx="117">
                  <c:v>400.53007382488289</c:v>
                </c:pt>
                <c:pt idx="118">
                  <c:v>409.4145267380207</c:v>
                </c:pt>
                <c:pt idx="119">
                  <c:v>418.29481678071869</c:v>
                </c:pt>
                <c:pt idx="120">
                  <c:v>427.17104483253434</c:v>
                </c:pt>
                <c:pt idx="121">
                  <c:v>436.04330723678567</c:v>
                </c:pt>
                <c:pt idx="122">
                  <c:v>444.91169609468375</c:v>
                </c:pt>
                <c:pt idx="123">
                  <c:v>453.77629953478549</c:v>
                </c:pt>
                <c:pt idx="124">
                  <c:v>462.63720196028976</c:v>
                </c:pt>
                <c:pt idx="125">
                  <c:v>471.4944842763955</c:v>
                </c:pt>
                <c:pt idx="126">
                  <c:v>480.34822409968405</c:v>
                </c:pt>
                <c:pt idx="127">
                  <c:v>416.03476862238244</c:v>
                </c:pt>
                <c:pt idx="128">
                  <c:v>425.23475475396907</c:v>
                </c:pt>
                <c:pt idx="129">
                  <c:v>434.43045937711844</c:v>
                </c:pt>
                <c:pt idx="130">
                  <c:v>443.62198593260979</c:v>
                </c:pt>
                <c:pt idx="131">
                  <c:v>452.80943322358263</c:v>
                </c:pt>
                <c:pt idx="132">
                  <c:v>461.9928957153723</c:v>
                </c:pt>
                <c:pt idx="133">
                  <c:v>471.17246381025848</c:v>
                </c:pt>
                <c:pt idx="134">
                  <c:v>480.34822409968433</c:v>
                </c:pt>
                <c:pt idx="135">
                  <c:v>489.52025959619772</c:v>
                </c:pt>
                <c:pt idx="136">
                  <c:v>498.68864994710174</c:v>
                </c:pt>
                <c:pt idx="137">
                  <c:v>507.85347163157365</c:v>
                </c:pt>
                <c:pt idx="138">
                  <c:v>517.01479814281345</c:v>
                </c:pt>
                <c:pt idx="139">
                  <c:v>451.10119477731467</c:v>
                </c:pt>
                <c:pt idx="140">
                  <c:v>460.51091852590525</c:v>
                </c:pt>
                <c:pt idx="141">
                  <c:v>469.91653916838783</c:v>
                </c:pt>
                <c:pt idx="142">
                  <c:v>479.31815043105394</c:v>
                </c:pt>
                <c:pt idx="143">
                  <c:v>488.71584206261429</c:v>
                </c:pt>
                <c:pt idx="144">
                  <c:v>498.10970007788796</c:v>
                </c:pt>
                <c:pt idx="145">
                  <c:v>507.49980698214995</c:v>
                </c:pt>
                <c:pt idx="146">
                  <c:v>516.88624197800971</c:v>
                </c:pt>
                <c:pt idx="147">
                  <c:v>526.26908115647927</c:v>
                </c:pt>
                <c:pt idx="148">
                  <c:v>535.64839767370643</c:v>
                </c:pt>
                <c:pt idx="149">
                  <c:v>545.02426191468476</c:v>
                </c:pt>
                <c:pt idx="150">
                  <c:v>554.39674164511393</c:v>
                </c:pt>
                <c:pt idx="151">
                  <c:v>563.76590215245665</c:v>
                </c:pt>
                <c:pt idx="152">
                  <c:v>573.13180637713015</c:v>
                </c:pt>
                <c:pt idx="153">
                  <c:v>582.49451503468106</c:v>
                </c:pt>
                <c:pt idx="154">
                  <c:v>3.5126381983529106E-12</c:v>
                </c:pt>
                <c:pt idx="155">
                  <c:v>3.5126381983529106E-12</c:v>
                </c:pt>
                <c:pt idx="156">
                  <c:v>3.5126381983529106E-12</c:v>
                </c:pt>
                <c:pt idx="157">
                  <c:v>3.5126381983529106E-12</c:v>
                </c:pt>
                <c:pt idx="158">
                  <c:v>3.5126381983529106E-12</c:v>
                </c:pt>
                <c:pt idx="159">
                  <c:v>3.5126381983529106E-12</c:v>
                </c:pt>
                <c:pt idx="160">
                  <c:v>3.5126381983529106E-12</c:v>
                </c:pt>
                <c:pt idx="161">
                  <c:v>3.5126381983529106E-12</c:v>
                </c:pt>
                <c:pt idx="162">
                  <c:v>3.5126381983529106E-12</c:v>
                </c:pt>
                <c:pt idx="163">
                  <c:v>3.5126381983529106E-12</c:v>
                </c:pt>
                <c:pt idx="164">
                  <c:v>3.5126381983529106E-12</c:v>
                </c:pt>
                <c:pt idx="165">
                  <c:v>3.5126381983529106E-12</c:v>
                </c:pt>
                <c:pt idx="166">
                  <c:v>3.5126381983529106E-12</c:v>
                </c:pt>
                <c:pt idx="167">
                  <c:v>3.5126381983529106E-12</c:v>
                </c:pt>
                <c:pt idx="168">
                  <c:v>3.5126381983529106E-12</c:v>
                </c:pt>
                <c:pt idx="169">
                  <c:v>3.5126381983529106E-12</c:v>
                </c:pt>
                <c:pt idx="170">
                  <c:v>3.5126381983529106E-12</c:v>
                </c:pt>
                <c:pt idx="171">
                  <c:v>3.5126381983529106E-12</c:v>
                </c:pt>
                <c:pt idx="172">
                  <c:v>3.5126381983529106E-12</c:v>
                </c:pt>
                <c:pt idx="173">
                  <c:v>3.5126381983529106E-12</c:v>
                </c:pt>
                <c:pt idx="174">
                  <c:v>3.5126381983529106E-12</c:v>
                </c:pt>
                <c:pt idx="175">
                  <c:v>3.5126381983529106E-12</c:v>
                </c:pt>
                <c:pt idx="176">
                  <c:v>3.5126381983529106E-12</c:v>
                </c:pt>
                <c:pt idx="177">
                  <c:v>3.5126381983529106E-12</c:v>
                </c:pt>
                <c:pt idx="178">
                  <c:v>3.5126381983529106E-12</c:v>
                </c:pt>
                <c:pt idx="179">
                  <c:v>3.5126381983529106E-12</c:v>
                </c:pt>
                <c:pt idx="180">
                  <c:v>3.5126381983529106E-12</c:v>
                </c:pt>
                <c:pt idx="181">
                  <c:v>3.5126381983529106E-12</c:v>
                </c:pt>
                <c:pt idx="182">
                  <c:v>3.5126381983529106E-12</c:v>
                </c:pt>
                <c:pt idx="183">
                  <c:v>3.5126381983529106E-12</c:v>
                </c:pt>
                <c:pt idx="184">
                  <c:v>3.5126381983529106E-12</c:v>
                </c:pt>
                <c:pt idx="185">
                  <c:v>3.5126381983529106E-12</c:v>
                </c:pt>
                <c:pt idx="186">
                  <c:v>3.5126381983529106E-12</c:v>
                </c:pt>
                <c:pt idx="187">
                  <c:v>3.5126381983529106E-12</c:v>
                </c:pt>
                <c:pt idx="188">
                  <c:v>3.5126381983529106E-12</c:v>
                </c:pt>
                <c:pt idx="189">
                  <c:v>3.5126381983529106E-12</c:v>
                </c:pt>
                <c:pt idx="190">
                  <c:v>3.5126381983529106E-12</c:v>
                </c:pt>
                <c:pt idx="191">
                  <c:v>3.5126381983529106E-12</c:v>
                </c:pt>
                <c:pt idx="192">
                  <c:v>3.5126381983529106E-12</c:v>
                </c:pt>
                <c:pt idx="193">
                  <c:v>3.5126381983529106E-12</c:v>
                </c:pt>
                <c:pt idx="194">
                  <c:v>3.5126381983529106E-12</c:v>
                </c:pt>
                <c:pt idx="195">
                  <c:v>3.5126381983529106E-12</c:v>
                </c:pt>
                <c:pt idx="196">
                  <c:v>3.5126381983529106E-12</c:v>
                </c:pt>
                <c:pt idx="197">
                  <c:v>3.5126381983529106E-12</c:v>
                </c:pt>
                <c:pt idx="198">
                  <c:v>3.5126381983529106E-12</c:v>
                </c:pt>
                <c:pt idx="199">
                  <c:v>3.5126381983529106E-12</c:v>
                </c:pt>
                <c:pt idx="200">
                  <c:v>3.5126381983529106E-12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&#233;ment%20Bourel\Downloads\Document%208%20-%20REA%20(1).xlsx" TargetMode="External"/><Relationship Id="rId1" Type="http://schemas.openxmlformats.org/officeDocument/2006/relationships/externalLinkPath" Target="Document%208%20-%20RE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ueil"/>
      <sheetName val="Données projet"/>
      <sheetName val="Scénario référence"/>
      <sheetName val="REE"/>
      <sheetName val="Calculateur"/>
      <sheetName val="Paramètres"/>
      <sheetName val="VAN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Alisier torminal</v>
          </cell>
          <cell r="P2">
            <v>0</v>
          </cell>
        </row>
        <row r="3">
          <cell r="A3" t="str">
            <v>Arbousier</v>
          </cell>
          <cell r="P3">
            <v>0.2</v>
          </cell>
        </row>
        <row r="4">
          <cell r="A4" t="str">
            <v>Aulne à feuilles en cœur</v>
          </cell>
        </row>
        <row r="5">
          <cell r="A5" t="str">
            <v>Aulne glutineux</v>
          </cell>
          <cell r="P5">
            <v>0</v>
          </cell>
        </row>
        <row r="6">
          <cell r="A6" t="str">
            <v>Aulne vert</v>
          </cell>
          <cell r="P6">
            <v>0.05</v>
          </cell>
        </row>
        <row r="7">
          <cell r="A7" t="str">
            <v>Bouleau verruqueux</v>
          </cell>
          <cell r="P7">
            <v>0.1</v>
          </cell>
        </row>
        <row r="8">
          <cell r="A8" t="str">
            <v>Cèdre de l'Atlas</v>
          </cell>
          <cell r="P8">
            <v>0.15</v>
          </cell>
        </row>
        <row r="9">
          <cell r="A9" t="str">
            <v>Charme</v>
          </cell>
        </row>
        <row r="10">
          <cell r="A10" t="str">
            <v>Charme-houblon</v>
          </cell>
          <cell r="P10">
            <v>0</v>
          </cell>
        </row>
        <row r="11">
          <cell r="A11" t="str">
            <v>Châtaignier</v>
          </cell>
          <cell r="P11">
            <v>0.1</v>
          </cell>
        </row>
        <row r="12">
          <cell r="A12" t="str">
            <v>Chêne chevelu</v>
          </cell>
        </row>
        <row r="13">
          <cell r="A13" t="str">
            <v>Chêne-liège</v>
          </cell>
        </row>
        <row r="14">
          <cell r="A14" t="str">
            <v>Chêne pédonculé</v>
          </cell>
        </row>
        <row r="15">
          <cell r="A15" t="str">
            <v>Chêne pubescent</v>
          </cell>
        </row>
        <row r="16">
          <cell r="A16" t="str">
            <v>Chêne rouge d'Amérique</v>
          </cell>
        </row>
        <row r="17">
          <cell r="A17" t="str">
            <v>Chêne sessile</v>
          </cell>
        </row>
        <row r="18">
          <cell r="A18" t="str">
            <v>Chêne tauzin</v>
          </cell>
        </row>
        <row r="19">
          <cell r="A19" t="str">
            <v>Chêne vert</v>
          </cell>
        </row>
        <row r="20">
          <cell r="A20" t="str">
            <v>Cormier</v>
          </cell>
        </row>
        <row r="21">
          <cell r="A21" t="str">
            <v>Cryptomère du Japon</v>
          </cell>
        </row>
        <row r="22">
          <cell r="A22" t="str">
            <v>Cyprès de Provence</v>
          </cell>
        </row>
        <row r="23">
          <cell r="A23" t="str">
            <v>Douglas</v>
          </cell>
        </row>
        <row r="24">
          <cell r="A24" t="str">
            <v>Epicéa commun</v>
          </cell>
        </row>
        <row r="25">
          <cell r="A25" t="str">
            <v>Epicéa de Sitka</v>
          </cell>
        </row>
        <row r="26">
          <cell r="A26" t="str">
            <v>Erable champêtre</v>
          </cell>
        </row>
        <row r="27">
          <cell r="A27" t="str">
            <v>Erable plane</v>
          </cell>
        </row>
        <row r="28">
          <cell r="A28" t="str">
            <v>Erable sycomore</v>
          </cell>
        </row>
        <row r="29">
          <cell r="A29" t="str">
            <v>Eucalyptus</v>
          </cell>
        </row>
        <row r="30">
          <cell r="A30" t="str">
            <v>Hêtre</v>
          </cell>
        </row>
        <row r="31">
          <cell r="A31" t="str">
            <v>Frêne</v>
          </cell>
        </row>
        <row r="32">
          <cell r="A32" t="str">
            <v>Mélèze d'Europe</v>
          </cell>
        </row>
        <row r="33">
          <cell r="A33" t="str">
            <v>Mélèze du Japon</v>
          </cell>
        </row>
        <row r="34">
          <cell r="A34" t="str">
            <v>Mélèze hybride</v>
          </cell>
        </row>
        <row r="35">
          <cell r="A35" t="str">
            <v>Merisier</v>
          </cell>
        </row>
        <row r="36">
          <cell r="A36" t="str">
            <v>Micocoulier de Provence</v>
          </cell>
        </row>
        <row r="37">
          <cell r="A37" t="str">
            <v>Noyer</v>
          </cell>
        </row>
        <row r="38">
          <cell r="A38" t="str">
            <v>Orme</v>
          </cell>
        </row>
        <row r="39">
          <cell r="A39" t="str">
            <v>Peuplier A4A</v>
          </cell>
        </row>
        <row r="40">
          <cell r="A40" t="str">
            <v>Peuplier Alcinde</v>
          </cell>
        </row>
        <row r="41">
          <cell r="A41" t="str">
            <v>Peuplier Beaupré</v>
          </cell>
        </row>
        <row r="42">
          <cell r="A42" t="str">
            <v>Peuplier Blanc du Poitou</v>
          </cell>
        </row>
        <row r="43">
          <cell r="A43" t="str">
            <v>Peuplier Brenta</v>
          </cell>
        </row>
        <row r="44">
          <cell r="A44" t="str">
            <v>Peuplier Dorskamp</v>
          </cell>
        </row>
        <row r="45">
          <cell r="A45" t="str">
            <v>Peuplier Dvena</v>
          </cell>
        </row>
        <row r="46">
          <cell r="A46" t="str">
            <v>Peuplier Flevo</v>
          </cell>
        </row>
        <row r="47">
          <cell r="A47" t="str">
            <v>Peuplier Fritzi Pauley</v>
          </cell>
        </row>
        <row r="48">
          <cell r="A48" t="str">
            <v>Peuplier Ghoy</v>
          </cell>
        </row>
        <row r="49">
          <cell r="A49" t="str">
            <v>Peuplier I-214</v>
          </cell>
        </row>
        <row r="50">
          <cell r="A50" t="str">
            <v>Peuplier I-45/51</v>
          </cell>
        </row>
        <row r="51">
          <cell r="A51" t="str">
            <v>Peuplier Koster</v>
          </cell>
        </row>
        <row r="52">
          <cell r="A52" t="str">
            <v>Peuplier Lambro</v>
          </cell>
        </row>
        <row r="53">
          <cell r="A53" t="str">
            <v>Peuplier Lena</v>
          </cell>
        </row>
        <row r="54">
          <cell r="A54" t="str">
            <v>Peuplier Mella</v>
          </cell>
        </row>
        <row r="55">
          <cell r="A55" t="str">
            <v>Peuplier Polargo</v>
          </cell>
        </row>
        <row r="56">
          <cell r="A56" t="str">
            <v>Peuplier Raspalje</v>
          </cell>
        </row>
        <row r="57">
          <cell r="A57" t="str">
            <v>Peuplier Robusta</v>
          </cell>
        </row>
        <row r="58">
          <cell r="A58" t="str">
            <v>Peuplier Soligo</v>
          </cell>
        </row>
        <row r="59">
          <cell r="A59" t="str">
            <v>Peuplier Taro</v>
          </cell>
        </row>
        <row r="60">
          <cell r="A60" t="str">
            <v>Peuplier Trichobel</v>
          </cell>
        </row>
        <row r="61">
          <cell r="A61" t="str">
            <v>Peuplier Triplo</v>
          </cell>
        </row>
        <row r="62">
          <cell r="A62" t="str">
            <v>Peuplier non cultivé</v>
          </cell>
        </row>
        <row r="63">
          <cell r="A63" t="str">
            <v>Pin d'Alep</v>
          </cell>
        </row>
        <row r="64">
          <cell r="A64" t="str">
            <v>Pin cembro</v>
          </cell>
        </row>
        <row r="65">
          <cell r="A65" t="str">
            <v>Pin à crochets</v>
          </cell>
        </row>
        <row r="66">
          <cell r="A66" t="str">
            <v>Pin laricio</v>
          </cell>
        </row>
        <row r="67">
          <cell r="A67" t="str">
            <v>Pin maritime</v>
          </cell>
        </row>
        <row r="68">
          <cell r="A68" t="str">
            <v>Pin mugho</v>
          </cell>
        </row>
        <row r="69">
          <cell r="A69" t="str">
            <v>Pin noir d'Autriche</v>
          </cell>
        </row>
        <row r="70">
          <cell r="A70" t="str">
            <v>Pin pignon</v>
          </cell>
        </row>
        <row r="71">
          <cell r="A71" t="str">
            <v>Pin de Salzmann</v>
          </cell>
        </row>
        <row r="72">
          <cell r="A72" t="str">
            <v>Pin sylvestre</v>
          </cell>
        </row>
        <row r="73">
          <cell r="A73" t="str">
            <v>Pin taeda</v>
          </cell>
        </row>
        <row r="74">
          <cell r="A74" t="str">
            <v>Pin de Weymouth</v>
          </cell>
        </row>
        <row r="75">
          <cell r="A75" t="str">
            <v>Platane</v>
          </cell>
        </row>
        <row r="76">
          <cell r="A76" t="str">
            <v>Robinier faux-acacia</v>
          </cell>
        </row>
        <row r="77">
          <cell r="A77" t="str">
            <v>Sapin méditerranéen</v>
          </cell>
        </row>
        <row r="78">
          <cell r="A78" t="str">
            <v>Sapin de Nordmann</v>
          </cell>
        </row>
        <row r="79">
          <cell r="A79" t="str">
            <v>Sapin pectiné</v>
          </cell>
        </row>
        <row r="80">
          <cell r="A80" t="str">
            <v>Sapin de Vancouver</v>
          </cell>
        </row>
        <row r="81">
          <cell r="A81" t="str">
            <v>Saule</v>
          </cell>
        </row>
        <row r="82">
          <cell r="A82" t="str">
            <v>Séquoia géant</v>
          </cell>
        </row>
        <row r="83">
          <cell r="A83" t="str">
            <v>Séquoia toujours vert</v>
          </cell>
        </row>
        <row r="84">
          <cell r="A84" t="str">
            <v>Thuya géant</v>
          </cell>
        </row>
        <row r="85">
          <cell r="A85" t="str">
            <v>Tilleul</v>
          </cell>
        </row>
        <row r="86">
          <cell r="A86" t="str">
            <v>Tremble</v>
          </cell>
        </row>
        <row r="87">
          <cell r="A87" t="str">
            <v>Tulipier de Virginie</v>
          </cell>
        </row>
        <row r="88">
          <cell r="A88" t="str">
            <v>Conifères (moyenne)</v>
          </cell>
        </row>
        <row r="89">
          <cell r="A89" t="str">
            <v>Feuillus (moyenne)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9" sqref="C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19.253799999999998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0.627</v>
      </c>
      <c r="D9" s="33">
        <f t="shared" ref="D9:D18" si="0">C9*$C$5</f>
        <v>12.0721326</v>
      </c>
      <c r="E9" s="34">
        <v>153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29</v>
      </c>
      <c r="C10" s="32">
        <v>0.26</v>
      </c>
      <c r="D10" s="33">
        <f t="shared" si="0"/>
        <v>5.0059879999999994</v>
      </c>
      <c r="E10" s="34">
        <v>55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6</v>
      </c>
      <c r="C11" s="32">
        <v>3.4599999999999999E-2</v>
      </c>
      <c r="D11" s="33">
        <f t="shared" si="0"/>
        <v>0.66618147999999988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41</v>
      </c>
      <c r="C12" s="32">
        <v>5.6099999999999997E-2</v>
      </c>
      <c r="D12" s="33">
        <f t="shared" si="0"/>
        <v>1.0801381799999998</v>
      </c>
      <c r="E12" s="34">
        <v>82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</v>
      </c>
      <c r="C13" s="32">
        <v>2.18E-2</v>
      </c>
      <c r="D13" s="33">
        <f t="shared" si="0"/>
        <v>0.41973283999999994</v>
      </c>
      <c r="E13" s="34">
        <v>153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0.99950000000000006</v>
      </c>
      <c r="D19" s="38">
        <f>SUM(D9:D18)</f>
        <v>19.244173099999994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42</v>
      </c>
      <c r="B36" s="60">
        <v>113</v>
      </c>
      <c r="C36" s="60">
        <v>1</v>
      </c>
      <c r="D36" s="60">
        <v>30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2.6904761904761907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48</v>
      </c>
      <c r="B37" s="60">
        <v>120</v>
      </c>
      <c r="C37" s="60">
        <v>2</v>
      </c>
      <c r="D37" s="60">
        <v>28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6.166666666666667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56</v>
      </c>
      <c r="B38" s="60">
        <v>138</v>
      </c>
      <c r="C38" s="60">
        <v>3</v>
      </c>
      <c r="D38" s="60">
        <v>36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5.75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64</v>
      </c>
      <c r="B39" s="60">
        <v>155</v>
      </c>
      <c r="C39" s="60">
        <v>4</v>
      </c>
      <c r="D39" s="60">
        <v>41</v>
      </c>
      <c r="E39" s="51">
        <v>0.7</v>
      </c>
      <c r="F39" s="51">
        <v>0</v>
      </c>
      <c r="G39" s="51">
        <v>0</v>
      </c>
      <c r="H39" s="51">
        <v>0.3</v>
      </c>
      <c r="I39" s="49">
        <f t="shared" si="1"/>
        <v>6.625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72</v>
      </c>
      <c r="B40" s="60">
        <v>160</v>
      </c>
      <c r="C40" s="60">
        <v>5</v>
      </c>
      <c r="D40" s="60">
        <v>32</v>
      </c>
      <c r="E40" s="51">
        <v>0.7</v>
      </c>
      <c r="F40" s="51">
        <v>0</v>
      </c>
      <c r="G40" s="51">
        <v>0</v>
      </c>
      <c r="H40" s="51">
        <v>0.3</v>
      </c>
      <c r="I40" s="49">
        <f t="shared" si="1"/>
        <v>5.75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81</v>
      </c>
      <c r="B41" s="60">
        <v>172</v>
      </c>
      <c r="C41" s="60">
        <v>6</v>
      </c>
      <c r="D41" s="60">
        <v>31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4.8888888888888893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90</v>
      </c>
      <c r="B42" s="60">
        <v>184</v>
      </c>
      <c r="C42" s="60">
        <v>7</v>
      </c>
      <c r="D42" s="60">
        <v>30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4.7777777777777777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102</v>
      </c>
      <c r="B43" s="60">
        <v>211</v>
      </c>
      <c r="C43" s="60">
        <v>8</v>
      </c>
      <c r="D43" s="60">
        <v>41</v>
      </c>
      <c r="E43" s="51">
        <v>0.9</v>
      </c>
      <c r="F43" s="51">
        <v>0</v>
      </c>
      <c r="G43" s="51">
        <v>0</v>
      </c>
      <c r="H43" s="51">
        <v>0.1</v>
      </c>
      <c r="I43" s="49">
        <f t="shared" si="1"/>
        <v>4.75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114</v>
      </c>
      <c r="B44" s="60">
        <v>225</v>
      </c>
      <c r="C44" s="60">
        <v>9</v>
      </c>
      <c r="D44" s="60">
        <v>37</v>
      </c>
      <c r="E44" s="51">
        <v>0.9</v>
      </c>
      <c r="F44" s="51">
        <v>0</v>
      </c>
      <c r="G44" s="51">
        <v>0</v>
      </c>
      <c r="H44" s="51">
        <v>0.1</v>
      </c>
      <c r="I44" s="49">
        <f t="shared" si="1"/>
        <v>4.583333333333333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126</v>
      </c>
      <c r="B45" s="60">
        <v>243</v>
      </c>
      <c r="C45" s="60">
        <v>10</v>
      </c>
      <c r="D45" s="60">
        <v>38</v>
      </c>
      <c r="E45" s="51">
        <v>0.9</v>
      </c>
      <c r="F45" s="51">
        <v>0</v>
      </c>
      <c r="G45" s="51">
        <v>0</v>
      </c>
      <c r="H45" s="51">
        <v>0.1</v>
      </c>
      <c r="I45" s="49">
        <f t="shared" si="1"/>
        <v>4.583333333333333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138</v>
      </c>
      <c r="B46" s="60">
        <v>262</v>
      </c>
      <c r="C46" s="60">
        <v>11</v>
      </c>
      <c r="D46" s="60">
        <v>39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4.75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153</v>
      </c>
      <c r="B47" s="60">
        <v>296</v>
      </c>
      <c r="C47" s="60" t="s">
        <v>324</v>
      </c>
      <c r="D47" s="60">
        <v>296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4.8666666666666663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Merisier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15</v>
      </c>
      <c r="B62" s="60">
        <v>99.659000000000006</v>
      </c>
      <c r="C62" s="60">
        <v>1</v>
      </c>
      <c r="D62" s="60">
        <v>20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6.6439333333333339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174.28619999999998</v>
      </c>
      <c r="C63" s="60">
        <v>2</v>
      </c>
      <c r="D63" s="60">
        <v>29.047699999999999</v>
      </c>
      <c r="E63" s="51">
        <v>0.7</v>
      </c>
      <c r="F63" s="51">
        <v>0</v>
      </c>
      <c r="G63" s="51">
        <v>0</v>
      </c>
      <c r="H63" s="51">
        <v>0.3</v>
      </c>
      <c r="I63" s="49">
        <f>IF(A63&lt;&gt;0,(B63-(B62-D62))/(A63-A62),"")</f>
        <v>9.4627199999999974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35</v>
      </c>
      <c r="B64" s="60">
        <v>264.58570000000003</v>
      </c>
      <c r="C64" s="60">
        <v>3</v>
      </c>
      <c r="D64" s="60">
        <v>44.097616666666674</v>
      </c>
      <c r="E64" s="51">
        <v>0.7</v>
      </c>
      <c r="F64" s="51">
        <v>0</v>
      </c>
      <c r="G64" s="51">
        <v>0</v>
      </c>
      <c r="H64" s="51">
        <v>0.3</v>
      </c>
      <c r="I64" s="49">
        <f>IF(A64&lt;&gt;0,(B64-(B63-D63))/(A64-A63),"")</f>
        <v>11.934720000000004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45</v>
      </c>
      <c r="B65" s="60">
        <v>364.55528333333342</v>
      </c>
      <c r="C65" s="60">
        <v>4</v>
      </c>
      <c r="D65" s="60">
        <v>60.759213888888908</v>
      </c>
      <c r="E65" s="51">
        <v>0.9</v>
      </c>
      <c r="F65" s="51">
        <v>0</v>
      </c>
      <c r="G65" s="51">
        <v>0</v>
      </c>
      <c r="H65" s="51">
        <v>0.1</v>
      </c>
      <c r="I65" s="49">
        <f>IF(A65&lt;&gt;0,(B65-(B64-D64))/(A65-A64),"")</f>
        <v>14.406720000000007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55</v>
      </c>
      <c r="B66" s="60">
        <v>468.51506944444446</v>
      </c>
      <c r="C66" s="60" t="s">
        <v>324</v>
      </c>
      <c r="D66" s="60">
        <v>468.51506944444446</v>
      </c>
      <c r="E66" s="51">
        <v>0.9</v>
      </c>
      <c r="F66" s="51">
        <v>0</v>
      </c>
      <c r="G66" s="51">
        <v>0</v>
      </c>
      <c r="H66" s="51">
        <v>0.1</v>
      </c>
      <c r="I66" s="49">
        <f t="shared" ref="I66:I81" si="2">IF(A66&lt;&gt;0,(B66-(B65-D65))/(A66-A65),"")</f>
        <v>16.471899999999994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25</v>
      </c>
      <c r="B88" s="60">
        <v>70</v>
      </c>
      <c r="C88" s="60">
        <v>1</v>
      </c>
      <c r="D88" s="60">
        <v>8</v>
      </c>
      <c r="E88" s="51"/>
      <c r="F88" s="51"/>
      <c r="G88" s="51"/>
      <c r="H88" s="87">
        <v>1</v>
      </c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97</v>
      </c>
      <c r="C89" s="60">
        <v>2</v>
      </c>
      <c r="D89" s="60">
        <v>21</v>
      </c>
      <c r="E89" s="51"/>
      <c r="F89" s="51"/>
      <c r="G89" s="51"/>
      <c r="H89" s="87">
        <v>1</v>
      </c>
      <c r="I89" s="53">
        <f t="shared" ref="I89:I107" si="3">IF(A89&lt;&gt;0,(B89-(B88-D88))/(A89-A88),"")</f>
        <v>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35</v>
      </c>
      <c r="B90" s="60">
        <v>116</v>
      </c>
      <c r="C90" s="60">
        <v>3</v>
      </c>
      <c r="D90" s="60">
        <v>21</v>
      </c>
      <c r="E90" s="87"/>
      <c r="F90" s="87"/>
      <c r="G90" s="87"/>
      <c r="H90" s="87">
        <v>1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137</v>
      </c>
      <c r="C91" s="60">
        <v>4</v>
      </c>
      <c r="D91" s="60">
        <v>21</v>
      </c>
      <c r="E91" s="87"/>
      <c r="F91" s="87"/>
      <c r="G91" s="87"/>
      <c r="H91" s="87"/>
      <c r="I91" s="53">
        <f t="shared" si="3"/>
        <v>8.4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45</v>
      </c>
      <c r="B92" s="60">
        <v>158</v>
      </c>
      <c r="C92" s="60">
        <v>5</v>
      </c>
      <c r="D92" s="60">
        <v>21</v>
      </c>
      <c r="E92" s="87"/>
      <c r="F92" s="87"/>
      <c r="G92" s="87"/>
      <c r="H92" s="87"/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50</v>
      </c>
      <c r="B93" s="60">
        <v>178</v>
      </c>
      <c r="C93" s="60">
        <v>6</v>
      </c>
      <c r="D93" s="60">
        <v>21</v>
      </c>
      <c r="E93" s="87"/>
      <c r="F93" s="87"/>
      <c r="G93" s="87"/>
      <c r="H93" s="87"/>
      <c r="I93" s="53">
        <f t="shared" si="3"/>
        <v>8.1999999999999993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55</v>
      </c>
      <c r="B94" s="60">
        <v>197</v>
      </c>
      <c r="C94" s="60">
        <v>7</v>
      </c>
      <c r="D94" s="60">
        <v>21</v>
      </c>
      <c r="E94" s="87"/>
      <c r="F94" s="87"/>
      <c r="G94" s="87"/>
      <c r="H94" s="87"/>
      <c r="I94" s="53">
        <f t="shared" si="3"/>
        <v>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60</v>
      </c>
      <c r="B95" s="60">
        <v>214</v>
      </c>
      <c r="C95" s="60">
        <v>8</v>
      </c>
      <c r="D95" s="60">
        <v>21</v>
      </c>
      <c r="E95" s="87"/>
      <c r="F95" s="87"/>
      <c r="G95" s="87"/>
      <c r="H95" s="87"/>
      <c r="I95" s="53">
        <f t="shared" si="3"/>
        <v>7.6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65</v>
      </c>
      <c r="B96" s="60">
        <v>229</v>
      </c>
      <c r="C96" s="60">
        <v>9</v>
      </c>
      <c r="D96" s="60">
        <v>21</v>
      </c>
      <c r="E96" s="87"/>
      <c r="F96" s="87"/>
      <c r="G96" s="87"/>
      <c r="H96" s="87"/>
      <c r="I96" s="53">
        <f t="shared" si="3"/>
        <v>7.2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70</v>
      </c>
      <c r="B97" s="60">
        <v>242</v>
      </c>
      <c r="C97" s="60">
        <v>10</v>
      </c>
      <c r="D97" s="60">
        <v>21</v>
      </c>
      <c r="E97" s="87"/>
      <c r="F97" s="87"/>
      <c r="G97" s="87"/>
      <c r="H97" s="87"/>
      <c r="I97" s="53">
        <f t="shared" si="3"/>
        <v>6.8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75</v>
      </c>
      <c r="B98" s="60">
        <v>252</v>
      </c>
      <c r="C98" s="60">
        <v>11</v>
      </c>
      <c r="D98" s="60">
        <v>21</v>
      </c>
      <c r="E98" s="87"/>
      <c r="F98" s="87"/>
      <c r="G98" s="87"/>
      <c r="H98" s="87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80</v>
      </c>
      <c r="B99" s="60">
        <v>261</v>
      </c>
      <c r="C99" s="60">
        <v>12</v>
      </c>
      <c r="D99" s="60">
        <v>21</v>
      </c>
      <c r="E99" s="87"/>
      <c r="F99" s="87"/>
      <c r="G99" s="87"/>
      <c r="H99" s="87"/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85</v>
      </c>
      <c r="B100" s="60">
        <v>269</v>
      </c>
      <c r="C100" s="60">
        <v>13</v>
      </c>
      <c r="D100" s="60">
        <v>21</v>
      </c>
      <c r="E100" s="65"/>
      <c r="F100" s="65"/>
      <c r="G100" s="65"/>
      <c r="H100" s="65"/>
      <c r="I100" s="53">
        <f t="shared" si="3"/>
        <v>5.8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90</v>
      </c>
      <c r="B101" s="60">
        <v>275</v>
      </c>
      <c r="C101" s="60">
        <v>14</v>
      </c>
      <c r="D101" s="60">
        <v>21</v>
      </c>
      <c r="E101" s="65"/>
      <c r="F101" s="65"/>
      <c r="G101" s="65"/>
      <c r="H101" s="65"/>
      <c r="I101" s="53">
        <f t="shared" si="3"/>
        <v>5.4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100</v>
      </c>
      <c r="B102" s="50">
        <v>303</v>
      </c>
      <c r="C102" s="60">
        <v>15</v>
      </c>
      <c r="D102" s="50">
        <v>42</v>
      </c>
      <c r="E102" s="54"/>
      <c r="F102" s="54"/>
      <c r="G102" s="54"/>
      <c r="H102" s="54"/>
      <c r="I102" s="53">
        <f t="shared" si="3"/>
        <v>4.9000000000000004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110</v>
      </c>
      <c r="B103" s="50">
        <v>305</v>
      </c>
      <c r="C103" s="60">
        <v>16</v>
      </c>
      <c r="D103" s="50">
        <v>39</v>
      </c>
      <c r="E103" s="54"/>
      <c r="F103" s="54"/>
      <c r="G103" s="54"/>
      <c r="H103" s="54"/>
      <c r="I103" s="53">
        <f t="shared" si="3"/>
        <v>4.4000000000000004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120</v>
      </c>
      <c r="B104" s="50">
        <v>303</v>
      </c>
      <c r="C104" s="60">
        <v>17</v>
      </c>
      <c r="D104" s="50">
        <v>35</v>
      </c>
      <c r="E104" s="54"/>
      <c r="F104" s="54"/>
      <c r="G104" s="54"/>
      <c r="H104" s="54"/>
      <c r="I104" s="53">
        <f t="shared" si="3"/>
        <v>3.7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130</v>
      </c>
      <c r="B105" s="50">
        <v>300</v>
      </c>
      <c r="C105" s="50">
        <v>18</v>
      </c>
      <c r="D105" s="50">
        <v>31</v>
      </c>
      <c r="E105" s="54"/>
      <c r="F105" s="54"/>
      <c r="G105" s="54"/>
      <c r="H105" s="54"/>
      <c r="I105" s="53">
        <f t="shared" si="3"/>
        <v>3.2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140</v>
      </c>
      <c r="B106" s="50">
        <v>296</v>
      </c>
      <c r="C106" s="50">
        <v>19</v>
      </c>
      <c r="D106" s="50">
        <v>27</v>
      </c>
      <c r="E106" s="54"/>
      <c r="F106" s="54"/>
      <c r="G106" s="54"/>
      <c r="H106" s="54"/>
      <c r="I106" s="53">
        <f t="shared" si="3"/>
        <v>2.7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>
        <v>150</v>
      </c>
      <c r="B107" s="50">
        <v>293</v>
      </c>
      <c r="C107" s="50" t="s">
        <v>324</v>
      </c>
      <c r="D107" s="50">
        <v>293</v>
      </c>
      <c r="E107" s="54"/>
      <c r="F107" s="54"/>
      <c r="G107" s="54"/>
      <c r="H107" s="54"/>
      <c r="I107" s="53">
        <f t="shared" si="3"/>
        <v>2.4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sylvestre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22</v>
      </c>
      <c r="B114" s="60">
        <v>105</v>
      </c>
      <c r="C114" s="50">
        <v>1</v>
      </c>
      <c r="D114" s="60">
        <v>21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4.7727272727272725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25</v>
      </c>
      <c r="B115" s="60">
        <v>146</v>
      </c>
      <c r="C115" s="50">
        <v>2</v>
      </c>
      <c r="D115" s="60">
        <v>36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33" si="4">IF(A115&lt;&gt;0,(B115-(B114-D114))/(A115-A114),"")</f>
        <v>20.666666666666668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195</v>
      </c>
      <c r="C116" s="50">
        <v>3</v>
      </c>
      <c r="D116" s="60">
        <v>49</v>
      </c>
      <c r="E116" s="51">
        <v>0</v>
      </c>
      <c r="F116" s="51">
        <v>0.56000000000000005</v>
      </c>
      <c r="G116" s="51">
        <v>0.44</v>
      </c>
      <c r="H116" s="51">
        <v>0</v>
      </c>
      <c r="I116" s="53">
        <f t="shared" si="4"/>
        <v>17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35</v>
      </c>
      <c r="B117" s="60">
        <v>222</v>
      </c>
      <c r="C117" s="50">
        <v>4</v>
      </c>
      <c r="D117" s="60">
        <v>42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15.2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40</v>
      </c>
      <c r="B118" s="60">
        <v>252</v>
      </c>
      <c r="C118" s="50">
        <v>5</v>
      </c>
      <c r="D118" s="60">
        <v>38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45</v>
      </c>
      <c r="B119" s="60">
        <v>282</v>
      </c>
      <c r="C119" s="50">
        <v>6</v>
      </c>
      <c r="D119" s="60">
        <v>37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13.6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50</v>
      </c>
      <c r="B120" s="60">
        <v>322</v>
      </c>
      <c r="C120" s="60">
        <v>7</v>
      </c>
      <c r="D120" s="60">
        <v>48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15.4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58</v>
      </c>
      <c r="B121" s="60">
        <v>374</v>
      </c>
      <c r="C121" s="60">
        <v>8</v>
      </c>
      <c r="D121" s="60">
        <v>50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4"/>
        <v>12.5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66</v>
      </c>
      <c r="B122" s="60">
        <v>385</v>
      </c>
      <c r="C122" s="60">
        <v>9</v>
      </c>
      <c r="D122" s="60">
        <v>20</v>
      </c>
      <c r="E122" s="87">
        <v>0.7</v>
      </c>
      <c r="F122" s="87">
        <v>0.16800000000000001</v>
      </c>
      <c r="G122" s="87">
        <v>0.13200000000000001</v>
      </c>
      <c r="H122" s="87">
        <v>0</v>
      </c>
      <c r="I122" s="53">
        <f t="shared" si="4"/>
        <v>7.625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74</v>
      </c>
      <c r="B123" s="60">
        <v>416</v>
      </c>
      <c r="C123" s="60">
        <v>10</v>
      </c>
      <c r="D123" s="60">
        <v>17</v>
      </c>
      <c r="E123" s="87">
        <v>0.7</v>
      </c>
      <c r="F123" s="87">
        <v>0.16800000000000001</v>
      </c>
      <c r="G123" s="87">
        <v>0.13200000000000001</v>
      </c>
      <c r="H123" s="87">
        <v>0</v>
      </c>
      <c r="I123" s="53">
        <f t="shared" si="4"/>
        <v>6.375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82</v>
      </c>
      <c r="B124" s="60">
        <v>427</v>
      </c>
      <c r="C124" s="60" t="s">
        <v>324</v>
      </c>
      <c r="D124" s="60">
        <v>427</v>
      </c>
      <c r="E124" s="87">
        <v>0.7</v>
      </c>
      <c r="F124" s="87">
        <v>0.16800000000000001</v>
      </c>
      <c r="G124" s="87">
        <v>0.13200000000000001</v>
      </c>
      <c r="H124" s="87">
        <v>0</v>
      </c>
      <c r="I124" s="53">
        <f t="shared" si="4"/>
        <v>3.5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42</v>
      </c>
      <c r="B140" s="60">
        <v>90.4</v>
      </c>
      <c r="C140" s="50">
        <v>1</v>
      </c>
      <c r="D140" s="60">
        <v>24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2.1523809523809527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48</v>
      </c>
      <c r="B141" s="60">
        <v>96</v>
      </c>
      <c r="C141" s="50">
        <v>2</v>
      </c>
      <c r="D141" s="60">
        <v>22.400000000000002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4.9333333333333327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56</v>
      </c>
      <c r="B142" s="60">
        <v>110.4</v>
      </c>
      <c r="C142" s="50">
        <v>3</v>
      </c>
      <c r="D142" s="60">
        <v>28.8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4.6000000000000014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64</v>
      </c>
      <c r="B143" s="60">
        <v>124</v>
      </c>
      <c r="C143" s="50">
        <v>4</v>
      </c>
      <c r="D143" s="60">
        <v>32.800000000000004</v>
      </c>
      <c r="E143" s="51">
        <v>0.7</v>
      </c>
      <c r="F143" s="51">
        <v>0</v>
      </c>
      <c r="G143" s="51">
        <v>0</v>
      </c>
      <c r="H143" s="51">
        <v>0.3</v>
      </c>
      <c r="I143" s="57">
        <f t="shared" si="5"/>
        <v>5.2999999999999989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72</v>
      </c>
      <c r="B144" s="60">
        <v>128</v>
      </c>
      <c r="C144" s="50">
        <v>5</v>
      </c>
      <c r="D144" s="60">
        <v>25.6</v>
      </c>
      <c r="E144" s="51">
        <v>0.7</v>
      </c>
      <c r="F144" s="51">
        <v>0</v>
      </c>
      <c r="G144" s="51">
        <v>0</v>
      </c>
      <c r="H144" s="51">
        <v>0.3</v>
      </c>
      <c r="I144" s="57">
        <f t="shared" si="5"/>
        <v>4.6000000000000014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81</v>
      </c>
      <c r="B145" s="60">
        <v>137.6</v>
      </c>
      <c r="C145" s="50">
        <v>6</v>
      </c>
      <c r="D145" s="60">
        <v>24.8</v>
      </c>
      <c r="E145" s="51">
        <v>0.7</v>
      </c>
      <c r="F145" s="51">
        <v>0</v>
      </c>
      <c r="G145" s="51">
        <v>0</v>
      </c>
      <c r="H145" s="51">
        <v>0.3</v>
      </c>
      <c r="I145" s="57">
        <f t="shared" si="5"/>
        <v>3.9111111111111097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90</v>
      </c>
      <c r="B146" s="60">
        <v>147.20000000000002</v>
      </c>
      <c r="C146" s="50">
        <v>7</v>
      </c>
      <c r="D146" s="60">
        <v>24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3.8222222222222246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102</v>
      </c>
      <c r="B147" s="60">
        <v>168.8</v>
      </c>
      <c r="C147" s="50">
        <v>8</v>
      </c>
      <c r="D147" s="60">
        <v>32.800000000000004</v>
      </c>
      <c r="E147" s="51">
        <v>0.9</v>
      </c>
      <c r="F147" s="51">
        <v>0</v>
      </c>
      <c r="G147" s="51">
        <v>0</v>
      </c>
      <c r="H147" s="51">
        <v>0.1</v>
      </c>
      <c r="I147" s="57">
        <f>IF(A147&lt;&gt;0,(B147-(B146-D146))/(A147-A146),"")</f>
        <v>3.7999999999999994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114</v>
      </c>
      <c r="B148" s="60">
        <v>180</v>
      </c>
      <c r="C148" s="50">
        <v>9</v>
      </c>
      <c r="D148" s="60">
        <v>29.6</v>
      </c>
      <c r="E148" s="51">
        <v>0.9</v>
      </c>
      <c r="F148" s="51">
        <v>0</v>
      </c>
      <c r="G148" s="51">
        <v>0</v>
      </c>
      <c r="H148" s="51">
        <v>0.1</v>
      </c>
      <c r="I148" s="57">
        <f t="shared" si="5"/>
        <v>3.6666666666666665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126</v>
      </c>
      <c r="B149" s="60">
        <v>194.4</v>
      </c>
      <c r="C149" s="50">
        <v>10</v>
      </c>
      <c r="D149" s="60">
        <v>30.400000000000002</v>
      </c>
      <c r="E149" s="51">
        <v>0.9</v>
      </c>
      <c r="F149" s="51">
        <v>0</v>
      </c>
      <c r="G149" s="51">
        <v>0</v>
      </c>
      <c r="H149" s="51">
        <v>0.1</v>
      </c>
      <c r="I149" s="57">
        <f t="shared" si="5"/>
        <v>3.6666666666666665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138</v>
      </c>
      <c r="B150" s="60">
        <v>209.60000000000002</v>
      </c>
      <c r="C150" s="50">
        <v>11</v>
      </c>
      <c r="D150" s="60">
        <v>31.200000000000003</v>
      </c>
      <c r="E150" s="51">
        <v>0.9</v>
      </c>
      <c r="F150" s="51">
        <v>0</v>
      </c>
      <c r="G150" s="51">
        <v>0</v>
      </c>
      <c r="H150" s="51">
        <v>0.1</v>
      </c>
      <c r="I150" s="57">
        <f t="shared" si="5"/>
        <v>3.800000000000002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153</v>
      </c>
      <c r="B151" s="60">
        <v>236.8</v>
      </c>
      <c r="C151" s="50" t="s">
        <v>324</v>
      </c>
      <c r="D151" s="60">
        <v>236.8</v>
      </c>
      <c r="E151" s="51">
        <v>0.9</v>
      </c>
      <c r="F151" s="51">
        <v>0</v>
      </c>
      <c r="G151" s="51">
        <v>0</v>
      </c>
      <c r="H151" s="51">
        <v>0.1</v>
      </c>
      <c r="I151" s="57">
        <f t="shared" si="5"/>
        <v>3.8933333333333318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F15" sqref="F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Merisier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sylvestre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328.8796193543036</v>
      </c>
      <c r="T3" s="59">
        <f>IF('Données projet'!E9&gt;30,$R$33-$H$33,LOOKUP('Données projet'!$E$9,$A$3:$A$203,R3:R203)-LOOKUP('Données projet'!$E$9,$A$3:$A$203,$H$3:$H$203))</f>
        <v>199.43308683696642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351.77274930064431</v>
      </c>
      <c r="AO3" s="59">
        <f>IF('Données projet'!E10&gt;30,$AM$33-$H$33,LOOKUP('Données projet'!$E$10,$A$3:$A$203,AM3:AM203)-LOOKUP('Données projet'!$E$10,$A$3:$A$203,$H$3:$H$203))</f>
        <v>386.10758060007078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438.62466697107681</v>
      </c>
      <c r="BJ3" s="59">
        <f>IF('Données projet'!E11&gt;30,$BH$33-$H$33,LOOKUP('Données projet'!$E$11,$A$3:$A$203,BH3:BH203)-LOOKUP('Données projet'!$E$11,$A$3:$A$203,$H$3:$H$203))</f>
        <v>241.18285512887627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308.33000350259448</v>
      </c>
      <c r="CE3" s="59">
        <f>IF('Données projet'!E12&gt;30,$CC$33-$H$33,LOOKUP('Données projet'!$E$12,$A$3:$A$203,CC3:CC203)-LOOKUP('Données projet'!$E$12,$A$3:$A$203,$H$3:$H$203))</f>
        <v>282.64839194267171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330.87173217110126</v>
      </c>
      <c r="CZ3" s="59">
        <f>IF('Données projet'!E13&gt;30,$CX$33-$H$33,LOOKUP('Données projet'!$E$13,$A$3:$A$203,CX3:CX203)-LOOKUP('Données projet'!$E$13,$A$3:$A$203,$H$3:$H$203))</f>
        <v>200.52697135436102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2.6904761904761907</v>
      </c>
      <c r="N4" s="13">
        <f>IF('Données projet'!$A$36&gt;35,N3+M4-V3,IF(A4&lt;'Données projet'!$A$36,$K$205^A4,IF(A4='Données projet'!$A$36,'Données projet'!$B$36,N3+M4-V3)))</f>
        <v>2.6904761904761907</v>
      </c>
      <c r="O4" s="13">
        <f>N4*VLOOKUP('Données projet'!$B$9,Paramètres!$A$1:$I$89,3,0)*VLOOKUP('Données projet'!$B$9,Paramètres!$A$1:$I$89,5,0)</f>
        <v>2.4343428571428576</v>
      </c>
      <c r="P4" s="13">
        <f>EXP(-1.0587+0.8836*LN(O4)+0.284)</f>
        <v>1.0114839008106258</v>
      </c>
      <c r="Q4" s="20">
        <f t="shared" ref="Q4:Q34" si="2">(O4+P4)*0.475*44/12</f>
        <v>6.00148160343565</v>
      </c>
      <c r="R4" s="59">
        <f t="shared" si="0"/>
        <v>263.89037049232451</v>
      </c>
      <c r="S4" s="59">
        <f ca="1">AVERAGE(OFFSET($R$3,0,0,'Données projet'!$E$9+1,1))-AVERAGE(OFFSET($H$3,0,0,'Données projet'!$E$9+1,1))</f>
        <v>328.8796193543036</v>
      </c>
      <c r="T4" s="59">
        <f>$T$3</f>
        <v>199.43308683696642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6.6439333333333339</v>
      </c>
      <c r="AI4" s="13">
        <f>IF('Données projet'!$A$62&gt;35,AI3+AH4-AQ3,IF(A4&lt;'Données projet'!$A$62,$AF$205^A4,IF(A4='Données projet'!$A$62,'Données projet'!$B$62,AI3+AH4-AQ3)))</f>
        <v>1.3590468710106116</v>
      </c>
      <c r="AJ4" s="13">
        <f>AI4*VLOOKUP('Données projet'!$B$10,Paramètres!$A$1:$I$89,3,0)*VLOOKUP('Données projet'!$B$10,Paramètres!$A$1:$I$89,5,0)</f>
        <v>1.0600565593882771</v>
      </c>
      <c r="AK4" s="13">
        <f>EXP(-1.0587+0.8836*LN(AJ4)+0.284)</f>
        <v>0.48521341835521836</v>
      </c>
      <c r="AL4" s="20">
        <f t="shared" ref="AL4:AL67" si="4">(AJ4+AK4)*0.475*44/12</f>
        <v>2.6913452112365879</v>
      </c>
      <c r="AM4" s="59">
        <f t="shared" ref="AM4:AM67" si="5">AL4+(AD4+AE4)*44/12</f>
        <v>260.58023410012544</v>
      </c>
      <c r="AN4" s="59">
        <f ca="1">AVERAGE(OFFSET($AM$3,0,0,'Données projet'!$E$10+1,1))-AVERAGE(OFFSET($H$3,0,0,'Données projet'!$E$10+1,1))</f>
        <v>351.77274930064431</v>
      </c>
      <c r="AO4" s="59">
        <f>$AO$3</f>
        <v>386.10758060007078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1.1852335095914694</v>
      </c>
      <c r="BE4" s="13">
        <f>BD4*VLOOKUP('Données projet'!$B$11,Paramètres!$A$1:$I$89,3,0)*VLOOKUP('Données projet'!$B$11,Paramètres!$A$1:$I$89,5,0)</f>
        <v>1.1278682077272424</v>
      </c>
      <c r="BF4" s="13">
        <f>EXP(-1.0587+0.8836*LN(BE4)+0.284)</f>
        <v>0.51253974361771537</v>
      </c>
      <c r="BG4" s="20">
        <f t="shared" ref="BG4:BG67" si="7">(BE4+BF4)*0.475*44/12</f>
        <v>2.8570438485924678</v>
      </c>
      <c r="BH4" s="59">
        <f t="shared" ref="BH4:BH67" si="8">BG4+(AY4+AZ4)*44/12</f>
        <v>260.74593273748133</v>
      </c>
      <c r="BI4" s="59">
        <f ca="1">AVERAGE(OFFSET($BH$3,0,0,'Données projet'!$E$11+1,1))-AVERAGE(OFFSET($H$3,0,0,'Données projet'!$E$11+1,1))</f>
        <v>438.62466697107681</v>
      </c>
      <c r="BJ4" s="59">
        <f>$BJ$3</f>
        <v>241.18285512887627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4.7727272727272725</v>
      </c>
      <c r="BY4" s="12">
        <f>IF('Données projet'!$A$114&gt;35,BY3+BX4-CG3,IF(A4&lt;'Données projet'!$A$114,$BV$205^A4,IF(A4='Données projet'!$A$114,'Données projet'!$B$114,BY3+BX4-CG3)))</f>
        <v>1.2355839005057505</v>
      </c>
      <c r="BZ4" s="13">
        <f>BY4*VLOOKUP('Données projet'!$B$12,Paramètres!$A$1:$I$89,3,0)*VLOOKUP('Données projet'!$B$12,Paramètres!$A$1:$I$89,5,0)</f>
        <v>0.70675399108928927</v>
      </c>
      <c r="CA4" s="13">
        <f>EXP(-1.0587+0.8836*LN(BZ4)+0.284)</f>
        <v>0.33912945186963944</v>
      </c>
      <c r="CB4" s="20">
        <f t="shared" ref="CB4:CB67" si="10">(BZ4+CA4)*0.475*44/12</f>
        <v>1.8215803298201341</v>
      </c>
      <c r="CC4" s="59">
        <f t="shared" ref="CC4:CC67" si="11">CB4+(BT4+BU4)*44/12</f>
        <v>259.71046921870897</v>
      </c>
      <c r="CD4" s="59">
        <f ca="1">AVERAGE(OFFSET($CC$3,0,0,'Données projet'!$E$12+1,1))-AVERAGE(OFFSET($H$3,0,0,'Données projet'!$E$12+1,1))</f>
        <v>308.33000350259448</v>
      </c>
      <c r="CE4" s="59">
        <f>$CE$3</f>
        <v>282.64839194267171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2.1523809523809527</v>
      </c>
      <c r="CT4" s="12">
        <f>IF('Données projet'!$A$140&gt;35,CT3+CS4-DB3,IF(A4&lt;'Données projet'!$A$140,$CQ$205^A4,IF(A4='Données projet'!$A$140,'Données projet'!$B$140,CT3+CS4-DB3)))</f>
        <v>2.1523809523809527</v>
      </c>
      <c r="CU4" s="17">
        <f>CT4*VLOOKUP('Données projet'!$B$13,Paramètres!$A$1:$I$89,3,0)*VLOOKUP('Données projet'!$B$13,Paramètres!$A$1:$I$89,5,0)</f>
        <v>2.4511314285714292</v>
      </c>
      <c r="CV4" s="13">
        <f>EXP(-1.0587+0.8836*LN(CU4)+0.284)</f>
        <v>1.0176452067447541</v>
      </c>
      <c r="CW4" s="20">
        <f t="shared" ref="CW4:CW67" si="13">(CU4+CV4)*0.475*44/12</f>
        <v>6.041452639842352</v>
      </c>
      <c r="CX4" s="59">
        <f t="shared" ref="CX4:CX67" si="14">CW4+(CO4+CP4)*44/12</f>
        <v>263.93034152873122</v>
      </c>
      <c r="CY4" s="59">
        <f ca="1">AVERAGE(OFFSET($CX$3,0,0,'Données projet'!$E$13+1,1))-AVERAGE(OFFSET($H$3,0,0,'Données projet'!$E$13+1,1))</f>
        <v>330.87173217110126</v>
      </c>
      <c r="CZ4" s="59">
        <f>$CZ$3</f>
        <v>200.52697135436102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2.6904761904761907</v>
      </c>
      <c r="N5" s="13">
        <f>IF('Données projet'!$A$36&gt;35,N4+M5-V4,IF(A5&lt;'Données projet'!$A$36,$K$205^A5,IF(A5='Données projet'!$A$36,'Données projet'!$B$36,N4+M5-V4)))</f>
        <v>5.3809523809523814</v>
      </c>
      <c r="O5" s="13">
        <f>N5*VLOOKUP('Données projet'!$B$9,Paramètres!$A$1:$I$89,3,0)*VLOOKUP('Données projet'!$B$9,Paramètres!$A$1:$I$89,5,0)</f>
        <v>4.8686857142857152</v>
      </c>
      <c r="P5" s="13">
        <f t="shared" ref="P5:P68" si="33">EXP(-1.0587+0.8836*LN(O5)+0.284)</f>
        <v>1.8661608704332051</v>
      </c>
      <c r="Q5" s="20">
        <f t="shared" si="2"/>
        <v>11.729857801718786</v>
      </c>
      <c r="R5" s="59">
        <f t="shared" si="0"/>
        <v>270.84096891282991</v>
      </c>
      <c r="S5" s="59">
        <f ca="1">AVERAGE(OFFSET($R$3,0,0,'Données projet'!$E$9+1,1))-AVERAGE(OFFSET($H$3,0,0,'Données projet'!$E$9+1,1))</f>
        <v>328.8796193543036</v>
      </c>
      <c r="T5" s="59">
        <f t="shared" ref="T5:T68" si="34">$T$3</f>
        <v>199.43308683696642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6.6439333333333339</v>
      </c>
      <c r="AI5" s="13">
        <f>IF('Données projet'!$A$62&gt;35,AI4+AH5-AQ4,IF(A5&lt;'Données projet'!$A$62,$AF$205^A5,IF(A5='Données projet'!$A$62,'Données projet'!$B$62,AI4+AH5-AQ4)))</f>
        <v>1.8470083976037339</v>
      </c>
      <c r="AJ5" s="13">
        <f>AI5*VLOOKUP('Données projet'!$B$10,Paramètres!$A$1:$I$89,3,0)*VLOOKUP('Données projet'!$B$10,Paramètres!$A$1:$I$89,5,0)</f>
        <v>1.4406665501309126</v>
      </c>
      <c r="AK5" s="13">
        <f t="shared" ref="AK5:AK68" si="35">EXP(-1.0587+0.8836*LN(AJ5)+0.284)</f>
        <v>0.63629534983818092</v>
      </c>
      <c r="AL5" s="20">
        <f t="shared" si="4"/>
        <v>3.617375309112838</v>
      </c>
      <c r="AM5" s="59">
        <f t="shared" si="5"/>
        <v>262.72848642022399</v>
      </c>
      <c r="AN5" s="59">
        <f ca="1">AVERAGE(OFFSET($AM$3,0,0,'Données projet'!$E$10+1,1))-AVERAGE(OFFSET($H$3,0,0,'Données projet'!$E$10+1,1))</f>
        <v>351.77274930064431</v>
      </c>
      <c r="AO5" s="59">
        <f t="shared" ref="AO5:AO68" si="36">$AO$3</f>
        <v>386.10758060007078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1.4047784722585119</v>
      </c>
      <c r="BE5" s="13">
        <f>BD5*VLOOKUP('Données projet'!$B$11,Paramètres!$A$1:$I$89,3,0)*VLOOKUP('Données projet'!$B$11,Paramètres!$A$1:$I$89,5,0)</f>
        <v>1.3367871942012</v>
      </c>
      <c r="BF5" s="13">
        <f t="shared" ref="BF5:BF68" si="37">EXP(-1.0587+0.8836*LN(BE5)+0.284)</f>
        <v>0.59558080504648392</v>
      </c>
      <c r="BG5" s="20">
        <f t="shared" si="7"/>
        <v>3.3655409320230496</v>
      </c>
      <c r="BH5" s="59">
        <f t="shared" si="8"/>
        <v>262.47665204313421</v>
      </c>
      <c r="BI5" s="59">
        <f ca="1">AVERAGE(OFFSET($BH$3,0,0,'Données projet'!$E$11+1,1))-AVERAGE(OFFSET($H$3,0,0,'Données projet'!$E$11+1,1))</f>
        <v>438.62466697107681</v>
      </c>
      <c r="BJ5" s="59">
        <f t="shared" ref="BJ5:BJ68" si="38">$BJ$3</f>
        <v>241.18285512887627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4.7727272727272725</v>
      </c>
      <c r="BY5" s="12">
        <f>IF('Données projet'!$A$114&gt;35,BY4+BX5-CG4,IF(A5&lt;'Données projet'!$A$114,$BV$205^A5,IF(A5='Données projet'!$A$114,'Données projet'!$B$114,BY4+BX5-CG4)))</f>
        <v>1.5266675751890044</v>
      </c>
      <c r="BZ5" s="13">
        <f>BY5*VLOOKUP('Données projet'!$B$12,Paramètres!$A$1:$I$89,3,0)*VLOOKUP('Données projet'!$B$12,Paramètres!$A$1:$I$89,5,0)</f>
        <v>0.87325385300811065</v>
      </c>
      <c r="CA5" s="13">
        <f t="shared" ref="CA5:CA68" si="39">EXP(-1.0587+0.8836*LN(BZ5)+0.284)</f>
        <v>0.40883100075583323</v>
      </c>
      <c r="CB5" s="20">
        <f t="shared" si="10"/>
        <v>2.2329644536388686</v>
      </c>
      <c r="CC5" s="59">
        <f t="shared" si="11"/>
        <v>261.34407556475003</v>
      </c>
      <c r="CD5" s="59">
        <f ca="1">AVERAGE(OFFSET($CC$3,0,0,'Données projet'!$E$12+1,1))-AVERAGE(OFFSET($H$3,0,0,'Données projet'!$E$12+1,1))</f>
        <v>308.33000350259448</v>
      </c>
      <c r="CE5" s="59">
        <f t="shared" ref="CE5:CE68" si="40">$CE$3</f>
        <v>282.64839194267171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2.1523809523809527</v>
      </c>
      <c r="CT5" s="12">
        <f>IF('Données projet'!$A$140&gt;35,CT4+CS5-DB4,IF(A5&lt;'Données projet'!$A$140,$CQ$205^A5,IF(A5='Données projet'!$A$140,'Données projet'!$B$140,CT4+CS5-DB4)))</f>
        <v>4.3047619047619055</v>
      </c>
      <c r="CU5" s="17">
        <f>CT5*VLOOKUP('Données projet'!$B$13,Paramètres!$A$1:$I$89,3,0)*VLOOKUP('Données projet'!$B$13,Paramètres!$A$1:$I$89,5,0)</f>
        <v>4.9022628571428584</v>
      </c>
      <c r="CV5" s="13">
        <f t="shared" ref="CV5:CV68" si="41">EXP(-1.0587+0.8836*LN(CU5)+0.284)</f>
        <v>1.8775283158624629</v>
      </c>
      <c r="CW5" s="20">
        <f t="shared" si="13"/>
        <v>11.808136292984267</v>
      </c>
      <c r="CX5" s="59">
        <f t="shared" si="14"/>
        <v>270.91924740409542</v>
      </c>
      <c r="CY5" s="59">
        <f ca="1">AVERAGE(OFFSET($CX$3,0,0,'Données projet'!$E$13+1,1))-AVERAGE(OFFSET($H$3,0,0,'Données projet'!$E$13+1,1))</f>
        <v>330.87173217110126</v>
      </c>
      <c r="CZ5" s="59">
        <f t="shared" ref="CZ5:CZ68" si="42">$CZ$3</f>
        <v>200.52697135436102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2.6904761904761907</v>
      </c>
      <c r="N6" s="13">
        <f>IF('Données projet'!$A$36&gt;35,N5+M6-V5,IF(A6&lt;'Données projet'!$A$36,$K$205^A6,IF(A6='Données projet'!$A$36,'Données projet'!$B$36,N5+M6-V5)))</f>
        <v>8.071428571428573</v>
      </c>
      <c r="O6" s="13">
        <f>N6*VLOOKUP('Données projet'!$B$9,Paramètres!$A$1:$I$89,3,0)*VLOOKUP('Données projet'!$B$9,Paramètres!$A$1:$I$89,5,0)</f>
        <v>7.3030285714285732</v>
      </c>
      <c r="P6" s="13">
        <f t="shared" si="33"/>
        <v>2.6701970724975985</v>
      </c>
      <c r="Q6" s="20">
        <f t="shared" si="2"/>
        <v>17.370034663171413</v>
      </c>
      <c r="R6" s="59">
        <f t="shared" si="0"/>
        <v>277.70336799650471</v>
      </c>
      <c r="S6" s="59">
        <f ca="1">AVERAGE(OFFSET($R$3,0,0,'Données projet'!$E$9+1,1))-AVERAGE(OFFSET($H$3,0,0,'Données projet'!$E$9+1,1))</f>
        <v>328.8796193543036</v>
      </c>
      <c r="T6" s="59">
        <f t="shared" si="34"/>
        <v>199.43308683696642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6.6439333333333339</v>
      </c>
      <c r="AI6" s="13">
        <f>IF('Données projet'!$A$62&gt;35,AI5+AH6-AQ5,IF(A6&lt;'Données projet'!$A$62,$AF$205^A6,IF(A6='Données projet'!$A$62,'Données projet'!$B$62,AI5+AH6-AQ5)))</f>
        <v>2.5101709834936781</v>
      </c>
      <c r="AJ6" s="13">
        <f>AI6*VLOOKUP('Données projet'!$B$10,Paramètres!$A$1:$I$89,3,0)*VLOOKUP('Données projet'!$B$10,Paramètres!$A$1:$I$89,5,0)</f>
        <v>1.9579333671250689</v>
      </c>
      <c r="AK6" s="13">
        <f t="shared" si="35"/>
        <v>0.83441998285647523</v>
      </c>
      <c r="AL6" s="20">
        <f t="shared" si="4"/>
        <v>4.8633487512178561</v>
      </c>
      <c r="AM6" s="59">
        <f t="shared" si="5"/>
        <v>265.19668208455118</v>
      </c>
      <c r="AN6" s="59">
        <f ca="1">AVERAGE(OFFSET($AM$3,0,0,'Données projet'!$E$10+1,1))-AVERAGE(OFFSET($H$3,0,0,'Données projet'!$E$10+1,1))</f>
        <v>351.77274930064431</v>
      </c>
      <c r="AO6" s="59">
        <f t="shared" si="36"/>
        <v>386.10758060007078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1.6649905188734988</v>
      </c>
      <c r="BE6" s="13">
        <f>BD6*VLOOKUP('Données projet'!$B$11,Paramètres!$A$1:$I$89,3,0)*VLOOKUP('Données projet'!$B$11,Paramètres!$A$1:$I$89,5,0)</f>
        <v>1.5844049777600215</v>
      </c>
      <c r="BF6" s="13">
        <f t="shared" si="37"/>
        <v>0.69207607752734202</v>
      </c>
      <c r="BG6" s="20">
        <f t="shared" si="7"/>
        <v>3.9648711712921583</v>
      </c>
      <c r="BH6" s="59">
        <f t="shared" si="8"/>
        <v>264.29820450462546</v>
      </c>
      <c r="BI6" s="59">
        <f ca="1">AVERAGE(OFFSET($BH$3,0,0,'Données projet'!$E$11+1,1))-AVERAGE(OFFSET($H$3,0,0,'Données projet'!$E$11+1,1))</f>
        <v>438.62466697107681</v>
      </c>
      <c r="BJ6" s="59">
        <f t="shared" si="38"/>
        <v>241.18285512887627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4.7727272727272725</v>
      </c>
      <c r="BY6" s="12">
        <f>IF('Données projet'!$A$114&gt;35,BY5+BX6-CG5,IF(A6&lt;'Données projet'!$A$114,$BV$205^A6,IF(A6='Données projet'!$A$114,'Données projet'!$B$114,BY5+BX6-CG5)))</f>
        <v>1.8863258773276863</v>
      </c>
      <c r="BZ6" s="13">
        <f>BY6*VLOOKUP('Données projet'!$B$12,Paramètres!$A$1:$I$89,3,0)*VLOOKUP('Données projet'!$B$12,Paramètres!$A$1:$I$89,5,0)</f>
        <v>1.0789784018314366</v>
      </c>
      <c r="CA6" s="13">
        <f t="shared" si="39"/>
        <v>0.49285836502122893</v>
      </c>
      <c r="CB6" s="20">
        <f t="shared" si="10"/>
        <v>2.7376157022683927</v>
      </c>
      <c r="CC6" s="59">
        <f t="shared" si="11"/>
        <v>263.0709490356017</v>
      </c>
      <c r="CD6" s="59">
        <f ca="1">AVERAGE(OFFSET($CC$3,0,0,'Données projet'!$E$12+1,1))-AVERAGE(OFFSET($H$3,0,0,'Données projet'!$E$12+1,1))</f>
        <v>308.33000350259448</v>
      </c>
      <c r="CE6" s="59">
        <f t="shared" si="40"/>
        <v>282.64839194267171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2.1523809523809527</v>
      </c>
      <c r="CT6" s="12">
        <f>IF('Données projet'!$A$140&gt;35,CT5+CS6-DB5,IF(A6&lt;'Données projet'!$A$140,$CQ$205^A6,IF(A6='Données projet'!$A$140,'Données projet'!$B$140,CT5+CS6-DB5)))</f>
        <v>6.4571428571428582</v>
      </c>
      <c r="CU6" s="17">
        <f>CT6*VLOOKUP('Données projet'!$B$13,Paramètres!$A$1:$I$89,3,0)*VLOOKUP('Données projet'!$B$13,Paramètres!$A$1:$I$89,5,0)</f>
        <v>7.3533942857142867</v>
      </c>
      <c r="CV6" s="13">
        <f t="shared" si="41"/>
        <v>2.6864621866085461</v>
      </c>
      <c r="CW6" s="20">
        <f t="shared" si="13"/>
        <v>17.486083355962265</v>
      </c>
      <c r="CX6" s="59">
        <f t="shared" si="14"/>
        <v>277.81941668929556</v>
      </c>
      <c r="CY6" s="59">
        <f ca="1">AVERAGE(OFFSET($CX$3,0,0,'Données projet'!$E$13+1,1))-AVERAGE(OFFSET($H$3,0,0,'Données projet'!$E$13+1,1))</f>
        <v>330.87173217110126</v>
      </c>
      <c r="CZ6" s="59">
        <f t="shared" si="42"/>
        <v>200.52697135436102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2.6904761904761907</v>
      </c>
      <c r="N7" s="13">
        <f>IF('Données projet'!$A$36&gt;35,N6+M7-V6,IF(A7&lt;'Données projet'!$A$36,$K$205^A7,IF(A7='Données projet'!$A$36,'Données projet'!$B$36,N6+M7-V6)))</f>
        <v>10.761904761904763</v>
      </c>
      <c r="O7" s="13">
        <f>N7*VLOOKUP('Données projet'!$B$9,Paramètres!$A$1:$I$89,3,0)*VLOOKUP('Données projet'!$B$9,Paramètres!$A$1:$I$89,5,0)</f>
        <v>9.7373714285714303</v>
      </c>
      <c r="P7" s="13">
        <f t="shared" si="33"/>
        <v>3.443017127158444</v>
      </c>
      <c r="Q7" s="20">
        <f t="shared" si="2"/>
        <v>22.955843401229529</v>
      </c>
      <c r="R7" s="59">
        <f t="shared" si="0"/>
        <v>284.51139895678506</v>
      </c>
      <c r="S7" s="59">
        <f ca="1">AVERAGE(OFFSET($R$3,0,0,'Données projet'!$E$9+1,1))-AVERAGE(OFFSET($H$3,0,0,'Données projet'!$E$9+1,1))</f>
        <v>328.8796193543036</v>
      </c>
      <c r="T7" s="59">
        <f t="shared" si="34"/>
        <v>199.43308683696642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6.6439333333333339</v>
      </c>
      <c r="AI7" s="13">
        <f>IF('Données projet'!$A$62&gt;35,AI6+AH7-AQ6,IF(A7&lt;'Données projet'!$A$62,$AF$205^A7,IF(A7='Données projet'!$A$62,'Données projet'!$B$62,AI6+AH7-AQ6)))</f>
        <v>3.4114400208187128</v>
      </c>
      <c r="AJ7" s="13">
        <f>AI7*VLOOKUP('Données projet'!$B$10,Paramètres!$A$1:$I$89,3,0)*VLOOKUP('Données projet'!$B$10,Paramètres!$A$1:$I$89,5,0)</f>
        <v>2.6609232162385958</v>
      </c>
      <c r="AK7" s="13">
        <f t="shared" si="35"/>
        <v>1.0942351031911022</v>
      </c>
      <c r="AL7" s="20">
        <f t="shared" si="4"/>
        <v>6.5402340730067232</v>
      </c>
      <c r="AM7" s="59">
        <f t="shared" si="5"/>
        <v>268.09578962856227</v>
      </c>
      <c r="AN7" s="59">
        <f ca="1">AVERAGE(OFFSET($AM$3,0,0,'Données projet'!$E$10+1,1))-AVERAGE(OFFSET($H$3,0,0,'Données projet'!$E$10+1,1))</f>
        <v>351.77274930064431</v>
      </c>
      <c r="AO7" s="59">
        <f t="shared" si="36"/>
        <v>386.10758060007078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1.9734025561209587</v>
      </c>
      <c r="BE7" s="13">
        <f>BD7*VLOOKUP('Données projet'!$B$11,Paramètres!$A$1:$I$89,3,0)*VLOOKUP('Données projet'!$B$11,Paramètres!$A$1:$I$89,5,0)</f>
        <v>1.8778898724047044</v>
      </c>
      <c r="BF7" s="13">
        <f t="shared" si="37"/>
        <v>0.80420539585430195</v>
      </c>
      <c r="BG7" s="20">
        <f t="shared" si="7"/>
        <v>4.6713159255511032</v>
      </c>
      <c r="BH7" s="59">
        <f t="shared" si="8"/>
        <v>266.22687148110663</v>
      </c>
      <c r="BI7" s="59">
        <f ca="1">AVERAGE(OFFSET($BH$3,0,0,'Données projet'!$E$11+1,1))-AVERAGE(OFFSET($H$3,0,0,'Données projet'!$E$11+1,1))</f>
        <v>438.62466697107681</v>
      </c>
      <c r="BJ7" s="59">
        <f t="shared" si="38"/>
        <v>241.18285512887627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4.7727272727272725</v>
      </c>
      <c r="BY7" s="12">
        <f>IF('Données projet'!$A$114&gt;35,BY6+BX7-CG6,IF(A7&lt;'Données projet'!$A$114,$BV$205^A7,IF(A7='Données projet'!$A$114,'Données projet'!$B$114,BY6+BX7-CG6)))</f>
        <v>2.3307138851334743</v>
      </c>
      <c r="BZ7" s="13">
        <f>BY7*VLOOKUP('Données projet'!$B$12,Paramètres!$A$1:$I$89,3,0)*VLOOKUP('Données projet'!$B$12,Paramètres!$A$1:$I$89,5,0)</f>
        <v>1.3331683422963474</v>
      </c>
      <c r="CA7" s="13">
        <f t="shared" si="39"/>
        <v>0.59415594101796643</v>
      </c>
      <c r="CB7" s="20">
        <f t="shared" si="10"/>
        <v>3.3567564601057627</v>
      </c>
      <c r="CC7" s="59">
        <f t="shared" si="11"/>
        <v>264.91231201566131</v>
      </c>
      <c r="CD7" s="59">
        <f ca="1">AVERAGE(OFFSET($CC$3,0,0,'Données projet'!$E$12+1,1))-AVERAGE(OFFSET($H$3,0,0,'Données projet'!$E$12+1,1))</f>
        <v>308.33000350259448</v>
      </c>
      <c r="CE7" s="59">
        <f t="shared" si="40"/>
        <v>282.64839194267171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2.1523809523809527</v>
      </c>
      <c r="CT7" s="12">
        <f>IF('Données projet'!$A$140&gt;35,CT6+CS7-DB6,IF(A7&lt;'Données projet'!$A$140,$CQ$205^A7,IF(A7='Données projet'!$A$140,'Données projet'!$B$140,CT6+CS7-DB6)))</f>
        <v>8.6095238095238109</v>
      </c>
      <c r="CU7" s="17">
        <f>CT7*VLOOKUP('Données projet'!$B$13,Paramètres!$A$1:$I$89,3,0)*VLOOKUP('Données projet'!$B$13,Paramètres!$A$1:$I$89,5,0)</f>
        <v>9.8045257142857167</v>
      </c>
      <c r="CV7" s="13">
        <f t="shared" si="41"/>
        <v>3.4639897613643522</v>
      </c>
      <c r="CW7" s="20">
        <f t="shared" si="13"/>
        <v>23.109331120090534</v>
      </c>
      <c r="CX7" s="59">
        <f t="shared" si="14"/>
        <v>284.66488667564607</v>
      </c>
      <c r="CY7" s="59">
        <f ca="1">AVERAGE(OFFSET($CX$3,0,0,'Données projet'!$E$13+1,1))-AVERAGE(OFFSET($H$3,0,0,'Données projet'!$E$13+1,1))</f>
        <v>330.87173217110126</v>
      </c>
      <c r="CZ7" s="59">
        <f t="shared" si="42"/>
        <v>200.52697135436102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2.6904761904761907</v>
      </c>
      <c r="N8" s="13">
        <f>IF('Données projet'!$A$36&gt;35,N7+M8-V7,IF(A8&lt;'Données projet'!$A$36,$K$205^A8,IF(A8='Données projet'!$A$36,'Données projet'!$B$36,N7+M8-V7)))</f>
        <v>13.452380952380953</v>
      </c>
      <c r="O8" s="13">
        <f>N8*VLOOKUP('Données projet'!$B$9,Paramètres!$A$1:$I$89,3,0)*VLOOKUP('Données projet'!$B$9,Paramètres!$A$1:$I$89,5,0)</f>
        <v>12.171714285714286</v>
      </c>
      <c r="P8" s="13">
        <f t="shared" si="33"/>
        <v>4.1934249090509752</v>
      </c>
      <c r="Q8" s="20">
        <f t="shared" si="2"/>
        <v>28.502617430882832</v>
      </c>
      <c r="R8" s="59">
        <f t="shared" si="0"/>
        <v>291.28039520866059</v>
      </c>
      <c r="S8" s="59">
        <f ca="1">AVERAGE(OFFSET($R$3,0,0,'Données projet'!$E$9+1,1))-AVERAGE(OFFSET($H$3,0,0,'Données projet'!$E$9+1,1))</f>
        <v>328.8796193543036</v>
      </c>
      <c r="T8" s="59">
        <f t="shared" si="34"/>
        <v>199.43308683696642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6.6439333333333339</v>
      </c>
      <c r="AI8" s="13">
        <f>IF('Données projet'!$A$62&gt;35,AI7+AH8-AQ7,IF(A8&lt;'Données projet'!$A$62,$AF$205^A8,IF(A8='Données projet'!$A$62,'Données projet'!$B$62,AI7+AH8-AQ7)))</f>
        <v>4.6363068859340473</v>
      </c>
      <c r="AJ8" s="13">
        <f>AI8*VLOOKUP('Données projet'!$B$10,Paramètres!$A$1:$I$89,3,0)*VLOOKUP('Données projet'!$B$10,Paramètres!$A$1:$I$89,5,0)</f>
        <v>3.6163193710285571</v>
      </c>
      <c r="AK8" s="13">
        <f t="shared" si="35"/>
        <v>1.4349494087578596</v>
      </c>
      <c r="AL8" s="20">
        <f t="shared" si="4"/>
        <v>8.7976264581280095</v>
      </c>
      <c r="AM8" s="59">
        <f t="shared" si="5"/>
        <v>271.57540423590581</v>
      </c>
      <c r="AN8" s="59">
        <f ca="1">AVERAGE(OFFSET($AM$3,0,0,'Données projet'!$E$10+1,1))-AVERAGE(OFFSET($H$3,0,0,'Données projet'!$E$10+1,1))</f>
        <v>351.77274930064431</v>
      </c>
      <c r="AO8" s="59">
        <f t="shared" si="36"/>
        <v>386.10758060007078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2.3389428374280206</v>
      </c>
      <c r="BE8" s="13">
        <f>BD8*VLOOKUP('Données projet'!$B$11,Paramètres!$A$1:$I$89,3,0)*VLOOKUP('Données projet'!$B$11,Paramètres!$A$1:$I$89,5,0)</f>
        <v>2.2257380040965042</v>
      </c>
      <c r="BF8" s="13">
        <f t="shared" si="37"/>
        <v>0.93450176898452786</v>
      </c>
      <c r="BG8" s="20">
        <f t="shared" si="7"/>
        <v>5.5040842714494636</v>
      </c>
      <c r="BH8" s="59">
        <f t="shared" si="8"/>
        <v>268.28186204922724</v>
      </c>
      <c r="BI8" s="59">
        <f ca="1">AVERAGE(OFFSET($BH$3,0,0,'Données projet'!$E$11+1,1))-AVERAGE(OFFSET($H$3,0,0,'Données projet'!$E$11+1,1))</f>
        <v>438.62466697107681</v>
      </c>
      <c r="BJ8" s="59">
        <f t="shared" si="38"/>
        <v>241.18285512887627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4.7727272727272725</v>
      </c>
      <c r="BY8" s="12">
        <f>IF('Données projet'!$A$114&gt;35,BY7+BX8-CG7,IF(A8&lt;'Données projet'!$A$114,$BV$205^A8,IF(A8='Données projet'!$A$114,'Données projet'!$B$114,BY7+BX8-CG7)))</f>
        <v>2.8797925531561299</v>
      </c>
      <c r="BZ8" s="13">
        <f>BY8*VLOOKUP('Données projet'!$B$12,Paramètres!$A$1:$I$89,3,0)*VLOOKUP('Données projet'!$B$12,Paramètres!$A$1:$I$89,5,0)</f>
        <v>1.6472413404053063</v>
      </c>
      <c r="CA8" s="13">
        <f t="shared" si="39"/>
        <v>0.71627328924759015</v>
      </c>
      <c r="CB8" s="20">
        <f t="shared" si="10"/>
        <v>4.1164546466454608</v>
      </c>
      <c r="CC8" s="59">
        <f t="shared" si="11"/>
        <v>266.89423242442325</v>
      </c>
      <c r="CD8" s="59">
        <f ca="1">AVERAGE(OFFSET($CC$3,0,0,'Données projet'!$E$12+1,1))-AVERAGE(OFFSET($H$3,0,0,'Données projet'!$E$12+1,1))</f>
        <v>308.33000350259448</v>
      </c>
      <c r="CE8" s="59">
        <f t="shared" si="40"/>
        <v>282.64839194267171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2.1523809523809527</v>
      </c>
      <c r="CT8" s="12">
        <f>IF('Données projet'!$A$140&gt;35,CT7+CS8-DB7,IF(A8&lt;'Données projet'!$A$140,$CQ$205^A8,IF(A8='Données projet'!$A$140,'Données projet'!$B$140,CT7+CS8-DB7)))</f>
        <v>10.761904761904763</v>
      </c>
      <c r="CU8" s="17">
        <f>CT8*VLOOKUP('Données projet'!$B$13,Paramètres!$A$1:$I$89,3,0)*VLOOKUP('Données projet'!$B$13,Paramètres!$A$1:$I$89,5,0)</f>
        <v>12.255657142857144</v>
      </c>
      <c r="CV8" s="13">
        <f t="shared" si="41"/>
        <v>4.2189685422771204</v>
      </c>
      <c r="CW8" s="20">
        <f t="shared" si="13"/>
        <v>28.69330640160884</v>
      </c>
      <c r="CX8" s="59">
        <f t="shared" si="14"/>
        <v>291.47108417938659</v>
      </c>
      <c r="CY8" s="59">
        <f ca="1">AVERAGE(OFFSET($CX$3,0,0,'Données projet'!$E$13+1,1))-AVERAGE(OFFSET($H$3,0,0,'Données projet'!$E$13+1,1))</f>
        <v>330.87173217110126</v>
      </c>
      <c r="CZ8" s="59">
        <f t="shared" si="42"/>
        <v>200.52697135436102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2.6904761904761907</v>
      </c>
      <c r="N9" s="13">
        <f>IF('Données projet'!$A$36&gt;35,N8+M9-V8,IF(A9&lt;'Données projet'!$A$36,$K$205^A9,IF(A9='Données projet'!$A$36,'Données projet'!$B$36,N8+M9-V8)))</f>
        <v>16.142857142857142</v>
      </c>
      <c r="O9" s="13">
        <f>N9*VLOOKUP('Données projet'!$B$9,Paramètres!$A$1:$I$89,3,0)*VLOOKUP('Données projet'!$B$9,Paramètres!$A$1:$I$89,5,0)</f>
        <v>14.606057142857141</v>
      </c>
      <c r="P9" s="13">
        <f t="shared" si="33"/>
        <v>4.9264425158391649</v>
      </c>
      <c r="Q9" s="20">
        <f t="shared" si="2"/>
        <v>34.019103572229398</v>
      </c>
      <c r="R9" s="59">
        <f t="shared" si="0"/>
        <v>298.01910357222937</v>
      </c>
      <c r="S9" s="59">
        <f ca="1">AVERAGE(OFFSET($R$3,0,0,'Données projet'!$E$9+1,1))-AVERAGE(OFFSET($H$3,0,0,'Données projet'!$E$9+1,1))</f>
        <v>328.8796193543036</v>
      </c>
      <c r="T9" s="59">
        <f t="shared" si="34"/>
        <v>199.43308683696642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6.6439333333333339</v>
      </c>
      <c r="AI9" s="13">
        <f>IF('Données projet'!$A$62&gt;35,AI8+AH9-AQ8,IF(A9&lt;'Données projet'!$A$62,$AF$205^A9,IF(A9='Données projet'!$A$62,'Données projet'!$B$62,AI8+AH9-AQ8)))</f>
        <v>6.3009583663736191</v>
      </c>
      <c r="AJ9" s="13">
        <f>AI9*VLOOKUP('Données projet'!$B$10,Paramètres!$A$1:$I$89,3,0)*VLOOKUP('Données projet'!$B$10,Paramètres!$A$1:$I$89,5,0)</f>
        <v>4.914747525771423</v>
      </c>
      <c r="AK9" s="13">
        <f t="shared" si="35"/>
        <v>1.8817526504950033</v>
      </c>
      <c r="AL9" s="20">
        <f t="shared" si="4"/>
        <v>11.837237806997358</v>
      </c>
      <c r="AM9" s="59">
        <f t="shared" si="5"/>
        <v>275.83723780699734</v>
      </c>
      <c r="AN9" s="59">
        <f ca="1">AVERAGE(OFFSET($AM$3,0,0,'Données projet'!$E$10+1,1))-AVERAGE(OFFSET($H$3,0,0,'Données projet'!$E$10+1,1))</f>
        <v>351.77274930064431</v>
      </c>
      <c r="AO9" s="59">
        <f t="shared" si="36"/>
        <v>386.10758060007078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2.7721934279386429</v>
      </c>
      <c r="BE9" s="13">
        <f>BD9*VLOOKUP('Données projet'!$B$11,Paramètres!$A$1:$I$89,3,0)*VLOOKUP('Données projet'!$B$11,Paramètres!$A$1:$I$89,5,0)</f>
        <v>2.6380192660264128</v>
      </c>
      <c r="BF9" s="13">
        <f t="shared" si="37"/>
        <v>1.0859086008836318</v>
      </c>
      <c r="BG9" s="20">
        <f t="shared" si="7"/>
        <v>6.4858410348683284</v>
      </c>
      <c r="BH9" s="59">
        <f t="shared" si="8"/>
        <v>270.48584103486832</v>
      </c>
      <c r="BI9" s="59">
        <f ca="1">AVERAGE(OFFSET($BH$3,0,0,'Données projet'!$E$11+1,1))-AVERAGE(OFFSET($H$3,0,0,'Données projet'!$E$11+1,1))</f>
        <v>438.62466697107681</v>
      </c>
      <c r="BJ9" s="59">
        <f t="shared" si="38"/>
        <v>241.18285512887627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4.7727272727272725</v>
      </c>
      <c r="BY9" s="12">
        <f>IF('Données projet'!$A$114&gt;35,BY8+BX9-CG8,IF(A9&lt;'Données projet'!$A$114,$BV$205^A9,IF(A9='Données projet'!$A$114,'Données projet'!$B$114,BY8+BX9-CG8)))</f>
        <v>3.558225315476065</v>
      </c>
      <c r="BZ9" s="13">
        <f>BY9*VLOOKUP('Données projet'!$B$12,Paramètres!$A$1:$I$89,3,0)*VLOOKUP('Données projet'!$B$12,Paramètres!$A$1:$I$89,5,0)</f>
        <v>2.0353048804523093</v>
      </c>
      <c r="CA9" s="13">
        <f t="shared" si="39"/>
        <v>0.86348951423520015</v>
      </c>
      <c r="CB9" s="20">
        <f t="shared" si="10"/>
        <v>5.0487335707474124</v>
      </c>
      <c r="CC9" s="59">
        <f t="shared" si="11"/>
        <v>269.0487335707474</v>
      </c>
      <c r="CD9" s="59">
        <f ca="1">AVERAGE(OFFSET($CC$3,0,0,'Données projet'!$E$12+1,1))-AVERAGE(OFFSET($H$3,0,0,'Données projet'!$E$12+1,1))</f>
        <v>308.33000350259448</v>
      </c>
      <c r="CE9" s="59">
        <f t="shared" si="40"/>
        <v>282.64839194267171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2.1523809523809527</v>
      </c>
      <c r="CT9" s="12">
        <f>IF('Données projet'!$A$140&gt;35,CT8+CS9-DB8,IF(A9&lt;'Données projet'!$A$140,$CQ$205^A9,IF(A9='Données projet'!$A$140,'Données projet'!$B$140,CT8+CS9-DB8)))</f>
        <v>12.914285714285715</v>
      </c>
      <c r="CU9" s="17">
        <f>CT9*VLOOKUP('Données projet'!$B$13,Paramètres!$A$1:$I$89,3,0)*VLOOKUP('Données projet'!$B$13,Paramètres!$A$1:$I$89,5,0)</f>
        <v>14.706788571428572</v>
      </c>
      <c r="CV9" s="13">
        <f t="shared" si="41"/>
        <v>4.956451218382683</v>
      </c>
      <c r="CW9" s="20">
        <f t="shared" si="13"/>
        <v>34.246809300587927</v>
      </c>
      <c r="CX9" s="59">
        <f t="shared" si="14"/>
        <v>298.24680930058793</v>
      </c>
      <c r="CY9" s="59">
        <f ca="1">AVERAGE(OFFSET($CX$3,0,0,'Données projet'!$E$13+1,1))-AVERAGE(OFFSET($H$3,0,0,'Données projet'!$E$13+1,1))</f>
        <v>330.87173217110126</v>
      </c>
      <c r="CZ9" s="59">
        <f t="shared" si="42"/>
        <v>200.52697135436102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2.6904761904761907</v>
      </c>
      <c r="N10" s="13">
        <f>IF('Données projet'!$A$36&gt;35,N9+M10-V9,IF(A10&lt;'Données projet'!$A$36,$K$205^A10,IF(A10='Données projet'!$A$36,'Données projet'!$B$36,N9+M10-V9)))</f>
        <v>18.833333333333332</v>
      </c>
      <c r="O10" s="13">
        <f>N10*VLOOKUP('Données projet'!$B$9,Paramètres!$A$1:$I$89,3,0)*VLOOKUP('Données projet'!$B$9,Paramètres!$A$1:$I$89,5,0)</f>
        <v>17.040399999999998</v>
      </c>
      <c r="P10" s="13">
        <f t="shared" si="33"/>
        <v>5.6453074997047406</v>
      </c>
      <c r="Q10" s="20">
        <f t="shared" si="2"/>
        <v>39.510940561985755</v>
      </c>
      <c r="R10" s="59">
        <f t="shared" si="0"/>
        <v>304.73316278420799</v>
      </c>
      <c r="S10" s="59">
        <f ca="1">AVERAGE(OFFSET($R$3,0,0,'Données projet'!$E$9+1,1))-AVERAGE(OFFSET($H$3,0,0,'Données projet'!$E$9+1,1))</f>
        <v>328.8796193543036</v>
      </c>
      <c r="T10" s="59">
        <f t="shared" si="34"/>
        <v>199.43308683696642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6.6439333333333339</v>
      </c>
      <c r="AI10" s="13">
        <f>IF('Données projet'!$A$62&gt;35,AI9+AH10-AQ9,IF(A10&lt;'Données projet'!$A$62,$AF$205^A10,IF(A10='Données projet'!$A$62,'Données projet'!$B$62,AI9+AH10-AQ9)))</f>
        <v>8.5632977521882019</v>
      </c>
      <c r="AJ10" s="13">
        <f>AI10*VLOOKUP('Données projet'!$B$10,Paramètres!$A$1:$I$89,3,0)*VLOOKUP('Données projet'!$B$10,Paramètres!$A$1:$I$89,5,0)</f>
        <v>6.679372246706798</v>
      </c>
      <c r="AK10" s="13">
        <f t="shared" si="35"/>
        <v>2.4676779655320211</v>
      </c>
      <c r="AL10" s="20">
        <f t="shared" si="4"/>
        <v>15.93111245298261</v>
      </c>
      <c r="AM10" s="59">
        <f t="shared" si="5"/>
        <v>281.15333467520486</v>
      </c>
      <c r="AN10" s="59">
        <f ca="1">AVERAGE(OFFSET($AM$3,0,0,'Données projet'!$E$10+1,1))-AVERAGE(OFFSET($H$3,0,0,'Données projet'!$E$10+1,1))</f>
        <v>351.77274930064431</v>
      </c>
      <c r="AO10" s="59">
        <f t="shared" si="36"/>
        <v>386.10758060007078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3.2856965458621241</v>
      </c>
      <c r="BE10" s="13">
        <f>BD10*VLOOKUP('Données projet'!$B$11,Paramètres!$A$1:$I$89,3,0)*VLOOKUP('Données projet'!$B$11,Paramètres!$A$1:$I$89,5,0)</f>
        <v>3.1266688330423973</v>
      </c>
      <c r="BF10" s="13">
        <f t="shared" si="37"/>
        <v>1.2618461822222296</v>
      </c>
      <c r="BG10" s="20">
        <f t="shared" si="7"/>
        <v>7.6433303182525583</v>
      </c>
      <c r="BH10" s="59">
        <f t="shared" si="8"/>
        <v>272.86555254047477</v>
      </c>
      <c r="BI10" s="59">
        <f ca="1">AVERAGE(OFFSET($BH$3,0,0,'Données projet'!$E$11+1,1))-AVERAGE(OFFSET($H$3,0,0,'Données projet'!$E$11+1,1))</f>
        <v>438.62466697107681</v>
      </c>
      <c r="BJ10" s="59">
        <f t="shared" si="38"/>
        <v>241.18285512887627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4.7727272727272725</v>
      </c>
      <c r="BY10" s="12">
        <f>IF('Données projet'!$A$114&gt;35,BY9+BX10-CG9,IF(A10&lt;'Données projet'!$A$114,$BV$205^A10,IF(A10='Données projet'!$A$114,'Données projet'!$B$114,BY9+BX10-CG9)))</f>
        <v>4.396485914174221</v>
      </c>
      <c r="BZ10" s="13">
        <f>BY10*VLOOKUP('Données projet'!$B$12,Paramètres!$A$1:$I$89,3,0)*VLOOKUP('Données projet'!$B$12,Paramètres!$A$1:$I$89,5,0)</f>
        <v>2.5147899429076546</v>
      </c>
      <c r="CA10" s="13">
        <f t="shared" si="39"/>
        <v>1.0409632082991296</v>
      </c>
      <c r="CB10" s="20">
        <f t="shared" si="10"/>
        <v>6.1929367383518148</v>
      </c>
      <c r="CC10" s="59">
        <f t="shared" si="11"/>
        <v>271.41515896057405</v>
      </c>
      <c r="CD10" s="59">
        <f ca="1">AVERAGE(OFFSET($CC$3,0,0,'Données projet'!$E$12+1,1))-AVERAGE(OFFSET($H$3,0,0,'Données projet'!$E$12+1,1))</f>
        <v>308.33000350259448</v>
      </c>
      <c r="CE10" s="59">
        <f t="shared" si="40"/>
        <v>282.64839194267171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2.1523809523809527</v>
      </c>
      <c r="CT10" s="12">
        <f>IF('Données projet'!$A$140&gt;35,CT9+CS10-DB9,IF(A10&lt;'Données projet'!$A$140,$CQ$205^A10,IF(A10='Données projet'!$A$140,'Données projet'!$B$140,CT9+CS10-DB9)))</f>
        <v>15.066666666666666</v>
      </c>
      <c r="CU10" s="17">
        <f>CT10*VLOOKUP('Données projet'!$B$13,Paramètres!$A$1:$I$89,3,0)*VLOOKUP('Données projet'!$B$13,Paramètres!$A$1:$I$89,5,0)</f>
        <v>17.157920000000001</v>
      </c>
      <c r="CV10" s="13">
        <f t="shared" si="41"/>
        <v>5.6796950629373697</v>
      </c>
      <c r="CW10" s="20">
        <f t="shared" si="13"/>
        <v>39.775512901282589</v>
      </c>
      <c r="CX10" s="59">
        <f t="shared" si="14"/>
        <v>304.99773512350481</v>
      </c>
      <c r="CY10" s="59">
        <f ca="1">AVERAGE(OFFSET($CX$3,0,0,'Données projet'!$E$13+1,1))-AVERAGE(OFFSET($H$3,0,0,'Données projet'!$E$13+1,1))</f>
        <v>330.87173217110126</v>
      </c>
      <c r="CZ10" s="59">
        <f t="shared" si="42"/>
        <v>200.52697135436102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2.6904761904761907</v>
      </c>
      <c r="N11" s="13">
        <f>IF('Données projet'!$A$36&gt;35,N10+M11-V10,IF(A11&lt;'Données projet'!$A$36,$K$205^A11,IF(A11='Données projet'!$A$36,'Données projet'!$B$36,N10+M11-V10)))</f>
        <v>21.523809523809522</v>
      </c>
      <c r="O11" s="13">
        <f>N11*VLOOKUP('Données projet'!$B$9,Paramètres!$A$1:$I$89,3,0)*VLOOKUP('Données projet'!$B$9,Paramètres!$A$1:$I$89,5,0)</f>
        <v>19.474742857142854</v>
      </c>
      <c r="P11" s="13">
        <f t="shared" si="33"/>
        <v>6.3522749435607562</v>
      </c>
      <c r="Q11" s="20">
        <f t="shared" si="2"/>
        <v>44.982056002892115</v>
      </c>
      <c r="R11" s="59">
        <f t="shared" si="0"/>
        <v>311.42650044733659</v>
      </c>
      <c r="S11" s="59">
        <f ca="1">AVERAGE(OFFSET($R$3,0,0,'Données projet'!$E$9+1,1))-AVERAGE(OFFSET($H$3,0,0,'Données projet'!$E$9+1,1))</f>
        <v>328.8796193543036</v>
      </c>
      <c r="T11" s="59">
        <f t="shared" si="34"/>
        <v>199.43308683696642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6.6439333333333339</v>
      </c>
      <c r="AI11" s="13">
        <f>IF('Données projet'!$A$62&gt;35,AI10+AH11-AQ10,IF(A11&lt;'Données projet'!$A$62,$AF$205^A11,IF(A11='Données projet'!$A$62,'Données projet'!$B$62,AI10+AH11-AQ10)))</f>
        <v>11.63792301564358</v>
      </c>
      <c r="AJ11" s="13">
        <f>AI11*VLOOKUP('Données projet'!$B$10,Paramètres!$A$1:$I$89,3,0)*VLOOKUP('Données projet'!$B$10,Paramètres!$A$1:$I$89,5,0)</f>
        <v>9.077579952201992</v>
      </c>
      <c r="AK11" s="13">
        <f t="shared" si="35"/>
        <v>3.2360440889882103</v>
      </c>
      <c r="AL11" s="20">
        <f t="shared" si="4"/>
        <v>21.44622853840627</v>
      </c>
      <c r="AM11" s="59">
        <f t="shared" si="5"/>
        <v>287.89067298285073</v>
      </c>
      <c r="AN11" s="59">
        <f ca="1">AVERAGE(OFFSET($AM$3,0,0,'Données projet'!$E$10+1,1))-AVERAGE(OFFSET($H$3,0,0,'Données projet'!$E$10+1,1))</f>
        <v>351.77274930064431</v>
      </c>
      <c r="AO11" s="59">
        <f t="shared" si="36"/>
        <v>386.10758060007078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3.8943176485047335</v>
      </c>
      <c r="BE11" s="13">
        <f>BD11*VLOOKUP('Données projet'!$B$11,Paramètres!$A$1:$I$89,3,0)*VLOOKUP('Données projet'!$B$11,Paramètres!$A$1:$I$89,5,0)</f>
        <v>3.7058326743171039</v>
      </c>
      <c r="BF11" s="13">
        <f t="shared" si="37"/>
        <v>1.4662889549757283</v>
      </c>
      <c r="BG11" s="20">
        <f t="shared" si="7"/>
        <v>9.008111837685016</v>
      </c>
      <c r="BH11" s="59">
        <f t="shared" si="8"/>
        <v>275.45255628212948</v>
      </c>
      <c r="BI11" s="59">
        <f ca="1">AVERAGE(OFFSET($BH$3,0,0,'Données projet'!$E$11+1,1))-AVERAGE(OFFSET($H$3,0,0,'Données projet'!$E$11+1,1))</f>
        <v>438.62466697107681</v>
      </c>
      <c r="BJ11" s="59">
        <f t="shared" si="38"/>
        <v>241.18285512887627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4.7727272727272725</v>
      </c>
      <c r="BY11" s="12">
        <f>IF('Données projet'!$A$114&gt;35,BY10+BX11-CG10,IF(A11&lt;'Données projet'!$A$114,$BV$205^A11,IF(A11='Données projet'!$A$114,'Données projet'!$B$114,BY10+BX11-CG10)))</f>
        <v>5.4322272143539738</v>
      </c>
      <c r="BZ11" s="13">
        <f>BY11*VLOOKUP('Données projet'!$B$12,Paramètres!$A$1:$I$89,3,0)*VLOOKUP('Données projet'!$B$12,Paramètres!$A$1:$I$89,5,0)</f>
        <v>3.1072339666104729</v>
      </c>
      <c r="CA11" s="13">
        <f t="shared" si="39"/>
        <v>1.2549132133841538</v>
      </c>
      <c r="CB11" s="20">
        <f t="shared" si="10"/>
        <v>7.5974063384906421</v>
      </c>
      <c r="CC11" s="59">
        <f t="shared" si="11"/>
        <v>274.04185078293511</v>
      </c>
      <c r="CD11" s="59">
        <f ca="1">AVERAGE(OFFSET($CC$3,0,0,'Données projet'!$E$12+1,1))-AVERAGE(OFFSET($H$3,0,0,'Données projet'!$E$12+1,1))</f>
        <v>308.33000350259448</v>
      </c>
      <c r="CE11" s="59">
        <f t="shared" si="40"/>
        <v>282.64839194267171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2.1523809523809527</v>
      </c>
      <c r="CT11" s="12">
        <f>IF('Données projet'!$A$140&gt;35,CT10+CS11-DB10,IF(A11&lt;'Données projet'!$A$140,$CQ$205^A11,IF(A11='Données projet'!$A$140,'Données projet'!$B$140,CT10+CS11-DB10)))</f>
        <v>17.219047619047618</v>
      </c>
      <c r="CU11" s="17">
        <f>CT11*VLOOKUP('Données projet'!$B$13,Paramètres!$A$1:$I$89,3,0)*VLOOKUP('Données projet'!$B$13,Paramètres!$A$1:$I$89,5,0)</f>
        <v>19.609051428571426</v>
      </c>
      <c r="CV11" s="13">
        <f t="shared" si="41"/>
        <v>6.3909688953612829</v>
      </c>
      <c r="CW11" s="20">
        <f t="shared" si="13"/>
        <v>45.283368730849467</v>
      </c>
      <c r="CX11" s="59">
        <f t="shared" si="14"/>
        <v>311.72781317529393</v>
      </c>
      <c r="CY11" s="59">
        <f ca="1">AVERAGE(OFFSET($CX$3,0,0,'Données projet'!$E$13+1,1))-AVERAGE(OFFSET($H$3,0,0,'Données projet'!$E$13+1,1))</f>
        <v>330.87173217110126</v>
      </c>
      <c r="CZ11" s="59">
        <f t="shared" si="42"/>
        <v>200.52697135436102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2.6904761904761907</v>
      </c>
      <c r="N12" s="13">
        <f>IF('Données projet'!$A$36&gt;35,N11+M12-V11,IF(A12&lt;'Données projet'!$A$36,$K$205^A12,IF(A12='Données projet'!$A$36,'Données projet'!$B$36,N11+M12-V11)))</f>
        <v>24.214285714285712</v>
      </c>
      <c r="O12" s="13">
        <f>N12*VLOOKUP('Données projet'!$B$9,Paramètres!$A$1:$I$89,3,0)*VLOOKUP('Données projet'!$B$9,Paramètres!$A$1:$I$89,5,0)</f>
        <v>21.909085714285712</v>
      </c>
      <c r="P12" s="13">
        <f t="shared" si="33"/>
        <v>7.0490023620352611</v>
      </c>
      <c r="Q12" s="20">
        <f t="shared" si="2"/>
        <v>50.435336732925691</v>
      </c>
      <c r="R12" s="59">
        <f t="shared" si="0"/>
        <v>318.10200339959238</v>
      </c>
      <c r="S12" s="59">
        <f ca="1">AVERAGE(OFFSET($R$3,0,0,'Données projet'!$E$9+1,1))-AVERAGE(OFFSET($H$3,0,0,'Données projet'!$E$9+1,1))</f>
        <v>328.8796193543036</v>
      </c>
      <c r="T12" s="59">
        <f t="shared" si="34"/>
        <v>199.43308683696642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6.6439333333333339</v>
      </c>
      <c r="AI12" s="13">
        <f>IF('Données projet'!$A$62&gt;35,AI11+AH12-AQ11,IF(A12&lt;'Données projet'!$A$62,$AF$205^A12,IF(A12='Données projet'!$A$62,'Données projet'!$B$62,AI11+AH12-AQ11)))</f>
        <v>15.816482859472789</v>
      </c>
      <c r="AJ12" s="13">
        <f>AI12*VLOOKUP('Données projet'!$B$10,Paramètres!$A$1:$I$89,3,0)*VLOOKUP('Données projet'!$B$10,Paramètres!$A$1:$I$89,5,0)</f>
        <v>12.336856630388775</v>
      </c>
      <c r="AK12" s="13">
        <f t="shared" si="35"/>
        <v>4.2436580024402906</v>
      </c>
      <c r="AL12" s="20">
        <f t="shared" si="4"/>
        <v>28.877729652177283</v>
      </c>
      <c r="AM12" s="59">
        <f t="shared" si="5"/>
        <v>296.54439631884395</v>
      </c>
      <c r="AN12" s="59">
        <f ca="1">AVERAGE(OFFSET($AM$3,0,0,'Données projet'!$E$10+1,1))-AVERAGE(OFFSET($H$3,0,0,'Données projet'!$E$10+1,1))</f>
        <v>351.77274930064431</v>
      </c>
      <c r="AO12" s="59">
        <f t="shared" si="36"/>
        <v>386.10758060007078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4.6156757740012635</v>
      </c>
      <c r="BE12" s="13">
        <f>BD12*VLOOKUP('Données projet'!$B$11,Paramètres!$A$1:$I$89,3,0)*VLOOKUP('Données projet'!$B$11,Paramètres!$A$1:$I$89,5,0)</f>
        <v>4.3922770665396023</v>
      </c>
      <c r="BF12" s="13">
        <f t="shared" si="37"/>
        <v>1.7038552953399257</v>
      </c>
      <c r="BG12" s="20">
        <f t="shared" si="7"/>
        <v>10.617430530273511</v>
      </c>
      <c r="BH12" s="59">
        <f t="shared" si="8"/>
        <v>278.28409719694019</v>
      </c>
      <c r="BI12" s="59">
        <f ca="1">AVERAGE(OFFSET($BH$3,0,0,'Données projet'!$E$11+1,1))-AVERAGE(OFFSET($H$3,0,0,'Données projet'!$E$11+1,1))</f>
        <v>438.62466697107681</v>
      </c>
      <c r="BJ12" s="59">
        <f t="shared" si="38"/>
        <v>241.18285512887627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4.7727272727272725</v>
      </c>
      <c r="BY12" s="12">
        <f>IF('Données projet'!$A$114&gt;35,BY11+BX12-CG11,IF(A12&lt;'Données projet'!$A$114,$BV$205^A12,IF(A12='Données projet'!$A$114,'Données projet'!$B$114,BY11+BX12-CG11)))</f>
        <v>6.7119724899449702</v>
      </c>
      <c r="BZ12" s="13">
        <f>BY12*VLOOKUP('Données projet'!$B$12,Paramètres!$A$1:$I$89,3,0)*VLOOKUP('Données projet'!$B$12,Paramètres!$A$1:$I$89,5,0)</f>
        <v>3.8392482642485231</v>
      </c>
      <c r="CA12" s="13">
        <f t="shared" si="39"/>
        <v>1.5128365350196014</v>
      </c>
      <c r="CB12" s="20">
        <f t="shared" si="10"/>
        <v>9.3215476920586493</v>
      </c>
      <c r="CC12" s="59">
        <f t="shared" si="11"/>
        <v>276.98821435872532</v>
      </c>
      <c r="CD12" s="59">
        <f ca="1">AVERAGE(OFFSET($CC$3,0,0,'Données projet'!$E$12+1,1))-AVERAGE(OFFSET($H$3,0,0,'Données projet'!$E$12+1,1))</f>
        <v>308.33000350259448</v>
      </c>
      <c r="CE12" s="59">
        <f t="shared" si="40"/>
        <v>282.64839194267171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2.1523809523809527</v>
      </c>
      <c r="CT12" s="12">
        <f>IF('Données projet'!$A$140&gt;35,CT11+CS12-DB11,IF(A12&lt;'Données projet'!$A$140,$CQ$205^A12,IF(A12='Données projet'!$A$140,'Données projet'!$B$140,CT11+CS12-DB11)))</f>
        <v>19.37142857142857</v>
      </c>
      <c r="CU12" s="17">
        <f>CT12*VLOOKUP('Données projet'!$B$13,Paramètres!$A$1:$I$89,3,0)*VLOOKUP('Données projet'!$B$13,Paramètres!$A$1:$I$89,5,0)</f>
        <v>22.060182857142856</v>
      </c>
      <c r="CV12" s="13">
        <f t="shared" si="41"/>
        <v>7.0919403267899002</v>
      </c>
      <c r="CW12" s="20">
        <f t="shared" si="13"/>
        <v>50.773281212016208</v>
      </c>
      <c r="CX12" s="59">
        <f t="shared" si="14"/>
        <v>318.43994787868291</v>
      </c>
      <c r="CY12" s="59">
        <f ca="1">AVERAGE(OFFSET($CX$3,0,0,'Données projet'!$E$13+1,1))-AVERAGE(OFFSET($H$3,0,0,'Données projet'!$E$13+1,1))</f>
        <v>330.87173217110126</v>
      </c>
      <c r="CZ12" s="59">
        <f t="shared" si="42"/>
        <v>200.52697135436102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2.6904761904761907</v>
      </c>
      <c r="N13" s="13">
        <f>IF('Données projet'!$A$36&gt;35,N12+M13-V12,IF(A13&lt;'Données projet'!$A$36,$K$205^A13,IF(A13='Données projet'!$A$36,'Données projet'!$B$36,N12+M13-V12)))</f>
        <v>26.904761904761902</v>
      </c>
      <c r="O13" s="13">
        <f>N13*VLOOKUP('Données projet'!$B$9,Paramètres!$A$1:$I$89,3,0)*VLOOKUP('Données projet'!$B$9,Paramètres!$A$1:$I$89,5,0)</f>
        <v>24.343428571428568</v>
      </c>
      <c r="P13" s="13">
        <f t="shared" si="33"/>
        <v>7.7367573246585843</v>
      </c>
      <c r="Q13" s="20">
        <f t="shared" si="2"/>
        <v>55.872990435685118</v>
      </c>
      <c r="R13" s="59">
        <f t="shared" si="0"/>
        <v>324.76187932457395</v>
      </c>
      <c r="S13" s="59">
        <f ca="1">AVERAGE(OFFSET($R$3,0,0,'Données projet'!$E$9+1,1))-AVERAGE(OFFSET($H$3,0,0,'Données projet'!$E$9+1,1))</f>
        <v>328.8796193543036</v>
      </c>
      <c r="T13" s="59">
        <f t="shared" si="34"/>
        <v>199.43308683696642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6.6439333333333339</v>
      </c>
      <c r="AI13" s="13">
        <f>IF('Données projet'!$A$62&gt;35,AI12+AH13-AQ12,IF(A13&lt;'Données projet'!$A$62,$AF$205^A13,IF(A13='Données projet'!$A$62,'Données projet'!$B$62,AI12+AH13-AQ12)))</f>
        <v>21.495341540559462</v>
      </c>
      <c r="AJ13" s="13">
        <f>AI13*VLOOKUP('Données projet'!$B$10,Paramètres!$A$1:$I$89,3,0)*VLOOKUP('Données projet'!$B$10,Paramètres!$A$1:$I$89,5,0)</f>
        <v>16.766366401636382</v>
      </c>
      <c r="AK13" s="13">
        <f t="shared" si="35"/>
        <v>5.5650147978379803</v>
      </c>
      <c r="AL13" s="20">
        <f t="shared" si="4"/>
        <v>38.893822255751182</v>
      </c>
      <c r="AM13" s="59">
        <f t="shared" si="5"/>
        <v>307.78271114464002</v>
      </c>
      <c r="AN13" s="59">
        <f ca="1">AVERAGE(OFFSET($AM$3,0,0,'Données projet'!$E$10+1,1))-AVERAGE(OFFSET($H$3,0,0,'Données projet'!$E$10+1,1))</f>
        <v>351.77274930064431</v>
      </c>
      <c r="AO13" s="59">
        <f t="shared" si="36"/>
        <v>386.10758060007078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5.4706535967558398</v>
      </c>
      <c r="BE13" s="13">
        <f>BD13*VLOOKUP('Données projet'!$B$11,Paramètres!$A$1:$I$89,3,0)*VLOOKUP('Données projet'!$B$11,Paramètres!$A$1:$I$89,5,0)</f>
        <v>5.2058739626728574</v>
      </c>
      <c r="BF13" s="13">
        <f t="shared" si="37"/>
        <v>1.9799118431646106</v>
      </c>
      <c r="BG13" s="20">
        <f t="shared" si="7"/>
        <v>12.51524361183359</v>
      </c>
      <c r="BH13" s="59">
        <f t="shared" si="8"/>
        <v>281.40413250072243</v>
      </c>
      <c r="BI13" s="59">
        <f ca="1">AVERAGE(OFFSET($BH$3,0,0,'Données projet'!$E$11+1,1))-AVERAGE(OFFSET($H$3,0,0,'Données projet'!$E$11+1,1))</f>
        <v>438.62466697107681</v>
      </c>
      <c r="BJ13" s="59">
        <f t="shared" si="38"/>
        <v>241.18285512887627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4.7727272727272725</v>
      </c>
      <c r="BY13" s="12">
        <f>IF('Données projet'!$A$114&gt;35,BY12+BX13-CG12,IF(A13&lt;'Données projet'!$A$114,$BV$205^A13,IF(A13='Données projet'!$A$114,'Données projet'!$B$114,BY12+BX13-CG12)))</f>
        <v>8.2932051492135006</v>
      </c>
      <c r="BZ13" s="13">
        <f>BY13*VLOOKUP('Données projet'!$B$12,Paramètres!$A$1:$I$89,3,0)*VLOOKUP('Données projet'!$B$12,Paramètres!$A$1:$I$89,5,0)</f>
        <v>4.7437133453501223</v>
      </c>
      <c r="CA13" s="13">
        <f t="shared" si="39"/>
        <v>1.8237710443084678</v>
      </c>
      <c r="CB13" s="20">
        <f t="shared" si="10"/>
        <v>11.438368645322043</v>
      </c>
      <c r="CC13" s="59">
        <f t="shared" si="11"/>
        <v>280.3272575342109</v>
      </c>
      <c r="CD13" s="59">
        <f ca="1">AVERAGE(OFFSET($CC$3,0,0,'Données projet'!$E$12+1,1))-AVERAGE(OFFSET($H$3,0,0,'Données projet'!$E$12+1,1))</f>
        <v>308.33000350259448</v>
      </c>
      <c r="CE13" s="59">
        <f t="shared" si="40"/>
        <v>282.64839194267171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2.1523809523809527</v>
      </c>
      <c r="CT13" s="12">
        <f>IF('Données projet'!$A$140&gt;35,CT12+CS13-DB12,IF(A13&lt;'Données projet'!$A$140,$CQ$205^A13,IF(A13='Données projet'!$A$140,'Données projet'!$B$140,CT12+CS13-DB12)))</f>
        <v>21.523809523809522</v>
      </c>
      <c r="CU13" s="17">
        <f>CT13*VLOOKUP('Données projet'!$B$13,Paramètres!$A$1:$I$89,3,0)*VLOOKUP('Données projet'!$B$13,Paramètres!$A$1:$I$89,5,0)</f>
        <v>24.511314285714285</v>
      </c>
      <c r="CV13" s="13">
        <f t="shared" si="41"/>
        <v>7.7838846479675627</v>
      </c>
      <c r="CW13" s="20">
        <f t="shared" si="13"/>
        <v>56.247471476162552</v>
      </c>
      <c r="CX13" s="59">
        <f t="shared" si="14"/>
        <v>325.13636036505142</v>
      </c>
      <c r="CY13" s="59">
        <f ca="1">AVERAGE(OFFSET($CX$3,0,0,'Données projet'!$E$13+1,1))-AVERAGE(OFFSET($H$3,0,0,'Données projet'!$E$13+1,1))</f>
        <v>330.87173217110126</v>
      </c>
      <c r="CZ13" s="59">
        <f t="shared" si="42"/>
        <v>200.52697135436102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2.6904761904761907</v>
      </c>
      <c r="N14" s="13">
        <f>IF('Données projet'!$A$36&gt;35,N13+M14-V13,IF(A14&lt;'Données projet'!$A$36,$K$205^A14,IF(A14='Données projet'!$A$36,'Données projet'!$B$36,N13+M14-V13)))</f>
        <v>29.595238095238091</v>
      </c>
      <c r="O14" s="13">
        <f>N14*VLOOKUP('Données projet'!$B$9,Paramètres!$A$1:$I$89,3,0)*VLOOKUP('Données projet'!$B$9,Paramètres!$A$1:$I$89,5,0)</f>
        <v>26.777771428571423</v>
      </c>
      <c r="P14" s="13">
        <f t="shared" si="33"/>
        <v>8.4165392168828053</v>
      </c>
      <c r="Q14" s="20">
        <f t="shared" si="2"/>
        <v>61.296757707499445</v>
      </c>
      <c r="R14" s="59">
        <f t="shared" si="0"/>
        <v>331.40786881861061</v>
      </c>
      <c r="S14" s="59">
        <f ca="1">AVERAGE(OFFSET($R$3,0,0,'Données projet'!$E$9+1,1))-AVERAGE(OFFSET($H$3,0,0,'Données projet'!$E$9+1,1))</f>
        <v>328.8796193543036</v>
      </c>
      <c r="T14" s="59">
        <f t="shared" si="34"/>
        <v>199.43308683696642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6.6439333333333339</v>
      </c>
      <c r="AI14" s="13">
        <f>IF('Données projet'!$A$62&gt;35,AI13+AH14-AQ13,IF(A14&lt;'Données projet'!$A$62,$AF$205^A14,IF(A14='Données projet'!$A$62,'Données projet'!$B$62,AI13+AH14-AQ13)))</f>
        <v>29.213176662001757</v>
      </c>
      <c r="AJ14" s="13">
        <f>AI14*VLOOKUP('Données projet'!$B$10,Paramètres!$A$1:$I$89,3,0)*VLOOKUP('Données projet'!$B$10,Paramètres!$A$1:$I$89,5,0)</f>
        <v>22.786277796361372</v>
      </c>
      <c r="AK14" s="13">
        <f t="shared" si="35"/>
        <v>7.2978052619572393</v>
      </c>
      <c r="AL14" s="20">
        <f t="shared" si="4"/>
        <v>52.396444659904915</v>
      </c>
      <c r="AM14" s="59">
        <f t="shared" si="5"/>
        <v>322.50755577101609</v>
      </c>
      <c r="AN14" s="59">
        <f ca="1">AVERAGE(OFFSET($AM$3,0,0,'Données projet'!$E$10+1,1))-AVERAGE(OFFSET($H$3,0,0,'Données projet'!$E$10+1,1))</f>
        <v>351.77274930064431</v>
      </c>
      <c r="AO14" s="59">
        <f t="shared" si="36"/>
        <v>386.10758060007078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6.4840019622421199</v>
      </c>
      <c r="BE14" s="13">
        <f>BD14*VLOOKUP('Données projet'!$B$11,Paramètres!$A$1:$I$89,3,0)*VLOOKUP('Données projet'!$B$11,Paramètres!$A$1:$I$89,5,0)</f>
        <v>6.1701762672696008</v>
      </c>
      <c r="BF14" s="13">
        <f t="shared" si="37"/>
        <v>2.3006947347142055</v>
      </c>
      <c r="BG14" s="20">
        <f t="shared" si="7"/>
        <v>14.753433661788458</v>
      </c>
      <c r="BH14" s="59">
        <f t="shared" si="8"/>
        <v>284.86454477289959</v>
      </c>
      <c r="BI14" s="59">
        <f ca="1">AVERAGE(OFFSET($BH$3,0,0,'Données projet'!$E$11+1,1))-AVERAGE(OFFSET($H$3,0,0,'Données projet'!$E$11+1,1))</f>
        <v>438.62466697107681</v>
      </c>
      <c r="BJ14" s="59">
        <f t="shared" si="38"/>
        <v>241.18285512887627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4.7727272727272725</v>
      </c>
      <c r="BY14" s="12">
        <f>IF('Données projet'!$A$114&gt;35,BY13+BX14-CG13,IF(A14&lt;'Données projet'!$A$114,$BV$205^A14,IF(A14='Données projet'!$A$114,'Données projet'!$B$114,BY13+BX14-CG13)))</f>
        <v>10.246950765959593</v>
      </c>
      <c r="BZ14" s="13">
        <f>BY14*VLOOKUP('Données projet'!$B$12,Paramètres!$A$1:$I$89,3,0)*VLOOKUP('Données projet'!$B$12,Paramètres!$A$1:$I$89,5,0)</f>
        <v>5.8612558381288871</v>
      </c>
      <c r="CA14" s="13">
        <f t="shared" si="39"/>
        <v>2.198612173267553</v>
      </c>
      <c r="CB14" s="20">
        <f t="shared" si="10"/>
        <v>14.037603453182131</v>
      </c>
      <c r="CC14" s="59">
        <f t="shared" si="11"/>
        <v>284.1487145642933</v>
      </c>
      <c r="CD14" s="59">
        <f ca="1">AVERAGE(OFFSET($CC$3,0,0,'Données projet'!$E$12+1,1))-AVERAGE(OFFSET($H$3,0,0,'Données projet'!$E$12+1,1))</f>
        <v>308.33000350259448</v>
      </c>
      <c r="CE14" s="59">
        <f t="shared" si="40"/>
        <v>282.64839194267171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2.1523809523809527</v>
      </c>
      <c r="CT14" s="12">
        <f>IF('Données projet'!$A$140&gt;35,CT13+CS14-DB13,IF(A14&lt;'Données projet'!$A$140,$CQ$205^A14,IF(A14='Données projet'!$A$140,'Données projet'!$B$140,CT13+CS14-DB13)))</f>
        <v>23.676190476190474</v>
      </c>
      <c r="CU14" s="17">
        <f>CT14*VLOOKUP('Données projet'!$B$13,Paramètres!$A$1:$I$89,3,0)*VLOOKUP('Données projet'!$B$13,Paramètres!$A$1:$I$89,5,0)</f>
        <v>26.96244571428571</v>
      </c>
      <c r="CV14" s="13">
        <f t="shared" si="41"/>
        <v>8.4678073319563563</v>
      </c>
      <c r="CW14" s="20">
        <f t="shared" si="13"/>
        <v>61.707690722204923</v>
      </c>
      <c r="CX14" s="59">
        <f t="shared" si="14"/>
        <v>331.81880183331606</v>
      </c>
      <c r="CY14" s="59">
        <f ca="1">AVERAGE(OFFSET($CX$3,0,0,'Données projet'!$E$13+1,1))-AVERAGE(OFFSET($H$3,0,0,'Données projet'!$E$13+1,1))</f>
        <v>330.87173217110126</v>
      </c>
      <c r="CZ14" s="59">
        <f t="shared" si="42"/>
        <v>200.52697135436102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2.6904761904761907</v>
      </c>
      <c r="N15" s="13">
        <f>IF('Données projet'!$A$36&gt;35,N14+M15-V14,IF(A15&lt;'Données projet'!$A$36,$K$205^A15,IF(A15='Données projet'!$A$36,'Données projet'!$B$36,N14+M15-V14)))</f>
        <v>32.285714285714285</v>
      </c>
      <c r="O15" s="13">
        <f>N15*VLOOKUP('Données projet'!$B$9,Paramètres!$A$1:$I$89,3,0)*VLOOKUP('Données projet'!$B$9,Paramètres!$A$1:$I$89,5,0)</f>
        <v>29.212114285714282</v>
      </c>
      <c r="P15" s="13">
        <f t="shared" si="33"/>
        <v>9.0891552956301744</v>
      </c>
      <c r="Q15" s="20">
        <f t="shared" si="2"/>
        <v>66.708044520841597</v>
      </c>
      <c r="R15" s="59">
        <f t="shared" si="0"/>
        <v>338.04137785417493</v>
      </c>
      <c r="S15" s="59">
        <f ca="1">AVERAGE(OFFSET($R$3,0,0,'Données projet'!$E$9+1,1))-AVERAGE(OFFSET($H$3,0,0,'Données projet'!$E$9+1,1))</f>
        <v>328.8796193543036</v>
      </c>
      <c r="T15" s="59">
        <f t="shared" si="34"/>
        <v>199.43308683696642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6.6439333333333339</v>
      </c>
      <c r="AI15" s="13">
        <f>IF('Données projet'!$A$62&gt;35,AI14+AH15-AQ14,IF(A15&lt;'Données projet'!$A$62,$AF$205^A15,IF(A15='Données projet'!$A$62,'Données projet'!$B$62,AI14+AH15-AQ14)))</f>
        <v>39.702076334773707</v>
      </c>
      <c r="AJ15" s="13">
        <f>AI15*VLOOKUP('Données projet'!$B$10,Paramètres!$A$1:$I$89,3,0)*VLOOKUP('Données projet'!$B$10,Paramètres!$A$1:$I$89,5,0)</f>
        <v>30.967619541123494</v>
      </c>
      <c r="AK15" s="13">
        <f t="shared" si="35"/>
        <v>9.5701383691093831</v>
      </c>
      <c r="AL15" s="20">
        <f t="shared" si="4"/>
        <v>70.603261693655583</v>
      </c>
      <c r="AM15" s="59">
        <f t="shared" si="5"/>
        <v>341.93659502698893</v>
      </c>
      <c r="AN15" s="59">
        <f ca="1">AVERAGE(OFFSET($AM$3,0,0,'Données projet'!$E$10+1,1))-AVERAGE(OFFSET($H$3,0,0,'Données projet'!$E$10+1,1))</f>
        <v>351.77274930064431</v>
      </c>
      <c r="AO15" s="59">
        <f t="shared" si="36"/>
        <v>386.10758060007078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7.685056401906202</v>
      </c>
      <c r="BE15" s="13">
        <f>BD15*VLOOKUP('Données projet'!$B$11,Paramètres!$A$1:$I$89,3,0)*VLOOKUP('Données projet'!$B$11,Paramètres!$A$1:$I$89,5,0)</f>
        <v>7.3130996720539416</v>
      </c>
      <c r="BF15" s="13">
        <f t="shared" si="37"/>
        <v>2.6734504774117824</v>
      </c>
      <c r="BG15" s="20">
        <f t="shared" si="7"/>
        <v>17.393241510319466</v>
      </c>
      <c r="BH15" s="59">
        <f t="shared" si="8"/>
        <v>288.72657484365277</v>
      </c>
      <c r="BI15" s="59">
        <f ca="1">AVERAGE(OFFSET($BH$3,0,0,'Données projet'!$E$11+1,1))-AVERAGE(OFFSET($H$3,0,0,'Données projet'!$E$11+1,1))</f>
        <v>438.62466697107681</v>
      </c>
      <c r="BJ15" s="59">
        <f t="shared" si="38"/>
        <v>241.18285512887627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4.7727272727272725</v>
      </c>
      <c r="BY15" s="12">
        <f>IF('Données projet'!$A$114&gt;35,BY14+BX15-CG14,IF(A15&lt;'Données projet'!$A$114,$BV$205^A15,IF(A15='Données projet'!$A$114,'Données projet'!$B$114,BY14+BX15-CG14)))</f>
        <v>12.66096739569474</v>
      </c>
      <c r="BZ15" s="13">
        <f>BY15*VLOOKUP('Données projet'!$B$12,Paramètres!$A$1:$I$89,3,0)*VLOOKUP('Données projet'!$B$12,Paramètres!$A$1:$I$89,5,0)</f>
        <v>7.2420733503373924</v>
      </c>
      <c r="CA15" s="13">
        <f t="shared" si="39"/>
        <v>2.6504947008154605</v>
      </c>
      <c r="CB15" s="20">
        <f t="shared" si="10"/>
        <v>17.229556022424553</v>
      </c>
      <c r="CC15" s="59">
        <f t="shared" si="11"/>
        <v>288.56288935575787</v>
      </c>
      <c r="CD15" s="59">
        <f ca="1">AVERAGE(OFFSET($CC$3,0,0,'Données projet'!$E$12+1,1))-AVERAGE(OFFSET($H$3,0,0,'Données projet'!$E$12+1,1))</f>
        <v>308.33000350259448</v>
      </c>
      <c r="CE15" s="59">
        <f t="shared" si="40"/>
        <v>282.64839194267171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2.1523809523809527</v>
      </c>
      <c r="CT15" s="12">
        <f>IF('Données projet'!$A$140&gt;35,CT14+CS15-DB14,IF(A15&lt;'Données projet'!$A$140,$CQ$205^A15,IF(A15='Données projet'!$A$140,'Données projet'!$B$140,CT14+CS15-DB14)))</f>
        <v>25.828571428571426</v>
      </c>
      <c r="CU15" s="17">
        <f>CT15*VLOOKUP('Données projet'!$B$13,Paramètres!$A$1:$I$89,3,0)*VLOOKUP('Données projet'!$B$13,Paramètres!$A$1:$I$89,5,0)</f>
        <v>29.413577142857136</v>
      </c>
      <c r="CV15" s="13">
        <f t="shared" si="41"/>
        <v>9.1445205529657532</v>
      </c>
      <c r="CW15" s="20">
        <f t="shared" si="13"/>
        <v>67.155353486891528</v>
      </c>
      <c r="CX15" s="59">
        <f t="shared" si="14"/>
        <v>338.48868682022487</v>
      </c>
      <c r="CY15" s="59">
        <f ca="1">AVERAGE(OFFSET($CX$3,0,0,'Données projet'!$E$13+1,1))-AVERAGE(OFFSET($H$3,0,0,'Données projet'!$E$13+1,1))</f>
        <v>330.87173217110126</v>
      </c>
      <c r="CZ15" s="59">
        <f t="shared" si="42"/>
        <v>200.52697135436102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2.6904761904761907</v>
      </c>
      <c r="N16" s="13">
        <f>IF('Données projet'!$A$36&gt;35,N15+M16-V15,IF(A16&lt;'Données projet'!$A$36,$K$205^A16,IF(A16='Données projet'!$A$36,'Données projet'!$B$36,N15+M16-V15)))</f>
        <v>34.976190476190474</v>
      </c>
      <c r="O16" s="13">
        <f>N16*VLOOKUP('Données projet'!$B$9,Paramètres!$A$1:$I$89,3,0)*VLOOKUP('Données projet'!$B$9,Paramètres!$A$1:$I$89,5,0)</f>
        <v>31.646457142857141</v>
      </c>
      <c r="P16" s="13">
        <f t="shared" si="33"/>
        <v>9.7552706028032752</v>
      </c>
      <c r="Q16" s="20">
        <f t="shared" si="2"/>
        <v>72.108009157025222</v>
      </c>
      <c r="R16" s="59">
        <f t="shared" si="0"/>
        <v>344.66356471258075</v>
      </c>
      <c r="S16" s="59">
        <f ca="1">AVERAGE(OFFSET($R$3,0,0,'Données projet'!$E$9+1,1))-AVERAGE(OFFSET($H$3,0,0,'Données projet'!$E$9+1,1))</f>
        <v>328.8796193543036</v>
      </c>
      <c r="T16" s="59">
        <f t="shared" si="34"/>
        <v>199.43308683696642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6.6439333333333339</v>
      </c>
      <c r="AI16" s="13">
        <f>IF('Données projet'!$A$62&gt;35,AI15+AH16-AQ15,IF(A16&lt;'Données projet'!$A$62,$AF$205^A16,IF(A16='Données projet'!$A$62,'Données projet'!$B$62,AI15+AH16-AQ15)))</f>
        <v>53.956982615398658</v>
      </c>
      <c r="AJ16" s="13">
        <f>AI16*VLOOKUP('Données projet'!$B$10,Paramètres!$A$1:$I$89,3,0)*VLOOKUP('Données projet'!$B$10,Paramètres!$A$1:$I$89,5,0)</f>
        <v>42.086446440010953</v>
      </c>
      <c r="AK16" s="13">
        <f t="shared" si="35"/>
        <v>12.550012656728009</v>
      </c>
      <c r="AL16" s="20">
        <f t="shared" si="4"/>
        <v>95.158499593487022</v>
      </c>
      <c r="AM16" s="59">
        <f t="shared" si="5"/>
        <v>367.71405514904257</v>
      </c>
      <c r="AN16" s="59">
        <f ca="1">AVERAGE(OFFSET($AM$3,0,0,'Données projet'!$E$10+1,1))-AVERAGE(OFFSET($H$3,0,0,'Données projet'!$E$10+1,1))</f>
        <v>351.77274930064431</v>
      </c>
      <c r="AO16" s="59">
        <f t="shared" si="36"/>
        <v>386.10758060007078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9.1085863706396779</v>
      </c>
      <c r="BE16" s="13">
        <f>BD16*VLOOKUP('Données projet'!$B$11,Paramètres!$A$1:$I$89,3,0)*VLOOKUP('Données projet'!$B$11,Paramètres!$A$1:$I$89,5,0)</f>
        <v>8.6677307903007179</v>
      </c>
      <c r="BF16" s="13">
        <f t="shared" si="37"/>
        <v>3.1065996489365348</v>
      </c>
      <c r="BG16" s="20">
        <f t="shared" si="7"/>
        <v>20.506958848338215</v>
      </c>
      <c r="BH16" s="59">
        <f t="shared" si="8"/>
        <v>293.06251440389377</v>
      </c>
      <c r="BI16" s="59">
        <f ca="1">AVERAGE(OFFSET($BH$3,0,0,'Données projet'!$E$11+1,1))-AVERAGE(OFFSET($H$3,0,0,'Données projet'!$E$11+1,1))</f>
        <v>438.62466697107681</v>
      </c>
      <c r="BJ16" s="59">
        <f t="shared" si="38"/>
        <v>241.18285512887627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4.7727272727272725</v>
      </c>
      <c r="BY16" s="12">
        <f>IF('Données projet'!$A$114&gt;35,BY15+BX16-CG15,IF(A16&lt;'Données projet'!$A$114,$BV$205^A16,IF(A16='Données projet'!$A$114,'Données projet'!$B$114,BY15+BX16-CG15)))</f>
        <v>15.643687478948642</v>
      </c>
      <c r="BZ16" s="13">
        <f>BY16*VLOOKUP('Données projet'!$B$12,Paramètres!$A$1:$I$89,3,0)*VLOOKUP('Données projet'!$B$12,Paramètres!$A$1:$I$89,5,0)</f>
        <v>8.9481892379586245</v>
      </c>
      <c r="CA16" s="13">
        <f t="shared" si="39"/>
        <v>3.1952530075416519</v>
      </c>
      <c r="CB16" s="20">
        <f t="shared" si="10"/>
        <v>21.149828577579648</v>
      </c>
      <c r="CC16" s="59">
        <f t="shared" si="11"/>
        <v>293.70538413313517</v>
      </c>
      <c r="CD16" s="59">
        <f ca="1">AVERAGE(OFFSET($CC$3,0,0,'Données projet'!$E$12+1,1))-AVERAGE(OFFSET($H$3,0,0,'Données projet'!$E$12+1,1))</f>
        <v>308.33000350259448</v>
      </c>
      <c r="CE16" s="59">
        <f t="shared" si="40"/>
        <v>282.64839194267171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2.1523809523809527</v>
      </c>
      <c r="CT16" s="12">
        <f>IF('Données projet'!$A$140&gt;35,CT15+CS16-DB15,IF(A16&lt;'Données projet'!$A$140,$CQ$205^A16,IF(A16='Données projet'!$A$140,'Données projet'!$B$140,CT15+CS16-DB15)))</f>
        <v>27.980952380952377</v>
      </c>
      <c r="CU16" s="17">
        <f>CT16*VLOOKUP('Données projet'!$B$13,Paramètres!$A$1:$I$89,3,0)*VLOOKUP('Données projet'!$B$13,Paramètres!$A$1:$I$89,5,0)</f>
        <v>31.864708571428569</v>
      </c>
      <c r="CV16" s="13">
        <f t="shared" si="41"/>
        <v>9.8146934039036289</v>
      </c>
      <c r="CW16" s="20">
        <f t="shared" si="13"/>
        <v>72.591625107036904</v>
      </c>
      <c r="CX16" s="59">
        <f t="shared" si="14"/>
        <v>345.14718066259246</v>
      </c>
      <c r="CY16" s="59">
        <f ca="1">AVERAGE(OFFSET($CX$3,0,0,'Données projet'!$E$13+1,1))-AVERAGE(OFFSET($H$3,0,0,'Données projet'!$E$13+1,1))</f>
        <v>330.87173217110126</v>
      </c>
      <c r="CZ16" s="59">
        <f t="shared" si="42"/>
        <v>200.52697135436102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2.6904761904761907</v>
      </c>
      <c r="N17" s="13">
        <f>IF('Données projet'!$A$36&gt;35,N16+M17-V16,IF(A17&lt;'Données projet'!$A$36,$K$205^A17,IF(A17='Données projet'!$A$36,'Données projet'!$B$36,N16+M17-V16)))</f>
        <v>37.666666666666664</v>
      </c>
      <c r="O17" s="13">
        <f>N17*VLOOKUP('Données projet'!$B$9,Paramètres!$A$1:$I$89,3,0)*VLOOKUP('Données projet'!$B$9,Paramètres!$A$1:$I$89,5,0)</f>
        <v>34.080799999999996</v>
      </c>
      <c r="P17" s="13">
        <f t="shared" si="33"/>
        <v>10.415442054064398</v>
      </c>
      <c r="Q17" s="20">
        <f t="shared" si="2"/>
        <v>77.497621577495494</v>
      </c>
      <c r="R17" s="59">
        <f t="shared" si="0"/>
        <v>351.27539935527329</v>
      </c>
      <c r="S17" s="59">
        <f ca="1">AVERAGE(OFFSET($R$3,0,0,'Données projet'!$E$9+1,1))-AVERAGE(OFFSET($H$3,0,0,'Données projet'!$E$9+1,1))</f>
        <v>328.8796193543036</v>
      </c>
      <c r="T17" s="59">
        <f t="shared" si="34"/>
        <v>199.43308683696642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6.6439333333333339</v>
      </c>
      <c r="AI17" s="13">
        <f>IF('Données projet'!$A$62&gt;35,AI16+AH17-AQ16,IF(A17&lt;'Données projet'!$A$62,$AF$205^A17,IF(A17='Données projet'!$A$62,'Données projet'!$B$62,AI16+AH17-AQ16)))</f>
        <v>73.330068392631517</v>
      </c>
      <c r="AJ17" s="13">
        <f>AI17*VLOOKUP('Données projet'!$B$10,Paramètres!$A$1:$I$89,3,0)*VLOOKUP('Données projet'!$B$10,Paramètres!$A$1:$I$89,5,0)</f>
        <v>57.197453346252587</v>
      </c>
      <c r="AK17" s="13">
        <f t="shared" si="35"/>
        <v>16.4577367232665</v>
      </c>
      <c r="AL17" s="20">
        <f t="shared" si="4"/>
        <v>128.28278937107905</v>
      </c>
      <c r="AM17" s="59">
        <f t="shared" si="5"/>
        <v>402.06056714885682</v>
      </c>
      <c r="AN17" s="59">
        <f ca="1">AVERAGE(OFFSET($AM$3,0,0,'Données projet'!$E$10+1,1))-AVERAGE(OFFSET($H$3,0,0,'Données projet'!$E$10+1,1))</f>
        <v>351.77274930064431</v>
      </c>
      <c r="AO17" s="59">
        <f t="shared" si="36"/>
        <v>386.10758060007078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10.795801791490293</v>
      </c>
      <c r="BE17" s="13">
        <f>BD17*VLOOKUP('Données projet'!$B$11,Paramètres!$A$1:$I$89,3,0)*VLOOKUP('Données projet'!$B$11,Paramètres!$A$1:$I$89,5,0)</f>
        <v>10.273284984782164</v>
      </c>
      <c r="BF17" s="13">
        <f t="shared" si="37"/>
        <v>3.6099271186485127</v>
      </c>
      <c r="BG17" s="20">
        <f t="shared" si="7"/>
        <v>24.179927746808428</v>
      </c>
      <c r="BH17" s="59">
        <f t="shared" si="8"/>
        <v>297.95770552458617</v>
      </c>
      <c r="BI17" s="59">
        <f ca="1">AVERAGE(OFFSET($BH$3,0,0,'Données projet'!$E$11+1,1))-AVERAGE(OFFSET($H$3,0,0,'Données projet'!$E$11+1,1))</f>
        <v>438.62466697107681</v>
      </c>
      <c r="BJ17" s="59">
        <f t="shared" si="38"/>
        <v>241.18285512887627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4.7727272727272725</v>
      </c>
      <c r="BY17" s="12">
        <f>IF('Données projet'!$A$114&gt;35,BY16+BX17-CG16,IF(A17&lt;'Données projet'!$A$114,$BV$205^A17,IF(A17='Données projet'!$A$114,'Données projet'!$B$114,BY16+BX17-CG16)))</f>
        <v>19.329088393532334</v>
      </c>
      <c r="BZ17" s="13">
        <f>BY17*VLOOKUP('Données projet'!$B$12,Paramètres!$A$1:$I$89,3,0)*VLOOKUP('Données projet'!$B$12,Paramètres!$A$1:$I$89,5,0)</f>
        <v>11.056238561100496</v>
      </c>
      <c r="CA17" s="13">
        <f t="shared" si="39"/>
        <v>3.8519759270082061</v>
      </c>
      <c r="CB17" s="20">
        <f t="shared" si="10"/>
        <v>25.965140233455987</v>
      </c>
      <c r="CC17" s="59">
        <f t="shared" si="11"/>
        <v>299.74291801123377</v>
      </c>
      <c r="CD17" s="59">
        <f ca="1">AVERAGE(OFFSET($CC$3,0,0,'Données projet'!$E$12+1,1))-AVERAGE(OFFSET($H$3,0,0,'Données projet'!$E$12+1,1))</f>
        <v>308.33000350259448</v>
      </c>
      <c r="CE17" s="59">
        <f t="shared" si="40"/>
        <v>282.64839194267171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2.1523809523809527</v>
      </c>
      <c r="CT17" s="12">
        <f>IF('Données projet'!$A$140&gt;35,CT16+CS17-DB16,IF(A17&lt;'Données projet'!$A$140,$CQ$205^A17,IF(A17='Données projet'!$A$140,'Données projet'!$B$140,CT16+CS17-DB16)))</f>
        <v>30.133333333333329</v>
      </c>
      <c r="CU17" s="17">
        <f>CT17*VLOOKUP('Données projet'!$B$13,Paramètres!$A$1:$I$89,3,0)*VLOOKUP('Données projet'!$B$13,Paramètres!$A$1:$I$89,5,0)</f>
        <v>34.315839999999994</v>
      </c>
      <c r="CV17" s="13">
        <f t="shared" si="41"/>
        <v>10.478886192802392</v>
      </c>
      <c r="CW17" s="20">
        <f t="shared" si="13"/>
        <v>78.017481452464153</v>
      </c>
      <c r="CX17" s="59">
        <f t="shared" si="14"/>
        <v>351.79525923024192</v>
      </c>
      <c r="CY17" s="59">
        <f ca="1">AVERAGE(OFFSET($CX$3,0,0,'Données projet'!$E$13+1,1))-AVERAGE(OFFSET($H$3,0,0,'Données projet'!$E$13+1,1))</f>
        <v>330.87173217110126</v>
      </c>
      <c r="CZ17" s="59">
        <f t="shared" si="42"/>
        <v>200.52697135436102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2.6904761904761907</v>
      </c>
      <c r="N18" s="13">
        <f>IF('Données projet'!$A$36&gt;35,N17+M18-V17,IF(A18&lt;'Données projet'!$A$36,$K$205^A18,IF(A18='Données projet'!$A$36,'Données projet'!$B$36,N17+M18-V17)))</f>
        <v>40.357142857142854</v>
      </c>
      <c r="O18" s="13">
        <f>N18*VLOOKUP('Données projet'!$B$9,Paramètres!$A$1:$I$89,3,0)*VLOOKUP('Données projet'!$B$9,Paramètres!$A$1:$I$89,5,0)</f>
        <v>36.515142857142855</v>
      </c>
      <c r="P18" s="13">
        <f t="shared" si="33"/>
        <v>11.070142497485797</v>
      </c>
      <c r="Q18" s="20">
        <f t="shared" si="2"/>
        <v>82.877705325978226</v>
      </c>
      <c r="R18" s="59">
        <f t="shared" si="0"/>
        <v>357.87770532597824</v>
      </c>
      <c r="S18" s="59">
        <f ca="1">AVERAGE(OFFSET($R$3,0,0,'Données projet'!$E$9+1,1))-AVERAGE(OFFSET($H$3,0,0,'Données projet'!$E$9+1,1))</f>
        <v>328.8796193543036</v>
      </c>
      <c r="T18" s="59">
        <f t="shared" si="34"/>
        <v>199.43308683696642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99.659000000000006</v>
      </c>
      <c r="AG18" s="12">
        <f>VLOOKUP(A18,'Données projet'!$A$61:$I$81,9,0)</f>
        <v>6.6439333333333339</v>
      </c>
      <c r="AH18" s="12">
        <f t="array" ref="AH18">INDEX(AG:AG,MIN(IF(ISNUMBER(AG18:AG214),ROW(AG18:AG214),"")))</f>
        <v>6.6439333333333339</v>
      </c>
      <c r="AI18" s="13">
        <f>IF('Données projet'!$A$62&gt;35,AI17+AH18-AQ17,IF(A18&lt;'Données projet'!$A$62,$AF$205^A18,IF(A18='Données projet'!$A$62,'Données projet'!$B$62,AI17+AH18-AQ17)))</f>
        <v>99.659000000000006</v>
      </c>
      <c r="AJ18" s="13">
        <f>AI18*VLOOKUP('Données projet'!$B$10,Paramètres!$A$1:$I$89,3,0)*VLOOKUP('Données projet'!$B$10,Paramètres!$A$1:$I$89,5,0)</f>
        <v>77.734020000000001</v>
      </c>
      <c r="AK18" s="13">
        <f t="shared" si="35"/>
        <v>21.58221712287671</v>
      </c>
      <c r="AL18" s="20">
        <f t="shared" si="4"/>
        <v>172.97577965567692</v>
      </c>
      <c r="AM18" s="59">
        <f t="shared" si="5"/>
        <v>447.97577965567689</v>
      </c>
      <c r="AN18" s="59">
        <f ca="1">AVERAGE(OFFSET($AM$3,0,0,'Données projet'!$E$10+1,1))-AVERAGE(OFFSET($H$3,0,0,'Données projet'!$E$10+1,1))</f>
        <v>351.77274930064431</v>
      </c>
      <c r="AO18" s="59">
        <f t="shared" si="36"/>
        <v>386.10758060007078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20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12.795546046181913</v>
      </c>
      <c r="BE18" s="13">
        <f>BD18*VLOOKUP('Données projet'!$B$11,Paramètres!$A$1:$I$89,3,0)*VLOOKUP('Données projet'!$B$11,Paramètres!$A$1:$I$89,5,0)</f>
        <v>12.176241617546708</v>
      </c>
      <c r="BF18" s="13">
        <f t="shared" si="37"/>
        <v>4.1948030884555632</v>
      </c>
      <c r="BG18" s="20">
        <f t="shared" si="7"/>
        <v>28.512902862953961</v>
      </c>
      <c r="BH18" s="59">
        <f t="shared" si="8"/>
        <v>303.51290286295398</v>
      </c>
      <c r="BI18" s="59">
        <f ca="1">AVERAGE(OFFSET($BH$3,0,0,'Données projet'!$E$11+1,1))-AVERAGE(OFFSET($H$3,0,0,'Données projet'!$E$11+1,1))</f>
        <v>438.62466697107681</v>
      </c>
      <c r="BJ18" s="59">
        <f t="shared" si="38"/>
        <v>241.18285512887627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4.7727272727272725</v>
      </c>
      <c r="BY18" s="12">
        <f>IF('Données projet'!$A$114&gt;35,BY17+BX18-CG17,IF(A18&lt;'Données projet'!$A$114,$BV$205^A18,IF(A18='Données projet'!$A$114,'Données projet'!$B$114,BY17+BX18-CG17)))</f>
        <v>23.882710430501113</v>
      </c>
      <c r="BZ18" s="13">
        <f>BY18*VLOOKUP('Données projet'!$B$12,Paramètres!$A$1:$I$89,3,0)*VLOOKUP('Données projet'!$B$12,Paramètres!$A$1:$I$89,5,0)</f>
        <v>13.660910366246638</v>
      </c>
      <c r="CA18" s="13">
        <f t="shared" si="39"/>
        <v>4.6436756360857006</v>
      </c>
      <c r="CB18" s="20">
        <f t="shared" si="10"/>
        <v>31.880487287395493</v>
      </c>
      <c r="CC18" s="59">
        <f t="shared" si="11"/>
        <v>306.88048728739551</v>
      </c>
      <c r="CD18" s="59">
        <f ca="1">AVERAGE(OFFSET($CC$3,0,0,'Données projet'!$E$12+1,1))-AVERAGE(OFFSET($H$3,0,0,'Données projet'!$E$12+1,1))</f>
        <v>308.33000350259448</v>
      </c>
      <c r="CE18" s="59">
        <f t="shared" si="40"/>
        <v>282.64839194267171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2.1523809523809527</v>
      </c>
      <c r="CT18" s="12">
        <f>IF('Données projet'!$A$140&gt;35,CT17+CS18-DB17,IF(A18&lt;'Données projet'!$A$140,$CQ$205^A18,IF(A18='Données projet'!$A$140,'Données projet'!$B$140,CT17+CS18-DB17)))</f>
        <v>32.285714285714285</v>
      </c>
      <c r="CU18" s="17">
        <f>CT18*VLOOKUP('Données projet'!$B$13,Paramètres!$A$1:$I$89,3,0)*VLOOKUP('Données projet'!$B$13,Paramètres!$A$1:$I$89,5,0)</f>
        <v>36.766971428571431</v>
      </c>
      <c r="CV18" s="13">
        <f t="shared" si="41"/>
        <v>11.137574648019031</v>
      </c>
      <c r="CW18" s="20">
        <f t="shared" si="13"/>
        <v>83.433751083395052</v>
      </c>
      <c r="CX18" s="59">
        <f t="shared" si="14"/>
        <v>358.43375108339507</v>
      </c>
      <c r="CY18" s="59">
        <f ca="1">AVERAGE(OFFSET($CX$3,0,0,'Données projet'!$E$13+1,1))-AVERAGE(OFFSET($H$3,0,0,'Données projet'!$E$13+1,1))</f>
        <v>330.87173217110126</v>
      </c>
      <c r="CZ18" s="59">
        <f t="shared" si="42"/>
        <v>200.52697135436102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2.6904761904761907</v>
      </c>
      <c r="N19" s="13">
        <f>IF('Données projet'!$A$36&gt;35,N18+M19-V18,IF(A19&lt;'Données projet'!$A$36,$K$205^A19,IF(A19='Données projet'!$A$36,'Données projet'!$B$36,N18+M19-V18)))</f>
        <v>43.047619047619044</v>
      </c>
      <c r="O19" s="13">
        <f>N19*VLOOKUP('Données projet'!$B$9,Paramètres!$A$1:$I$89,3,0)*VLOOKUP('Données projet'!$B$9,Paramètres!$A$1:$I$89,5,0)</f>
        <v>38.949485714285707</v>
      </c>
      <c r="P19" s="13">
        <f t="shared" si="33"/>
        <v>11.719778167903632</v>
      </c>
      <c r="Q19" s="20">
        <f t="shared" si="2"/>
        <v>88.248967928146428</v>
      </c>
      <c r="R19" s="59">
        <f t="shared" si="0"/>
        <v>364.47119015036867</v>
      </c>
      <c r="S19" s="59">
        <f ca="1">AVERAGE(OFFSET($R$3,0,0,'Données projet'!$E$9+1,1))-AVERAGE(OFFSET($H$3,0,0,'Données projet'!$E$9+1,1))</f>
        <v>328.8796193543036</v>
      </c>
      <c r="T19" s="59">
        <f t="shared" si="34"/>
        <v>199.43308683696642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9.4627199999999974</v>
      </c>
      <c r="AI19" s="13">
        <f>IF('Données projet'!$A$62&gt;35,AI18+AH19-AQ18,IF(A19&lt;'Données projet'!$A$62,$AF$205^A19,IF(A19='Données projet'!$A$62,'Données projet'!$B$62,AI18+AH19-AQ18)))</f>
        <v>89.12172000000001</v>
      </c>
      <c r="AJ19" s="13">
        <f>AI19*VLOOKUP('Données projet'!$B$10,Paramètres!$A$1:$I$89,3,0)*VLOOKUP('Données projet'!$B$10,Paramètres!$A$1:$I$89,5,0)</f>
        <v>69.514941600000014</v>
      </c>
      <c r="AK19" s="13">
        <f t="shared" si="35"/>
        <v>19.552951770008935</v>
      </c>
      <c r="AL19" s="20">
        <f t="shared" si="4"/>
        <v>155.12658095276558</v>
      </c>
      <c r="AM19" s="59">
        <f t="shared" si="5"/>
        <v>431.34880317498778</v>
      </c>
      <c r="AN19" s="59">
        <f ca="1">AVERAGE(OFFSET($AM$3,0,0,'Données projet'!$E$10+1,1))-AVERAGE(OFFSET($H$3,0,0,'Données projet'!$E$10+1,1))</f>
        <v>351.77274930064431</v>
      </c>
      <c r="AO19" s="59">
        <f t="shared" si="36"/>
        <v>386.10758060007078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2.8</v>
      </c>
      <c r="BD19" s="12">
        <f>IF('Données projet'!$A$88&gt;35,BD18+BC19-BL18,IF(A19&lt;'Données projet'!$A$88,$BA$205^A19,IF(A19='Données projet'!$A$88,'Données projet'!$B$88,BD18+BC19-BL18)))</f>
        <v>15.165709947455436</v>
      </c>
      <c r="BE19" s="13">
        <f>BD19*VLOOKUP('Données projet'!$B$11,Paramètres!$A$1:$I$89,3,0)*VLOOKUP('Données projet'!$B$11,Paramètres!$A$1:$I$89,5,0)</f>
        <v>14.431689585998592</v>
      </c>
      <c r="BF19" s="13">
        <f t="shared" si="37"/>
        <v>4.8744399464507975</v>
      </c>
      <c r="BG19" s="20">
        <f t="shared" si="7"/>
        <v>33.624842269016021</v>
      </c>
      <c r="BH19" s="59">
        <f t="shared" si="8"/>
        <v>309.84706449123826</v>
      </c>
      <c r="BI19" s="59">
        <f ca="1">AVERAGE(OFFSET($BH$3,0,0,'Données projet'!$E$11+1,1))-AVERAGE(OFFSET($H$3,0,0,'Données projet'!$E$11+1,1))</f>
        <v>438.62466697107681</v>
      </c>
      <c r="BJ19" s="59">
        <f t="shared" si="38"/>
        <v>241.18285512887627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4.7727272727272725</v>
      </c>
      <c r="BY19" s="12">
        <f>IF('Données projet'!$A$114&gt;35,BY18+BX19-CG18,IF(A19&lt;'Données projet'!$A$114,$BV$205^A19,IF(A19='Données projet'!$A$114,'Données projet'!$B$114,BY18+BX19-CG18)))</f>
        <v>29.509092508367935</v>
      </c>
      <c r="BZ19" s="13">
        <f>BY19*VLOOKUP('Données projet'!$B$12,Paramètres!$A$1:$I$89,3,0)*VLOOKUP('Données projet'!$B$12,Paramètres!$A$1:$I$89,5,0)</f>
        <v>16.879200914786459</v>
      </c>
      <c r="CA19" s="13">
        <f t="shared" si="39"/>
        <v>5.5980940228575831</v>
      </c>
      <c r="CB19" s="20">
        <f t="shared" si="10"/>
        <v>39.14795534973004</v>
      </c>
      <c r="CC19" s="59">
        <f t="shared" si="11"/>
        <v>315.37017757195224</v>
      </c>
      <c r="CD19" s="59">
        <f ca="1">AVERAGE(OFFSET($CC$3,0,0,'Données projet'!$E$12+1,1))-AVERAGE(OFFSET($H$3,0,0,'Données projet'!$E$12+1,1))</f>
        <v>308.33000350259448</v>
      </c>
      <c r="CE19" s="59">
        <f t="shared" si="40"/>
        <v>282.64839194267171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2.1523809523809527</v>
      </c>
      <c r="CT19" s="12">
        <f>IF('Données projet'!$A$140&gt;35,CT18+CS19-DB18,IF(A19&lt;'Données projet'!$A$140,$CQ$205^A19,IF(A19='Données projet'!$A$140,'Données projet'!$B$140,CT18+CS19-DB18)))</f>
        <v>34.438095238095237</v>
      </c>
      <c r="CU19" s="17">
        <f>CT19*VLOOKUP('Données projet'!$B$13,Paramètres!$A$1:$I$89,3,0)*VLOOKUP('Données projet'!$B$13,Paramètres!$A$1:$I$89,5,0)</f>
        <v>39.218102857142853</v>
      </c>
      <c r="CV19" s="13">
        <f t="shared" si="41"/>
        <v>11.791167478909671</v>
      </c>
      <c r="CW19" s="20">
        <f t="shared" si="13"/>
        <v>88.841145835291471</v>
      </c>
      <c r="CX19" s="59">
        <f t="shared" si="14"/>
        <v>365.06336805751369</v>
      </c>
      <c r="CY19" s="59">
        <f ca="1">AVERAGE(OFFSET($CX$3,0,0,'Données projet'!$E$13+1,1))-AVERAGE(OFFSET($H$3,0,0,'Données projet'!$E$13+1,1))</f>
        <v>330.87173217110126</v>
      </c>
      <c r="CZ19" s="59">
        <f t="shared" si="42"/>
        <v>200.52697135436102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2.6904761904761907</v>
      </c>
      <c r="N20" s="13">
        <f>IF('Données projet'!$A$36&gt;35,N19+M20-V19,IF(A20&lt;'Données projet'!$A$36,$K$205^A20,IF(A20='Données projet'!$A$36,'Données projet'!$B$36,N19+M20-V19)))</f>
        <v>45.738095238095234</v>
      </c>
      <c r="O20" s="13">
        <f>N20*VLOOKUP('Données projet'!$B$9,Paramètres!$A$1:$I$89,3,0)*VLOOKUP('Données projet'!$B$9,Paramètres!$A$1:$I$89,5,0)</f>
        <v>41.383828571428566</v>
      </c>
      <c r="P20" s="13">
        <f t="shared" si="33"/>
        <v>12.364701650741173</v>
      </c>
      <c r="Q20" s="20">
        <f t="shared" si="2"/>
        <v>93.61202347027897</v>
      </c>
      <c r="R20" s="59">
        <f t="shared" si="0"/>
        <v>371.05646791472344</v>
      </c>
      <c r="S20" s="59">
        <f ca="1">AVERAGE(OFFSET($R$3,0,0,'Données projet'!$E$9+1,1))-AVERAGE(OFFSET($H$3,0,0,'Données projet'!$E$9+1,1))</f>
        <v>328.8796193543036</v>
      </c>
      <c r="T20" s="59">
        <f t="shared" si="34"/>
        <v>199.43308683696642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9.4627199999999974</v>
      </c>
      <c r="AI20" s="13">
        <f>IF('Données projet'!$A$62&gt;35,AI19+AH20-AQ19,IF(A20&lt;'Données projet'!$A$62,$AF$205^A20,IF(A20='Données projet'!$A$62,'Données projet'!$B$62,AI19+AH20-AQ19)))</f>
        <v>98.584440000000001</v>
      </c>
      <c r="AJ20" s="13">
        <f>AI20*VLOOKUP('Données projet'!$B$10,Paramètres!$A$1:$I$89,3,0)*VLOOKUP('Données projet'!$B$10,Paramètres!$A$1:$I$89,5,0)</f>
        <v>76.895863200000008</v>
      </c>
      <c r="AK20" s="13">
        <f t="shared" si="35"/>
        <v>21.376467305817521</v>
      </c>
      <c r="AL20" s="20">
        <f t="shared" si="4"/>
        <v>171.15764229763218</v>
      </c>
      <c r="AM20" s="59">
        <f t="shared" si="5"/>
        <v>448.60208674207661</v>
      </c>
      <c r="AN20" s="59">
        <f ca="1">AVERAGE(OFFSET($AM$3,0,0,'Données projet'!$E$10+1,1))-AVERAGE(OFFSET($H$3,0,0,'Données projet'!$E$10+1,1))</f>
        <v>351.77274930064431</v>
      </c>
      <c r="AO20" s="59">
        <f t="shared" si="36"/>
        <v>386.10758060007078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2.8</v>
      </c>
      <c r="BD20" s="12">
        <f>IF('Données projet'!$A$88&gt;35,BD19+BC20-BL19,IF(A20&lt;'Données projet'!$A$88,$BA$205^A20,IF(A20='Données projet'!$A$88,'Données projet'!$B$88,BD19+BC20-BL19)))</f>
        <v>17.974907626468866</v>
      </c>
      <c r="BE20" s="13">
        <f>BD20*VLOOKUP('Données projet'!$B$11,Paramètres!$A$1:$I$89,3,0)*VLOOKUP('Données projet'!$B$11,Paramètres!$A$1:$I$89,5,0)</f>
        <v>17.104922097347774</v>
      </c>
      <c r="BF20" s="13">
        <f t="shared" si="37"/>
        <v>5.6641907356617391</v>
      </c>
      <c r="BG20" s="20">
        <f t="shared" si="7"/>
        <v>39.656204850824899</v>
      </c>
      <c r="BH20" s="59">
        <f t="shared" si="8"/>
        <v>317.10064929526936</v>
      </c>
      <c r="BI20" s="59">
        <f ca="1">AVERAGE(OFFSET($BH$3,0,0,'Données projet'!$E$11+1,1))-AVERAGE(OFFSET($H$3,0,0,'Données projet'!$E$11+1,1))</f>
        <v>438.62466697107681</v>
      </c>
      <c r="BJ20" s="59">
        <f t="shared" si="38"/>
        <v>241.18285512887627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4.7727272727272725</v>
      </c>
      <c r="BY20" s="12">
        <f>IF('Données projet'!$A$114&gt;35,BY19+BX20-CG19,IF(A20&lt;'Données projet'!$A$114,$BV$205^A20,IF(A20='Données projet'!$A$114,'Données projet'!$B$114,BY19+BX20-CG19)))</f>
        <v>36.460959621874274</v>
      </c>
      <c r="BZ20" s="13">
        <f>BY20*VLOOKUP('Données projet'!$B$12,Paramètres!$A$1:$I$89,3,0)*VLOOKUP('Données projet'!$B$12,Paramètres!$A$1:$I$89,5,0)</f>
        <v>20.855668903712086</v>
      </c>
      <c r="CA20" s="13">
        <f t="shared" si="39"/>
        <v>6.748674787968211</v>
      </c>
      <c r="CB20" s="20">
        <f t="shared" si="10"/>
        <v>48.077565263009852</v>
      </c>
      <c r="CC20" s="59">
        <f t="shared" si="11"/>
        <v>325.52200970745429</v>
      </c>
      <c r="CD20" s="59">
        <f ca="1">AVERAGE(OFFSET($CC$3,0,0,'Données projet'!$E$12+1,1))-AVERAGE(OFFSET($H$3,0,0,'Données projet'!$E$12+1,1))</f>
        <v>308.33000350259448</v>
      </c>
      <c r="CE20" s="59">
        <f t="shared" si="40"/>
        <v>282.64839194267171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2.1523809523809527</v>
      </c>
      <c r="CT20" s="12">
        <f>IF('Données projet'!$A$140&gt;35,CT19+CS20-DB19,IF(A20&lt;'Données projet'!$A$140,$CQ$205^A20,IF(A20='Données projet'!$A$140,'Données projet'!$B$140,CT19+CS20-DB19)))</f>
        <v>36.590476190476188</v>
      </c>
      <c r="CU20" s="17">
        <f>CT20*VLOOKUP('Données projet'!$B$13,Paramètres!$A$1:$I$89,3,0)*VLOOKUP('Données projet'!$B$13,Paramètres!$A$1:$I$89,5,0)</f>
        <v>41.669234285714282</v>
      </c>
      <c r="CV20" s="13">
        <f t="shared" si="41"/>
        <v>12.440019418620006</v>
      </c>
      <c r="CW20" s="20">
        <f t="shared" si="13"/>
        <v>94.240283535048874</v>
      </c>
      <c r="CX20" s="59">
        <f t="shared" si="14"/>
        <v>371.68472797949335</v>
      </c>
      <c r="CY20" s="59">
        <f ca="1">AVERAGE(OFFSET($CX$3,0,0,'Données projet'!$E$13+1,1))-AVERAGE(OFFSET($H$3,0,0,'Données projet'!$E$13+1,1))</f>
        <v>330.87173217110126</v>
      </c>
      <c r="CZ20" s="59">
        <f t="shared" si="42"/>
        <v>200.52697135436102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2.6904761904761907</v>
      </c>
      <c r="N21" s="13">
        <f>IF('Données projet'!$A$36&gt;35,N20+M21-V20,IF(A21&lt;'Données projet'!$A$36,$K$205^A21,IF(A21='Données projet'!$A$36,'Données projet'!$B$36,N20+M21-V20)))</f>
        <v>48.428571428571423</v>
      </c>
      <c r="O21" s="13">
        <f>N21*VLOOKUP('Données projet'!$B$9,Paramètres!$A$1:$I$89,3,0)*VLOOKUP('Données projet'!$B$9,Paramètres!$A$1:$I$89,5,0)</f>
        <v>43.818171428571425</v>
      </c>
      <c r="P21" s="13">
        <f t="shared" si="33"/>
        <v>13.005221707512169</v>
      </c>
      <c r="Q21" s="20">
        <f t="shared" si="2"/>
        <v>98.96740971201227</v>
      </c>
      <c r="R21" s="59">
        <f t="shared" si="0"/>
        <v>377.63407637867897</v>
      </c>
      <c r="S21" s="59">
        <f ca="1">AVERAGE(OFFSET($R$3,0,0,'Données projet'!$E$9+1,1))-AVERAGE(OFFSET($H$3,0,0,'Données projet'!$E$9+1,1))</f>
        <v>328.8796193543036</v>
      </c>
      <c r="T21" s="59">
        <f t="shared" si="34"/>
        <v>199.43308683696642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9.4627199999999974</v>
      </c>
      <c r="AI21" s="13">
        <f>IF('Données projet'!$A$62&gt;35,AI20+AH21-AQ20,IF(A21&lt;'Données projet'!$A$62,$AF$205^A21,IF(A21='Données projet'!$A$62,'Données projet'!$B$62,AI20+AH21-AQ20)))</f>
        <v>108.04715999999999</v>
      </c>
      <c r="AJ21" s="13">
        <f>AI21*VLOOKUP('Données projet'!$B$10,Paramètres!$A$1:$I$89,3,0)*VLOOKUP('Données projet'!$B$10,Paramètres!$A$1:$I$89,5,0)</f>
        <v>84.276784800000001</v>
      </c>
      <c r="AK21" s="13">
        <f t="shared" si="35"/>
        <v>23.1796896624179</v>
      </c>
      <c r="AL21" s="20">
        <f t="shared" si="4"/>
        <v>187.15335968871116</v>
      </c>
      <c r="AM21" s="59">
        <f t="shared" si="5"/>
        <v>465.82002635537788</v>
      </c>
      <c r="AN21" s="59">
        <f ca="1">AVERAGE(OFFSET($AM$3,0,0,'Données projet'!$E$10+1,1))-AVERAGE(OFFSET($H$3,0,0,'Données projet'!$E$10+1,1))</f>
        <v>351.77274930064431</v>
      </c>
      <c r="AO21" s="59">
        <f t="shared" si="36"/>
        <v>386.10758060007078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2.8</v>
      </c>
      <c r="BD21" s="12">
        <f>IF('Données projet'!$A$88&gt;35,BD20+BC21-BL20,IF(A21&lt;'Données projet'!$A$88,$BA$205^A21,IF(A21='Données projet'!$A$88,'Données projet'!$B$88,BD20+BC21-BL20)))</f>
        <v>21.304462850702166</v>
      </c>
      <c r="BE21" s="13">
        <f>BD21*VLOOKUP('Données projet'!$B$11,Paramètres!$A$1:$I$89,3,0)*VLOOKUP('Données projet'!$B$11,Paramètres!$A$1:$I$89,5,0)</f>
        <v>20.273326848728182</v>
      </c>
      <c r="BF21" s="13">
        <f t="shared" si="37"/>
        <v>6.5818959803406232</v>
      </c>
      <c r="BG21" s="20">
        <f t="shared" si="7"/>
        <v>46.772846427294837</v>
      </c>
      <c r="BH21" s="59">
        <f t="shared" si="8"/>
        <v>325.43951309396152</v>
      </c>
      <c r="BI21" s="59">
        <f ca="1">AVERAGE(OFFSET($BH$3,0,0,'Données projet'!$E$11+1,1))-AVERAGE(OFFSET($H$3,0,0,'Données projet'!$E$11+1,1))</f>
        <v>438.62466697107681</v>
      </c>
      <c r="BJ21" s="59">
        <f t="shared" si="38"/>
        <v>241.18285512887627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4.7727272727272725</v>
      </c>
      <c r="BY21" s="12">
        <f>IF('Données projet'!$A$114&gt;35,BY20+BX21-CG20,IF(A21&lt;'Données projet'!$A$114,$BV$205^A21,IF(A21='Données projet'!$A$114,'Données projet'!$B$114,BY20+BX21-CG20)))</f>
        <v>45.050574705778089</v>
      </c>
      <c r="BZ21" s="13">
        <f>BY21*VLOOKUP('Données projet'!$B$12,Paramètres!$A$1:$I$89,3,0)*VLOOKUP('Données projet'!$B$12,Paramètres!$A$1:$I$89,5,0)</f>
        <v>25.768928731705071</v>
      </c>
      <c r="CA21" s="13">
        <f t="shared" si="39"/>
        <v>8.1357353427424588</v>
      </c>
      <c r="CB21" s="20">
        <f t="shared" si="10"/>
        <v>59.050623262996112</v>
      </c>
      <c r="CC21" s="59">
        <f t="shared" si="11"/>
        <v>337.7172899296628</v>
      </c>
      <c r="CD21" s="59">
        <f ca="1">AVERAGE(OFFSET($CC$3,0,0,'Données projet'!$E$12+1,1))-AVERAGE(OFFSET($H$3,0,0,'Données projet'!$E$12+1,1))</f>
        <v>308.33000350259448</v>
      </c>
      <c r="CE21" s="59">
        <f t="shared" si="40"/>
        <v>282.64839194267171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2.1523809523809527</v>
      </c>
      <c r="CT21" s="12">
        <f>IF('Données projet'!$A$140&gt;35,CT20+CS21-DB20,IF(A21&lt;'Données projet'!$A$140,$CQ$205^A21,IF(A21='Données projet'!$A$140,'Données projet'!$B$140,CT20+CS21-DB20)))</f>
        <v>38.74285714285714</v>
      </c>
      <c r="CU21" s="17">
        <f>CT21*VLOOKUP('Données projet'!$B$13,Paramètres!$A$1:$I$89,3,0)*VLOOKUP('Données projet'!$B$13,Paramètres!$A$1:$I$89,5,0)</f>
        <v>44.120365714285711</v>
      </c>
      <c r="CV21" s="13">
        <f t="shared" si="41"/>
        <v>13.084441109439314</v>
      </c>
      <c r="CW21" s="20">
        <f t="shared" si="13"/>
        <v>99.631705217987744</v>
      </c>
      <c r="CX21" s="59">
        <f t="shared" si="14"/>
        <v>378.29837188465444</v>
      </c>
      <c r="CY21" s="59">
        <f ca="1">AVERAGE(OFFSET($CX$3,0,0,'Données projet'!$E$13+1,1))-AVERAGE(OFFSET($H$3,0,0,'Données projet'!$E$13+1,1))</f>
        <v>330.87173217110126</v>
      </c>
      <c r="CZ21" s="59">
        <f t="shared" si="42"/>
        <v>200.52697135436102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2.6904761904761907</v>
      </c>
      <c r="N22" s="13">
        <f>IF('Données projet'!$A$36&gt;35,N21+M22-V21,IF(A22&lt;'Données projet'!$A$36,$K$205^A22,IF(A22='Données projet'!$A$36,'Données projet'!$B$36,N21+M22-V21)))</f>
        <v>51.119047619047613</v>
      </c>
      <c r="O22" s="13">
        <f>N22*VLOOKUP('Données projet'!$B$9,Paramètres!$A$1:$I$89,3,0)*VLOOKUP('Données projet'!$B$9,Paramètres!$A$1:$I$89,5,0)</f>
        <v>46.252514285714277</v>
      </c>
      <c r="P22" s="13">
        <f t="shared" si="33"/>
        <v>13.641610855281657</v>
      </c>
      <c r="Q22" s="20">
        <f t="shared" si="2"/>
        <v>104.31560128723459</v>
      </c>
      <c r="R22" s="59">
        <f t="shared" si="0"/>
        <v>384.20449017612344</v>
      </c>
      <c r="S22" s="59">
        <f ca="1">AVERAGE(OFFSET($R$3,0,0,'Données projet'!$E$9+1,1))-AVERAGE(OFFSET($H$3,0,0,'Données projet'!$E$9+1,1))</f>
        <v>328.8796193543036</v>
      </c>
      <c r="T22" s="59">
        <f t="shared" si="34"/>
        <v>199.43308683696642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9.4627199999999974</v>
      </c>
      <c r="AI22" s="13">
        <f>IF('Données projet'!$A$62&gt;35,AI21+AH22-AQ21,IF(A22&lt;'Données projet'!$A$62,$AF$205^A22,IF(A22='Données projet'!$A$62,'Données projet'!$B$62,AI21+AH22-AQ21)))</f>
        <v>117.50987999999998</v>
      </c>
      <c r="AJ22" s="13">
        <f>AI22*VLOOKUP('Données projet'!$B$10,Paramètres!$A$1:$I$89,3,0)*VLOOKUP('Données projet'!$B$10,Paramètres!$A$1:$I$89,5,0)</f>
        <v>91.657706399999995</v>
      </c>
      <c r="AK22" s="13">
        <f t="shared" si="35"/>
        <v>24.964598191628429</v>
      </c>
      <c r="AL22" s="20">
        <f t="shared" si="4"/>
        <v>203.11718049708614</v>
      </c>
      <c r="AM22" s="59">
        <f t="shared" si="5"/>
        <v>483.00606938597502</v>
      </c>
      <c r="AN22" s="59">
        <f ca="1">AVERAGE(OFFSET($AM$3,0,0,'Données projet'!$E$10+1,1))-AVERAGE(OFFSET($H$3,0,0,'Données projet'!$E$10+1,1))</f>
        <v>351.77274930064431</v>
      </c>
      <c r="AO22" s="59">
        <f t="shared" si="36"/>
        <v>386.10758060007078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2.8</v>
      </c>
      <c r="BD22" s="12">
        <f>IF('Données projet'!$A$88&gt;35,BD21+BC22-BL21,IF(A22&lt;'Données projet'!$A$88,$BA$205^A22,IF(A22='Données projet'!$A$88,'Données projet'!$B$88,BD21+BC22-BL21)))</f>
        <v>25.250763274498809</v>
      </c>
      <c r="BE22" s="13">
        <f>BD22*VLOOKUP('Données projet'!$B$11,Paramètres!$A$1:$I$89,3,0)*VLOOKUP('Données projet'!$B$11,Paramètres!$A$1:$I$89,5,0)</f>
        <v>24.028626332013069</v>
      </c>
      <c r="BF22" s="13">
        <f t="shared" si="37"/>
        <v>7.6482867046254057</v>
      </c>
      <c r="BG22" s="20">
        <f t="shared" si="7"/>
        <v>55.170623538812009</v>
      </c>
      <c r="BH22" s="59">
        <f t="shared" si="8"/>
        <v>335.05951242770084</v>
      </c>
      <c r="BI22" s="59">
        <f ca="1">AVERAGE(OFFSET($BH$3,0,0,'Données projet'!$E$11+1,1))-AVERAGE(OFFSET($H$3,0,0,'Données projet'!$E$11+1,1))</f>
        <v>438.62466697107681</v>
      </c>
      <c r="BJ22" s="59">
        <f t="shared" si="38"/>
        <v>241.18285512887627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4.7727272727272725</v>
      </c>
      <c r="BY22" s="12">
        <f>IF('Données projet'!$A$114&gt;35,BY21+BX22-CG21,IF(A22&lt;'Données projet'!$A$114,$BV$205^A22,IF(A22='Données projet'!$A$114,'Données projet'!$B$114,BY21+BX22-CG21)))</f>
        <v>55.663764814990998</v>
      </c>
      <c r="BZ22" s="13">
        <f>BY22*VLOOKUP('Données projet'!$B$12,Paramètres!$A$1:$I$89,3,0)*VLOOKUP('Données projet'!$B$12,Paramètres!$A$1:$I$89,5,0)</f>
        <v>31.839673474174855</v>
      </c>
      <c r="CA22" s="13">
        <f t="shared" si="39"/>
        <v>9.8078795684680351</v>
      </c>
      <c r="CB22" s="20">
        <f t="shared" si="10"/>
        <v>72.536154882603043</v>
      </c>
      <c r="CC22" s="59">
        <f t="shared" si="11"/>
        <v>352.42504377149191</v>
      </c>
      <c r="CD22" s="59">
        <f ca="1">AVERAGE(OFFSET($CC$3,0,0,'Données projet'!$E$12+1,1))-AVERAGE(OFFSET($H$3,0,0,'Données projet'!$E$12+1,1))</f>
        <v>308.33000350259448</v>
      </c>
      <c r="CE22" s="59">
        <f t="shared" si="40"/>
        <v>282.64839194267171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2.1523809523809527</v>
      </c>
      <c r="CT22" s="12">
        <f>IF('Données projet'!$A$140&gt;35,CT21+CS22-DB21,IF(A22&lt;'Données projet'!$A$140,$CQ$205^A22,IF(A22='Données projet'!$A$140,'Données projet'!$B$140,CT21+CS22-DB21)))</f>
        <v>40.895238095238092</v>
      </c>
      <c r="CU22" s="17">
        <f>CT22*VLOOKUP('Données projet'!$B$13,Paramètres!$A$1:$I$89,3,0)*VLOOKUP('Données projet'!$B$13,Paramètres!$A$1:$I$89,5,0)</f>
        <v>46.57149714285714</v>
      </c>
      <c r="CV22" s="13">
        <f t="shared" si="41"/>
        <v>13.724706728430366</v>
      </c>
      <c r="CW22" s="20">
        <f t="shared" si="13"/>
        <v>105.01588840915906</v>
      </c>
      <c r="CX22" s="59">
        <f t="shared" si="14"/>
        <v>384.90477729804792</v>
      </c>
      <c r="CY22" s="59">
        <f ca="1">AVERAGE(OFFSET($CX$3,0,0,'Données projet'!$E$13+1,1))-AVERAGE(OFFSET($H$3,0,0,'Données projet'!$E$13+1,1))</f>
        <v>330.87173217110126</v>
      </c>
      <c r="CZ22" s="59">
        <f t="shared" si="42"/>
        <v>200.52697135436102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2.6904761904761907</v>
      </c>
      <c r="N23" s="13">
        <f>IF('Données projet'!$A$36&gt;35,N22+M23-V22,IF(A23&lt;'Données projet'!$A$36,$K$205^A23,IF(A23='Données projet'!$A$36,'Données projet'!$B$36,N22+M23-V22)))</f>
        <v>53.809523809523803</v>
      </c>
      <c r="O23" s="13">
        <f>N23*VLOOKUP('Données projet'!$B$9,Paramètres!$A$1:$I$89,3,0)*VLOOKUP('Données projet'!$B$9,Paramètres!$A$1:$I$89,5,0)</f>
        <v>48.686857142857136</v>
      </c>
      <c r="P23" s="13">
        <f t="shared" si="33"/>
        <v>14.274111304929692</v>
      </c>
      <c r="Q23" s="20">
        <f t="shared" si="2"/>
        <v>109.65702004656204</v>
      </c>
      <c r="R23" s="59">
        <f t="shared" si="0"/>
        <v>390.76813115767317</v>
      </c>
      <c r="S23" s="59">
        <f ca="1">AVERAGE(OFFSET($R$3,0,0,'Données projet'!$E$9+1,1))-AVERAGE(OFFSET($H$3,0,0,'Données projet'!$E$9+1,1))</f>
        <v>328.8796193543036</v>
      </c>
      <c r="T23" s="59">
        <f t="shared" si="34"/>
        <v>199.43308683696642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9.4627199999999974</v>
      </c>
      <c r="AI23" s="13">
        <f>IF('Données projet'!$A$62&gt;35,AI22+AH23-AQ22,IF(A23&lt;'Données projet'!$A$62,$AF$205^A23,IF(A23='Données projet'!$A$62,'Données projet'!$B$62,AI22+AH23-AQ22)))</f>
        <v>126.97259999999997</v>
      </c>
      <c r="AJ23" s="13">
        <f>AI23*VLOOKUP('Données projet'!$B$10,Paramètres!$A$1:$I$89,3,0)*VLOOKUP('Données projet'!$B$10,Paramètres!$A$1:$I$89,5,0)</f>
        <v>99.038627999999974</v>
      </c>
      <c r="AK23" s="13">
        <f t="shared" si="35"/>
        <v>26.732835316988584</v>
      </c>
      <c r="AL23" s="20">
        <f t="shared" si="4"/>
        <v>219.05196527708839</v>
      </c>
      <c r="AM23" s="59">
        <f t="shared" si="5"/>
        <v>500.16307638819956</v>
      </c>
      <c r="AN23" s="59">
        <f ca="1">AVERAGE(OFFSET($AM$3,0,0,'Données projet'!$E$10+1,1))-AVERAGE(OFFSET($H$3,0,0,'Données projet'!$E$10+1,1))</f>
        <v>351.77274930064431</v>
      </c>
      <c r="AO23" s="59">
        <f t="shared" si="36"/>
        <v>386.10758060007078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2.8</v>
      </c>
      <c r="BD23" s="12">
        <f>IF('Données projet'!$A$88&gt;35,BD22+BC23-BL22,IF(A23&lt;'Données projet'!$A$88,$BA$205^A23,IF(A23='Données projet'!$A$88,'Données projet'!$B$88,BD22+BC23-BL22)))</f>
        <v>29.92805077569761</v>
      </c>
      <c r="BE23" s="13">
        <f>BD23*VLOOKUP('Données projet'!$B$11,Paramètres!$A$1:$I$89,3,0)*VLOOKUP('Données projet'!$B$11,Paramètres!$A$1:$I$89,5,0)</f>
        <v>28.479533118153846</v>
      </c>
      <c r="BF23" s="13">
        <f t="shared" si="37"/>
        <v>8.8874527477905296</v>
      </c>
      <c r="BG23" s="20">
        <f t="shared" si="7"/>
        <v>65.080833716519777</v>
      </c>
      <c r="BH23" s="59">
        <f t="shared" si="8"/>
        <v>346.19194482763089</v>
      </c>
      <c r="BI23" s="59">
        <f ca="1">AVERAGE(OFFSET($BH$3,0,0,'Données projet'!$E$11+1,1))-AVERAGE(OFFSET($H$3,0,0,'Données projet'!$E$11+1,1))</f>
        <v>438.62466697107681</v>
      </c>
      <c r="BJ23" s="59">
        <f t="shared" si="38"/>
        <v>241.18285512887627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4.7727272727272725</v>
      </c>
      <c r="BY23" s="12">
        <f>IF('Données projet'!$A$114&gt;35,BY22+BX23-CG22,IF(A23&lt;'Données projet'!$A$114,$BV$205^A23,IF(A23='Données projet'!$A$114,'Données projet'!$B$114,BY22+BX23-CG22)))</f>
        <v>68.777251646941338</v>
      </c>
      <c r="BZ23" s="13">
        <f>BY23*VLOOKUP('Données projet'!$B$12,Paramètres!$A$1:$I$89,3,0)*VLOOKUP('Données projet'!$B$12,Paramètres!$A$1:$I$89,5,0)</f>
        <v>39.340587942050448</v>
      </c>
      <c r="CA23" s="13">
        <f t="shared" si="39"/>
        <v>11.823700941228836</v>
      </c>
      <c r="CB23" s="20">
        <f t="shared" si="10"/>
        <v>89.111136471711418</v>
      </c>
      <c r="CC23" s="59">
        <f t="shared" si="11"/>
        <v>370.22224758282255</v>
      </c>
      <c r="CD23" s="59">
        <f ca="1">AVERAGE(OFFSET($CC$3,0,0,'Données projet'!$E$12+1,1))-AVERAGE(OFFSET($H$3,0,0,'Données projet'!$E$12+1,1))</f>
        <v>308.33000350259448</v>
      </c>
      <c r="CE23" s="59">
        <f t="shared" si="40"/>
        <v>282.64839194267171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2.1523809523809527</v>
      </c>
      <c r="CT23" s="12">
        <f>IF('Données projet'!$A$140&gt;35,CT22+CS23-DB22,IF(A23&lt;'Données projet'!$A$140,$CQ$205^A23,IF(A23='Données projet'!$A$140,'Données projet'!$B$140,CT22+CS23-DB22)))</f>
        <v>43.047619047619044</v>
      </c>
      <c r="CU23" s="17">
        <f>CT23*VLOOKUP('Données projet'!$B$13,Paramètres!$A$1:$I$89,3,0)*VLOOKUP('Données projet'!$B$13,Paramètres!$A$1:$I$89,5,0)</f>
        <v>49.022628571428569</v>
      </c>
      <c r="CV23" s="13">
        <f t="shared" si="41"/>
        <v>14.361059961865303</v>
      </c>
      <c r="CW23" s="20">
        <f t="shared" si="13"/>
        <v>110.39325752882014</v>
      </c>
      <c r="CX23" s="59">
        <f t="shared" si="14"/>
        <v>391.50436863993127</v>
      </c>
      <c r="CY23" s="59">
        <f ca="1">AVERAGE(OFFSET($CX$3,0,0,'Données projet'!$E$13+1,1))-AVERAGE(OFFSET($H$3,0,0,'Données projet'!$E$13+1,1))</f>
        <v>330.87173217110126</v>
      </c>
      <c r="CZ23" s="59">
        <f t="shared" si="42"/>
        <v>200.52697135436102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2.6904761904761907</v>
      </c>
      <c r="N24" s="13">
        <f>IF('Données projet'!$A$36&gt;35,N23+M24-V23,IF(A24&lt;'Données projet'!$A$36,$K$205^A24,IF(A24='Données projet'!$A$36,'Données projet'!$B$36,N23+M24-V23)))</f>
        <v>56.499999999999993</v>
      </c>
      <c r="O24" s="13">
        <f>N24*VLOOKUP('Données projet'!$B$9,Paramètres!$A$1:$I$89,3,0)*VLOOKUP('Données projet'!$B$9,Paramètres!$A$1:$I$89,5,0)</f>
        <v>51.121199999999995</v>
      </c>
      <c r="P24" s="13">
        <f t="shared" si="33"/>
        <v>14.902939678011313</v>
      </c>
      <c r="Q24" s="20">
        <f t="shared" si="2"/>
        <v>114.99204327253635</v>
      </c>
      <c r="R24" s="59">
        <f t="shared" si="0"/>
        <v>397.32537660586968</v>
      </c>
      <c r="S24" s="59">
        <f ca="1">AVERAGE(OFFSET($R$3,0,0,'Données projet'!$E$9+1,1))-AVERAGE(OFFSET($H$3,0,0,'Données projet'!$E$9+1,1))</f>
        <v>328.8796193543036</v>
      </c>
      <c r="T24" s="59">
        <f t="shared" si="34"/>
        <v>199.43308683696642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9.4627199999999974</v>
      </c>
      <c r="AI24" s="13">
        <f>IF('Données projet'!$A$62&gt;35,AI23+AH24-AQ23,IF(A24&lt;'Données projet'!$A$62,$AF$205^A24,IF(A24='Données projet'!$A$62,'Données projet'!$B$62,AI23+AH24-AQ23)))</f>
        <v>136.43531999999996</v>
      </c>
      <c r="AJ24" s="13">
        <f>AI24*VLOOKUP('Données projet'!$B$10,Paramètres!$A$1:$I$89,3,0)*VLOOKUP('Données projet'!$B$10,Paramètres!$A$1:$I$89,5,0)</f>
        <v>106.41954959999997</v>
      </c>
      <c r="AK24" s="13">
        <f t="shared" si="35"/>
        <v>28.485784766402467</v>
      </c>
      <c r="AL24" s="20">
        <f t="shared" si="4"/>
        <v>234.96012402148423</v>
      </c>
      <c r="AM24" s="59">
        <f t="shared" si="5"/>
        <v>517.29345735481752</v>
      </c>
      <c r="AN24" s="59">
        <f ca="1">AVERAGE(OFFSET($AM$3,0,0,'Données projet'!$E$10+1,1))-AVERAGE(OFFSET($H$3,0,0,'Données projet'!$E$10+1,1))</f>
        <v>351.77274930064431</v>
      </c>
      <c r="AO24" s="59">
        <f t="shared" si="36"/>
        <v>386.10758060007078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2.8</v>
      </c>
      <c r="BD24" s="12">
        <f>IF('Données projet'!$A$88&gt;35,BD23+BC24-BL23,IF(A24&lt;'Données projet'!$A$88,$BA$205^A24,IF(A24='Données projet'!$A$88,'Données projet'!$B$88,BD23+BC24-BL23)))</f>
        <v>35.471728656111772</v>
      </c>
      <c r="BE24" s="13">
        <f>BD24*VLOOKUP('Données projet'!$B$11,Paramètres!$A$1:$I$89,3,0)*VLOOKUP('Données projet'!$B$11,Paramètres!$A$1:$I$89,5,0)</f>
        <v>33.754896989155966</v>
      </c>
      <c r="BF24" s="13">
        <f t="shared" si="37"/>
        <v>10.327386955361005</v>
      </c>
      <c r="BG24" s="20">
        <f t="shared" si="7"/>
        <v>76.776644536700402</v>
      </c>
      <c r="BH24" s="59">
        <f t="shared" si="8"/>
        <v>359.10997787003373</v>
      </c>
      <c r="BI24" s="59">
        <f ca="1">AVERAGE(OFFSET($BH$3,0,0,'Données projet'!$E$11+1,1))-AVERAGE(OFFSET($H$3,0,0,'Données projet'!$E$11+1,1))</f>
        <v>438.62466697107681</v>
      </c>
      <c r="BJ24" s="59">
        <f t="shared" si="38"/>
        <v>241.18285512887627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4.7727272727272725</v>
      </c>
      <c r="BY24" s="12">
        <f>IF('Données projet'!$A$114&gt;35,BY23+BX24-CG23,IF(A24&lt;'Données projet'!$A$114,$BV$205^A24,IF(A24='Données projet'!$A$114,'Données projet'!$B$114,BY23+BX24-CG23)))</f>
        <v>84.980064855993319</v>
      </c>
      <c r="BZ24" s="13">
        <f>BY24*VLOOKUP('Données projet'!$B$12,Paramètres!$A$1:$I$89,3,0)*VLOOKUP('Données projet'!$B$12,Paramètres!$A$1:$I$89,5,0)</f>
        <v>48.608597097628177</v>
      </c>
      <c r="CA24" s="13">
        <f t="shared" si="39"/>
        <v>14.253835701354559</v>
      </c>
      <c r="CB24" s="20">
        <f t="shared" si="10"/>
        <v>109.48540379156161</v>
      </c>
      <c r="CC24" s="59">
        <f t="shared" si="11"/>
        <v>391.81873712489494</v>
      </c>
      <c r="CD24" s="59">
        <f ca="1">AVERAGE(OFFSET($CC$3,0,0,'Données projet'!$E$12+1,1))-AVERAGE(OFFSET($H$3,0,0,'Données projet'!$E$12+1,1))</f>
        <v>308.33000350259448</v>
      </c>
      <c r="CE24" s="59">
        <f t="shared" si="40"/>
        <v>282.64839194267171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2.1523809523809527</v>
      </c>
      <c r="CT24" s="12">
        <f>IF('Données projet'!$A$140&gt;35,CT23+CS24-DB23,IF(A24&lt;'Données projet'!$A$140,$CQ$205^A24,IF(A24='Données projet'!$A$140,'Données projet'!$B$140,CT23+CS24-DB23)))</f>
        <v>45.199999999999996</v>
      </c>
      <c r="CU24" s="17">
        <f>CT24*VLOOKUP('Données projet'!$B$13,Paramètres!$A$1:$I$89,3,0)*VLOOKUP('Données projet'!$B$13,Paramètres!$A$1:$I$89,5,0)</f>
        <v>51.473759999999992</v>
      </c>
      <c r="CV24" s="13">
        <f t="shared" si="41"/>
        <v>14.993718750817605</v>
      </c>
      <c r="CW24" s="20">
        <f t="shared" si="13"/>
        <v>115.76419215767396</v>
      </c>
      <c r="CX24" s="59">
        <f t="shared" si="14"/>
        <v>398.09752549100727</v>
      </c>
      <c r="CY24" s="59">
        <f ca="1">AVERAGE(OFFSET($CX$3,0,0,'Données projet'!$E$13+1,1))-AVERAGE(OFFSET($H$3,0,0,'Données projet'!$E$13+1,1))</f>
        <v>330.87173217110126</v>
      </c>
      <c r="CZ24" s="59">
        <f t="shared" si="42"/>
        <v>200.52697135436102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2.6904761904761907</v>
      </c>
      <c r="N25" s="13">
        <f>IF('Données projet'!$A$36&gt;35,N24+M25-V24,IF(A25&lt;'Données projet'!$A$36,$K$205^A25,IF(A25='Données projet'!$A$36,'Données projet'!$B$36,N24+M25-V24)))</f>
        <v>59.190476190476183</v>
      </c>
      <c r="O25" s="13">
        <f>N25*VLOOKUP('Données projet'!$B$9,Paramètres!$A$1:$I$89,3,0)*VLOOKUP('Données projet'!$B$9,Paramètres!$A$1:$I$89,5,0)</f>
        <v>53.555542857142846</v>
      </c>
      <c r="P25" s="13">
        <f t="shared" si="33"/>
        <v>15.528290799710788</v>
      </c>
      <c r="Q25" s="20">
        <f t="shared" si="2"/>
        <v>120.32101028568674</v>
      </c>
      <c r="R25" s="59">
        <f t="shared" si="0"/>
        <v>403.87656584124227</v>
      </c>
      <c r="S25" s="59">
        <f ca="1">AVERAGE(OFFSET($R$3,0,0,'Données projet'!$E$9+1,1))-AVERAGE(OFFSET($H$3,0,0,'Données projet'!$E$9+1,1))</f>
        <v>328.8796193543036</v>
      </c>
      <c r="T25" s="59">
        <f t="shared" si="34"/>
        <v>199.43308683696642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9.4627199999999974</v>
      </c>
      <c r="AI25" s="13">
        <f>IF('Données projet'!$A$62&gt;35,AI24+AH25-AQ24,IF(A25&lt;'Données projet'!$A$62,$AF$205^A25,IF(A25='Données projet'!$A$62,'Données projet'!$B$62,AI24+AH25-AQ24)))</f>
        <v>145.89803999999995</v>
      </c>
      <c r="AJ25" s="13">
        <f>AI25*VLOOKUP('Données projet'!$B$10,Paramètres!$A$1:$I$89,3,0)*VLOOKUP('Données projet'!$B$10,Paramètres!$A$1:$I$89,5,0)</f>
        <v>113.80047119999996</v>
      </c>
      <c r="AK25" s="13">
        <f t="shared" si="35"/>
        <v>30.22462745773564</v>
      </c>
      <c r="AL25" s="20">
        <f t="shared" si="4"/>
        <v>250.84371349555616</v>
      </c>
      <c r="AM25" s="59">
        <f t="shared" si="5"/>
        <v>534.39926905111167</v>
      </c>
      <c r="AN25" s="59">
        <f ca="1">AVERAGE(OFFSET($AM$3,0,0,'Données projet'!$E$10+1,1))-AVERAGE(OFFSET($H$3,0,0,'Données projet'!$E$10+1,1))</f>
        <v>351.77274930064431</v>
      </c>
      <c r="AO25" s="59">
        <f t="shared" si="36"/>
        <v>386.10758060007078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2.8</v>
      </c>
      <c r="BD25" s="12">
        <f>IF('Données projet'!$A$88&gt;35,BD24+BC25-BL24,IF(A25&lt;'Données projet'!$A$88,$BA$205^A25,IF(A25='Données projet'!$A$88,'Données projet'!$B$88,BD24+BC25-BL24)))</f>
        <v>42.042281446359659</v>
      </c>
      <c r="BE25" s="13">
        <f>BD25*VLOOKUP('Données projet'!$B$11,Paramètres!$A$1:$I$89,3,0)*VLOOKUP('Données projet'!$B$11,Paramètres!$A$1:$I$89,5,0)</f>
        <v>40.00743502435585</v>
      </c>
      <c r="BF25" s="13">
        <f t="shared" si="37"/>
        <v>12.000617539404164</v>
      </c>
      <c r="BG25" s="20">
        <f t="shared" si="7"/>
        <v>90.5806915485487</v>
      </c>
      <c r="BH25" s="59">
        <f t="shared" si="8"/>
        <v>374.13624710410426</v>
      </c>
      <c r="BI25" s="59">
        <f ca="1">AVERAGE(OFFSET($BH$3,0,0,'Données projet'!$E$11+1,1))-AVERAGE(OFFSET($H$3,0,0,'Données projet'!$E$11+1,1))</f>
        <v>438.62466697107681</v>
      </c>
      <c r="BJ25" s="59">
        <f t="shared" si="38"/>
        <v>241.18285512887627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105</v>
      </c>
      <c r="BW25" s="12">
        <f>VLOOKUP(A25,'Données projet'!$A$113:$I$133,9,0)</f>
        <v>4.7727272727272725</v>
      </c>
      <c r="BX25" s="12">
        <f t="array" ref="BX25">INDEX(BW:BW,MIN(IF(ISNUMBER(BW25:BW221),ROW(BW25:BW221),"")))</f>
        <v>4.7727272727272725</v>
      </c>
      <c r="BY25" s="12">
        <f>IF('Données projet'!$A$114&gt;35,BY24+BX25-CG24,IF(A25&lt;'Données projet'!$A$114,$BV$205^A25,IF(A25='Données projet'!$A$114,'Données projet'!$B$114,BY24+BX25-CG24)))</f>
        <v>105</v>
      </c>
      <c r="BZ25" s="13">
        <f>BY25*VLOOKUP('Données projet'!$B$12,Paramètres!$A$1:$I$89,3,0)*VLOOKUP('Données projet'!$B$12,Paramètres!$A$1:$I$89,5,0)</f>
        <v>60.06</v>
      </c>
      <c r="CA25" s="13">
        <f t="shared" si="39"/>
        <v>17.183438012437968</v>
      </c>
      <c r="CB25" s="20">
        <f t="shared" si="10"/>
        <v>134.53232120499612</v>
      </c>
      <c r="CC25" s="59">
        <f t="shared" si="11"/>
        <v>418.08787676055169</v>
      </c>
      <c r="CD25" s="59">
        <f ca="1">AVERAGE(OFFSET($CC$3,0,0,'Données projet'!$E$12+1,1))-AVERAGE(OFFSET($H$3,0,0,'Données projet'!$E$12+1,1))</f>
        <v>308.33000350259448</v>
      </c>
      <c r="CE25" s="59">
        <f t="shared" si="40"/>
        <v>282.64839194267171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21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0.25200000000000006</v>
      </c>
      <c r="CJ25" s="16">
        <f>IF(ISNA(VLOOKUP(A25,'Données projet'!$A$113:$I$133,7,0)),0%,VLOOKUP(A25,'Données projet'!$A$113:$I$133,7,0))</f>
        <v>0.44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3.9997317235181278</v>
      </c>
      <c r="CM25" s="21">
        <f>EXP(-LN(2)/2)*CM24+(1-EXP(-LN(2)/2))/(LN(2)/2)*CG25*CJ25*VLOOKUP('Données projet'!$B$12,Paramètres!$A$1:$I$89,3,0)*0.475*44/12</f>
        <v>5.98416471747068</v>
      </c>
      <c r="CN25" s="22">
        <f t="shared" si="12"/>
        <v>9.9838964409888078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2.1523809523809527</v>
      </c>
      <c r="CT25" s="12">
        <f>IF('Données projet'!$A$140&gt;35,CT24+CS25-DB24,IF(A25&lt;'Données projet'!$A$140,$CQ$205^A25,IF(A25='Données projet'!$A$140,'Données projet'!$B$140,CT24+CS25-DB24)))</f>
        <v>47.352380952380948</v>
      </c>
      <c r="CU25" s="17">
        <f>CT25*VLOOKUP('Données projet'!$B$13,Paramètres!$A$1:$I$89,3,0)*VLOOKUP('Données projet'!$B$13,Paramètres!$A$1:$I$89,5,0)</f>
        <v>53.924891428571421</v>
      </c>
      <c r="CV25" s="13">
        <f t="shared" si="41"/>
        <v>15.622879107220626</v>
      </c>
      <c r="CW25" s="20">
        <f t="shared" si="13"/>
        <v>121.12903368317113</v>
      </c>
      <c r="CX25" s="59">
        <f t="shared" si="14"/>
        <v>404.68458923872669</v>
      </c>
      <c r="CY25" s="59">
        <f ca="1">AVERAGE(OFFSET($CX$3,0,0,'Données projet'!$E$13+1,1))-AVERAGE(OFFSET($H$3,0,0,'Données projet'!$E$13+1,1))</f>
        <v>330.87173217110126</v>
      </c>
      <c r="CZ25" s="59">
        <f t="shared" si="42"/>
        <v>200.52697135436102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2.6904761904761907</v>
      </c>
      <c r="N26" s="13">
        <f>IF('Données projet'!$A$36&gt;35,N25+M26-V25,IF(A26&lt;'Données projet'!$A$36,$K$205^A26,IF(A26='Données projet'!$A$36,'Données projet'!$B$36,N25+M26-V25)))</f>
        <v>61.880952380952372</v>
      </c>
      <c r="O26" s="13">
        <f>N26*VLOOKUP('Données projet'!$B$9,Paramètres!$A$1:$I$89,3,0)*VLOOKUP('Données projet'!$B$9,Paramètres!$A$1:$I$89,5,0)</f>
        <v>55.989885714285698</v>
      </c>
      <c r="P26" s="13">
        <f t="shared" si="33"/>
        <v>16.150340782673716</v>
      </c>
      <c r="Q26" s="20">
        <f t="shared" si="2"/>
        <v>125.64422781553765</v>
      </c>
      <c r="R26" s="59">
        <f t="shared" si="0"/>
        <v>410.42200559331542</v>
      </c>
      <c r="S26" s="59">
        <f ca="1">AVERAGE(OFFSET($R$3,0,0,'Données projet'!$E$9+1,1))-AVERAGE(OFFSET($H$3,0,0,'Données projet'!$E$9+1,1))</f>
        <v>328.8796193543036</v>
      </c>
      <c r="T26" s="59">
        <f t="shared" si="34"/>
        <v>199.43308683696642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9.4627199999999974</v>
      </c>
      <c r="AI26" s="13">
        <f>IF('Données projet'!$A$62&gt;35,AI25+AH26-AQ25,IF(A26&lt;'Données projet'!$A$62,$AF$205^A26,IF(A26='Données projet'!$A$62,'Données projet'!$B$62,AI25+AH26-AQ25)))</f>
        <v>155.36075999999994</v>
      </c>
      <c r="AJ26" s="13">
        <f>AI26*VLOOKUP('Données projet'!$B$10,Paramètres!$A$1:$I$89,3,0)*VLOOKUP('Données projet'!$B$10,Paramètres!$A$1:$I$89,5,0)</f>
        <v>121.18139279999995</v>
      </c>
      <c r="AK26" s="13">
        <f t="shared" si="35"/>
        <v>31.950382461521983</v>
      </c>
      <c r="AL26" s="20">
        <f t="shared" si="4"/>
        <v>266.704508580484</v>
      </c>
      <c r="AM26" s="59">
        <f t="shared" si="5"/>
        <v>551.48228635826172</v>
      </c>
      <c r="AN26" s="59">
        <f ca="1">AVERAGE(OFFSET($AM$3,0,0,'Données projet'!$E$10+1,1))-AVERAGE(OFFSET($H$3,0,0,'Données projet'!$E$10+1,1))</f>
        <v>351.77274930064431</v>
      </c>
      <c r="AO26" s="59">
        <f t="shared" si="36"/>
        <v>386.10758060007078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2.8</v>
      </c>
      <c r="BD26" s="12">
        <f>IF('Données projet'!$A$88&gt;35,BD25+BC26-BL25,IF(A26&lt;'Données projet'!$A$88,$BA$205^A26,IF(A26='Données projet'!$A$88,'Données projet'!$B$88,BD25+BC26-BL25)))</f>
        <v>49.82992078990118</v>
      </c>
      <c r="BE26" s="13">
        <f>BD26*VLOOKUP('Données projet'!$B$11,Paramètres!$A$1:$I$89,3,0)*VLOOKUP('Données projet'!$B$11,Paramètres!$A$1:$I$89,5,0)</f>
        <v>47.418152623669961</v>
      </c>
      <c r="BF26" s="13">
        <f t="shared" si="37"/>
        <v>13.944942893061231</v>
      </c>
      <c r="BG26" s="20">
        <f t="shared" si="7"/>
        <v>106.87405802497348</v>
      </c>
      <c r="BH26" s="59">
        <f t="shared" si="8"/>
        <v>391.65183580275124</v>
      </c>
      <c r="BI26" s="59">
        <f ca="1">AVERAGE(OFFSET($BH$3,0,0,'Données projet'!$E$11+1,1))-AVERAGE(OFFSET($H$3,0,0,'Données projet'!$E$11+1,1))</f>
        <v>438.62466697107681</v>
      </c>
      <c r="BJ26" s="59">
        <f t="shared" si="38"/>
        <v>241.18285512887627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20.666666666666668</v>
      </c>
      <c r="BY26" s="12">
        <f>IF('Données projet'!$A$114&gt;35,BY25+BX26-CG25,IF(A26&lt;'Données projet'!$A$114,$BV$205^A26,IF(A26='Données projet'!$A$114,'Données projet'!$B$114,BY25+BX26-CG25)))</f>
        <v>104.66666666666667</v>
      </c>
      <c r="BZ26" s="13">
        <f>BY26*VLOOKUP('Données projet'!$B$12,Paramètres!$A$1:$I$89,3,0)*VLOOKUP('Données projet'!$B$12,Paramètres!$A$1:$I$89,5,0)</f>
        <v>59.869333333333337</v>
      </c>
      <c r="CA26" s="13">
        <f t="shared" si="39"/>
        <v>17.135228188818036</v>
      </c>
      <c r="CB26" s="20">
        <f t="shared" si="10"/>
        <v>134.11627798441364</v>
      </c>
      <c r="CC26" s="59">
        <f t="shared" si="11"/>
        <v>418.89405576219144</v>
      </c>
      <c r="CD26" s="59">
        <f ca="1">AVERAGE(OFFSET($CC$3,0,0,'Données projet'!$E$12+1,1))-AVERAGE(OFFSET($H$3,0,0,'Données projet'!$E$12+1,1))</f>
        <v>308.33000350259448</v>
      </c>
      <c r="CE26" s="59">
        <f t="shared" si="40"/>
        <v>282.64839194267171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3.8903588492017747</v>
      </c>
      <c r="CM26" s="21">
        <f>EXP(-LN(2)/2)*CM25+(1-EXP(-LN(2)/2))/(LN(2)/2)*CG26*CJ26*VLOOKUP('Données projet'!$B$12,Paramètres!$A$1:$I$89,3,0)*0.475*44/12</f>
        <v>4.2314434514607981</v>
      </c>
      <c r="CN26" s="22">
        <f t="shared" si="12"/>
        <v>8.1218023006625728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2.1523809523809527</v>
      </c>
      <c r="CT26" s="12">
        <f>IF('Données projet'!$A$140&gt;35,CT25+CS26-DB25,IF(A26&lt;'Données projet'!$A$140,$CQ$205^A26,IF(A26='Données projet'!$A$140,'Données projet'!$B$140,CT25+CS26-DB25)))</f>
        <v>49.504761904761899</v>
      </c>
      <c r="CU26" s="17">
        <f>CT26*VLOOKUP('Données projet'!$B$13,Paramètres!$A$1:$I$89,3,0)*VLOOKUP('Données projet'!$B$13,Paramètres!$A$1:$I$89,5,0)</f>
        <v>56.37602285714285</v>
      </c>
      <c r="CV26" s="13">
        <f t="shared" si="41"/>
        <v>16.248718216484313</v>
      </c>
      <c r="CW26" s="20">
        <f t="shared" si="13"/>
        <v>126.48809070323398</v>
      </c>
      <c r="CX26" s="59">
        <f t="shared" si="14"/>
        <v>411.26586848101175</v>
      </c>
      <c r="CY26" s="59">
        <f ca="1">AVERAGE(OFFSET($CX$3,0,0,'Données projet'!$E$13+1,1))-AVERAGE(OFFSET($H$3,0,0,'Données projet'!$E$13+1,1))</f>
        <v>330.87173217110126</v>
      </c>
      <c r="CZ26" s="59">
        <f t="shared" si="42"/>
        <v>200.52697135436102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2.6904761904761907</v>
      </c>
      <c r="N27" s="13">
        <f>IF('Données projet'!$A$36&gt;35,N26+M27-V26,IF(A27&lt;'Données projet'!$A$36,$K$205^A27,IF(A27='Données projet'!$A$36,'Données projet'!$B$36,N26+M27-V26)))</f>
        <v>64.571428571428569</v>
      </c>
      <c r="O27" s="13">
        <f>N27*VLOOKUP('Données projet'!$B$9,Paramètres!$A$1:$I$89,3,0)*VLOOKUP('Données projet'!$B$9,Paramètres!$A$1:$I$89,5,0)</f>
        <v>58.424228571428564</v>
      </c>
      <c r="P27" s="13">
        <f t="shared" si="33"/>
        <v>16.769249559387148</v>
      </c>
      <c r="Q27" s="20">
        <f t="shared" si="2"/>
        <v>130.9619744111707</v>
      </c>
      <c r="R27" s="59">
        <f t="shared" si="0"/>
        <v>416.96197441117067</v>
      </c>
      <c r="S27" s="59">
        <f ca="1">AVERAGE(OFFSET($R$3,0,0,'Données projet'!$E$9+1,1))-AVERAGE(OFFSET($H$3,0,0,'Données projet'!$E$9+1,1))</f>
        <v>328.8796193543036</v>
      </c>
      <c r="T27" s="59">
        <f t="shared" si="34"/>
        <v>199.43308683696642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9.4627199999999974</v>
      </c>
      <c r="AI27" s="13">
        <f>IF('Données projet'!$A$62&gt;35,AI26+AH27-AQ26,IF(A27&lt;'Données projet'!$A$62,$AF$205^A27,IF(A27='Données projet'!$A$62,'Données projet'!$B$62,AI26+AH27-AQ26)))</f>
        <v>164.82347999999993</v>
      </c>
      <c r="AJ27" s="13">
        <f>AI27*VLOOKUP('Données projet'!$B$10,Paramètres!$A$1:$I$89,3,0)*VLOOKUP('Données projet'!$B$10,Paramètres!$A$1:$I$89,5,0)</f>
        <v>128.56231439999996</v>
      </c>
      <c r="AK27" s="13">
        <f t="shared" si="35"/>
        <v>33.663937694586522</v>
      </c>
      <c r="AL27" s="20">
        <f t="shared" si="4"/>
        <v>282.54405573140474</v>
      </c>
      <c r="AM27" s="59">
        <f t="shared" si="5"/>
        <v>568.5440557314048</v>
      </c>
      <c r="AN27" s="59">
        <f ca="1">AVERAGE(OFFSET($AM$3,0,0,'Données projet'!$E$10+1,1))-AVERAGE(OFFSET($H$3,0,0,'Données projet'!$E$10+1,1))</f>
        <v>351.77274930064431</v>
      </c>
      <c r="AO27" s="59">
        <f t="shared" si="36"/>
        <v>386.10758060007078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2.8</v>
      </c>
      <c r="BD27" s="12">
        <f>IF('Données projet'!$A$88&gt;35,BD26+BC27-BL26,IF(A27&lt;'Données projet'!$A$88,$BA$205^A27,IF(A27='Données projet'!$A$88,'Données projet'!$B$88,BD26+BC27-BL26)))</f>
        <v>59.060091900479499</v>
      </c>
      <c r="BE27" s="13">
        <f>BD27*VLOOKUP('Données projet'!$B$11,Paramètres!$A$1:$I$89,3,0)*VLOOKUP('Données projet'!$B$11,Paramètres!$A$1:$I$89,5,0)</f>
        <v>56.201583452496287</v>
      </c>
      <c r="BF27" s="13">
        <f t="shared" si="37"/>
        <v>16.204285458829325</v>
      </c>
      <c r="BG27" s="20">
        <f t="shared" si="7"/>
        <v>126.10688835389209</v>
      </c>
      <c r="BH27" s="59">
        <f t="shared" si="8"/>
        <v>412.10688835389209</v>
      </c>
      <c r="BI27" s="59">
        <f ca="1">AVERAGE(OFFSET($BH$3,0,0,'Données projet'!$E$11+1,1))-AVERAGE(OFFSET($H$3,0,0,'Données projet'!$E$11+1,1))</f>
        <v>438.62466697107681</v>
      </c>
      <c r="BJ27" s="59">
        <f t="shared" si="38"/>
        <v>241.18285512887627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20.666666666666668</v>
      </c>
      <c r="BY27" s="12">
        <f>IF('Données projet'!$A$114&gt;35,BY26+BX27-CG26,IF(A27&lt;'Données projet'!$A$114,$BV$205^A27,IF(A27='Données projet'!$A$114,'Données projet'!$B$114,BY26+BX27-CG26)))</f>
        <v>125.33333333333334</v>
      </c>
      <c r="BZ27" s="13">
        <f>BY27*VLOOKUP('Données projet'!$B$12,Paramètres!$A$1:$I$89,3,0)*VLOOKUP('Données projet'!$B$12,Paramètres!$A$1:$I$89,5,0)</f>
        <v>71.690666666666672</v>
      </c>
      <c r="CA27" s="13">
        <f t="shared" si="39"/>
        <v>20.092724756002358</v>
      </c>
      <c r="CB27" s="20">
        <f t="shared" si="10"/>
        <v>159.85607339448188</v>
      </c>
      <c r="CC27" s="59">
        <f t="shared" si="11"/>
        <v>445.85607339448188</v>
      </c>
      <c r="CD27" s="59">
        <f ca="1">AVERAGE(OFFSET($CC$3,0,0,'Données projet'!$E$12+1,1))-AVERAGE(OFFSET($H$3,0,0,'Données projet'!$E$12+1,1))</f>
        <v>308.33000350259448</v>
      </c>
      <c r="CE27" s="59">
        <f t="shared" si="40"/>
        <v>282.64839194267171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3.7839767818852716</v>
      </c>
      <c r="CM27" s="21">
        <f>EXP(-LN(2)/2)*CM26+(1-EXP(-LN(2)/2))/(LN(2)/2)*CG27*CJ27*VLOOKUP('Données projet'!$B$12,Paramètres!$A$1:$I$89,3,0)*0.475*44/12</f>
        <v>2.99208235873534</v>
      </c>
      <c r="CN27" s="22">
        <f t="shared" si="12"/>
        <v>6.7760591406206121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2.1523809523809527</v>
      </c>
      <c r="CT27" s="12">
        <f>IF('Données projet'!$A$140&gt;35,CT26+CS27-DB26,IF(A27&lt;'Données projet'!$A$140,$CQ$205^A27,IF(A27='Données projet'!$A$140,'Données projet'!$B$140,CT26+CS27-DB26)))</f>
        <v>51.657142857142851</v>
      </c>
      <c r="CU27" s="17">
        <f>CT27*VLOOKUP('Données projet'!$B$13,Paramètres!$A$1:$I$89,3,0)*VLOOKUP('Données projet'!$B$13,Paramètres!$A$1:$I$89,5,0)</f>
        <v>58.827154285714272</v>
      </c>
      <c r="CV27" s="13">
        <f t="shared" si="41"/>
        <v>16.871396985301004</v>
      </c>
      <c r="CW27" s="20">
        <f t="shared" si="13"/>
        <v>131.84164346368493</v>
      </c>
      <c r="CX27" s="59">
        <f t="shared" si="14"/>
        <v>417.84164346368493</v>
      </c>
      <c r="CY27" s="59">
        <f ca="1">AVERAGE(OFFSET($CX$3,0,0,'Données projet'!$E$13+1,1))-AVERAGE(OFFSET($H$3,0,0,'Données projet'!$E$13+1,1))</f>
        <v>330.87173217110126</v>
      </c>
      <c r="CZ27" s="59">
        <f t="shared" si="42"/>
        <v>200.52697135436102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2.6904761904761907</v>
      </c>
      <c r="N28" s="13">
        <f>IF('Données projet'!$A$36&gt;35,N27+M28-V27,IF(A28&lt;'Données projet'!$A$36,$K$205^A28,IF(A28='Données projet'!$A$36,'Données projet'!$B$36,N27+M28-V27)))</f>
        <v>67.261904761904759</v>
      </c>
      <c r="O28" s="13">
        <f>N28*VLOOKUP('Données projet'!$B$9,Paramètres!$A$1:$I$89,3,0)*VLOOKUP('Données projet'!$B$9,Paramètres!$A$1:$I$89,5,0)</f>
        <v>60.858571428571423</v>
      </c>
      <c r="P28" s="13">
        <f t="shared" si="33"/>
        <v>17.385162980603361</v>
      </c>
      <c r="Q28" s="20">
        <f t="shared" si="2"/>
        <v>136.27450409597938</v>
      </c>
      <c r="R28" s="59">
        <f t="shared" si="0"/>
        <v>423.49672631820158</v>
      </c>
      <c r="S28" s="59">
        <f ca="1">AVERAGE(OFFSET($R$3,0,0,'Données projet'!$E$9+1,1))-AVERAGE(OFFSET($H$3,0,0,'Données projet'!$E$9+1,1))</f>
        <v>328.8796193543036</v>
      </c>
      <c r="T28" s="59">
        <f t="shared" si="34"/>
        <v>199.43308683696642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174.28619999999998</v>
      </c>
      <c r="AG28" s="12">
        <f>VLOOKUP(A28,'Données projet'!$A$61:$I$81,9,0)</f>
        <v>9.4627199999999974</v>
      </c>
      <c r="AH28" s="12">
        <f t="array" ref="AH28">INDEX(AG:AG,MIN(IF(ISNUMBER(AG28:AG224),ROW(AG28:AG224),"")))</f>
        <v>9.4627199999999974</v>
      </c>
      <c r="AI28" s="13">
        <f>IF('Données projet'!$A$62&gt;35,AI27+AH28-AQ27,IF(A28&lt;'Données projet'!$A$62,$AF$205^A28,IF(A28='Données projet'!$A$62,'Données projet'!$B$62,AI27+AH28-AQ27)))</f>
        <v>174.28619999999992</v>
      </c>
      <c r="AJ28" s="13">
        <f>AI28*VLOOKUP('Données projet'!$B$10,Paramètres!$A$1:$I$89,3,0)*VLOOKUP('Données projet'!$B$10,Paramètres!$A$1:$I$89,5,0)</f>
        <v>135.94323599999996</v>
      </c>
      <c r="AK28" s="13">
        <f t="shared" si="35"/>
        <v>35.366073362245537</v>
      </c>
      <c r="AL28" s="20">
        <f t="shared" si="4"/>
        <v>298.36371380591089</v>
      </c>
      <c r="AM28" s="59">
        <f t="shared" si="5"/>
        <v>585.58593602813312</v>
      </c>
      <c r="AN28" s="59">
        <f ca="1">AVERAGE(OFFSET($AM$3,0,0,'Données projet'!$E$10+1,1))-AVERAGE(OFFSET($H$3,0,0,'Données projet'!$E$10+1,1))</f>
        <v>351.77274930064431</v>
      </c>
      <c r="AO28" s="59">
        <f t="shared" si="36"/>
        <v>386.10758060007078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29.047699999999999</v>
      </c>
      <c r="AR28" s="16">
        <f>IF(ISNA(VLOOKUP(A28,'Données projet'!$A$61:$I$81,5,0)),0%,VLOOKUP(A28,'Données projet'!$A$61:$I$81,5,0)*VLOOKUP('Données projet'!$B$10,Paramètres!$A$1:$I$89,7,0))</f>
        <v>0.30099999999999999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7.5391079049088487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7.5391079049088487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2.8</v>
      </c>
      <c r="BC28" s="12">
        <f t="array" ref="BC28">INDEX(BB:BB,MIN(IF(ISNUMBER(BB28:BB224),ROW(BB28:BB224),"")))</f>
        <v>2.8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66.611999999999995</v>
      </c>
      <c r="BF28" s="13">
        <f t="shared" si="37"/>
        <v>18.829683939536395</v>
      </c>
      <c r="BG28" s="20">
        <f t="shared" si="7"/>
        <v>148.81093286135922</v>
      </c>
      <c r="BH28" s="59">
        <f t="shared" si="8"/>
        <v>436.03315508358145</v>
      </c>
      <c r="BI28" s="59">
        <f ca="1">AVERAGE(OFFSET($BH$3,0,0,'Données projet'!$E$11+1,1))-AVERAGE(OFFSET($H$3,0,0,'Données projet'!$E$11+1,1))</f>
        <v>438.62466697107681</v>
      </c>
      <c r="BJ28" s="59">
        <f t="shared" si="38"/>
        <v>241.18285512887627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146</v>
      </c>
      <c r="BW28" s="12">
        <f>VLOOKUP(A28,'Données projet'!$A$113:$I$133,9,0)</f>
        <v>20.666666666666668</v>
      </c>
      <c r="BX28" s="12">
        <f t="array" ref="BX28">INDEX(BW:BW,MIN(IF(ISNUMBER(BW28:BW224),ROW(BW28:BW224),"")))</f>
        <v>20.666666666666668</v>
      </c>
      <c r="BY28" s="12">
        <f>IF('Données projet'!$A$114&gt;35,BY27+BX28-CG27,IF(A28&lt;'Données projet'!$A$114,$BV$205^A28,IF(A28='Données projet'!$A$114,'Données projet'!$B$114,BY27+BX28-CG27)))</f>
        <v>146</v>
      </c>
      <c r="BZ28" s="13">
        <f>BY28*VLOOKUP('Données projet'!$B$12,Paramètres!$A$1:$I$89,3,0)*VLOOKUP('Données projet'!$B$12,Paramètres!$A$1:$I$89,5,0)</f>
        <v>83.512</v>
      </c>
      <c r="CA28" s="13">
        <f t="shared" si="39"/>
        <v>22.993727451077724</v>
      </c>
      <c r="CB28" s="20">
        <f t="shared" si="10"/>
        <v>185.49747531062701</v>
      </c>
      <c r="CC28" s="59">
        <f t="shared" si="11"/>
        <v>472.71969753284924</v>
      </c>
      <c r="CD28" s="59">
        <f ca="1">AVERAGE(OFFSET($CC$3,0,0,'Données projet'!$E$12+1,1))-AVERAGE(OFFSET($H$3,0,0,'Données projet'!$E$12+1,1))</f>
        <v>308.33000350259448</v>
      </c>
      <c r="CE28" s="59">
        <f t="shared" si="40"/>
        <v>282.64839194267171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36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0.25200000000000006</v>
      </c>
      <c r="CJ28" s="16">
        <f>IF(ISNA(VLOOKUP(A28,'Données projet'!$A$113:$I$133,7,0)),0%,VLOOKUP(A28,'Données projet'!$A$113:$I$133,7,0))</f>
        <v>0.44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10.537186692396434</v>
      </c>
      <c r="CM28" s="21">
        <f>EXP(-LN(2)/2)*CM27+(1-EXP(-LN(2)/2))/(LN(2)/2)*CG28*CJ28*VLOOKUP('Données projet'!$B$12,Paramètres!$A$1:$I$89,3,0)*0.475*44/12</f>
        <v>12.374289812822992</v>
      </c>
      <c r="CN28" s="22">
        <f t="shared" si="12"/>
        <v>22.911476505219426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2.1523809523809527</v>
      </c>
      <c r="CT28" s="12">
        <f>IF('Données projet'!$A$140&gt;35,CT27+CS28-DB27,IF(A28&lt;'Données projet'!$A$140,$CQ$205^A28,IF(A28='Données projet'!$A$140,'Données projet'!$B$140,CT27+CS28-DB27)))</f>
        <v>53.809523809523803</v>
      </c>
      <c r="CU28" s="17">
        <f>CT28*VLOOKUP('Données projet'!$B$13,Paramètres!$A$1:$I$89,3,0)*VLOOKUP('Données projet'!$B$13,Paramètres!$A$1:$I$89,5,0)</f>
        <v>61.278285714285715</v>
      </c>
      <c r="CV28" s="13">
        <f t="shared" si="41"/>
        <v>17.491062152851516</v>
      </c>
      <c r="CW28" s="20">
        <f t="shared" si="13"/>
        <v>137.189947535264</v>
      </c>
      <c r="CX28" s="59">
        <f t="shared" si="14"/>
        <v>424.41216975748625</v>
      </c>
      <c r="CY28" s="59">
        <f ca="1">AVERAGE(OFFSET($CX$3,0,0,'Données projet'!$E$13+1,1))-AVERAGE(OFFSET($H$3,0,0,'Données projet'!$E$13+1,1))</f>
        <v>330.87173217110126</v>
      </c>
      <c r="CZ28" s="59">
        <f t="shared" si="42"/>
        <v>200.52697135436102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2.6904761904761907</v>
      </c>
      <c r="N29" s="13">
        <f>IF('Données projet'!$A$36&gt;35,N28+M29-V28,IF(A29&lt;'Données projet'!$A$36,$K$205^A29,IF(A29='Données projet'!$A$36,'Données projet'!$B$36,N28+M29-V28)))</f>
        <v>69.952380952380949</v>
      </c>
      <c r="O29" s="13">
        <f>N29*VLOOKUP('Données projet'!$B$9,Paramètres!$A$1:$I$89,3,0)*VLOOKUP('Données projet'!$B$9,Paramètres!$A$1:$I$89,5,0)</f>
        <v>63.292914285714282</v>
      </c>
      <c r="P29" s="13">
        <f t="shared" si="33"/>
        <v>17.998214568565054</v>
      </c>
      <c r="Q29" s="20">
        <f t="shared" si="2"/>
        <v>141.58204942120318</v>
      </c>
      <c r="R29" s="59">
        <f t="shared" si="0"/>
        <v>430.02649386564764</v>
      </c>
      <c r="S29" s="59">
        <f ca="1">AVERAGE(OFFSET($R$3,0,0,'Données projet'!$E$9+1,1))-AVERAGE(OFFSET($H$3,0,0,'Données projet'!$E$9+1,1))</f>
        <v>328.8796193543036</v>
      </c>
      <c r="T29" s="59">
        <f t="shared" si="34"/>
        <v>199.43308683696642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11.934720000000004</v>
      </c>
      <c r="AI29" s="13">
        <f>IF('Données projet'!$A$62&gt;35,AI28+AH29-AQ28,IF(A29&lt;'Données projet'!$A$62,$AF$205^A29,IF(A29='Données projet'!$A$62,'Données projet'!$B$62,AI28+AH29-AQ28)))</f>
        <v>157.17321999999993</v>
      </c>
      <c r="AJ29" s="13">
        <f>AI29*VLOOKUP('Données projet'!$B$10,Paramètres!$A$1:$I$89,3,0)*VLOOKUP('Données projet'!$B$10,Paramètres!$A$1:$I$89,5,0)</f>
        <v>122.59511159999995</v>
      </c>
      <c r="AK29" s="13">
        <f t="shared" si="35"/>
        <v>32.279510712967692</v>
      </c>
      <c r="AL29" s="20">
        <f t="shared" si="4"/>
        <v>269.73996719508528</v>
      </c>
      <c r="AM29" s="59">
        <f t="shared" si="5"/>
        <v>558.1844116395298</v>
      </c>
      <c r="AN29" s="59">
        <f ca="1">AVERAGE(OFFSET($AM$3,0,0,'Données projet'!$E$10+1,1))-AVERAGE(OFFSET($H$3,0,0,'Données projet'!$E$10+1,1))</f>
        <v>351.77274930064431</v>
      </c>
      <c r="AO29" s="59">
        <f t="shared" si="36"/>
        <v>386.10758060007078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7.3912705972953541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7.3912705972953541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69</v>
      </c>
      <c r="BE29" s="13">
        <f>BD29*VLOOKUP('Données projet'!$B$11,Paramètres!$A$1:$I$89,3,0)*VLOOKUP('Données projet'!$B$11,Paramètres!$A$1:$I$89,5,0)</f>
        <v>65.660399999999996</v>
      </c>
      <c r="BF29" s="13">
        <f t="shared" si="37"/>
        <v>18.591800852927584</v>
      </c>
      <c r="BG29" s="20">
        <f t="shared" si="7"/>
        <v>146.73924981884886</v>
      </c>
      <c r="BH29" s="59">
        <f t="shared" si="8"/>
        <v>435.18369426329332</v>
      </c>
      <c r="BI29" s="59">
        <f ca="1">AVERAGE(OFFSET($BH$3,0,0,'Données projet'!$E$11+1,1))-AVERAGE(OFFSET($H$3,0,0,'Données projet'!$E$11+1,1))</f>
        <v>438.62466697107681</v>
      </c>
      <c r="BJ29" s="59">
        <f t="shared" si="38"/>
        <v>241.18285512887627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17</v>
      </c>
      <c r="BY29" s="12">
        <f>IF('Données projet'!$A$114&gt;35,BY28+BX29-CG28,IF(A29&lt;'Données projet'!$A$114,$BV$205^A29,IF(A29='Données projet'!$A$114,'Données projet'!$B$114,BY28+BX29-CG28)))</f>
        <v>127</v>
      </c>
      <c r="BZ29" s="13">
        <f>BY29*VLOOKUP('Données projet'!$B$12,Paramètres!$A$1:$I$89,3,0)*VLOOKUP('Données projet'!$B$12,Paramètres!$A$1:$I$89,5,0)</f>
        <v>72.644000000000005</v>
      </c>
      <c r="CA29" s="13">
        <f t="shared" si="39"/>
        <v>20.32863245155605</v>
      </c>
      <c r="CB29" s="20">
        <f t="shared" si="10"/>
        <v>161.92733485312678</v>
      </c>
      <c r="CC29" s="59">
        <f t="shared" si="11"/>
        <v>450.37177929757127</v>
      </c>
      <c r="CD29" s="59">
        <f ca="1">AVERAGE(OFFSET($CC$3,0,0,'Données projet'!$E$12+1,1))-AVERAGE(OFFSET($H$3,0,0,'Données projet'!$E$12+1,1))</f>
        <v>308.33000350259448</v>
      </c>
      <c r="CE29" s="59">
        <f t="shared" si="40"/>
        <v>282.64839194267171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10.249046768166288</v>
      </c>
      <c r="CM29" s="21">
        <f>EXP(-LN(2)/2)*CM28+(1-EXP(-LN(2)/2))/(LN(2)/2)*CG29*CJ29*VLOOKUP('Données projet'!$B$12,Paramètres!$A$1:$I$89,3,0)*0.475*44/12</f>
        <v>8.7499442390147522</v>
      </c>
      <c r="CN29" s="22">
        <f t="shared" si="12"/>
        <v>18.99899100718104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2.1523809523809527</v>
      </c>
      <c r="CT29" s="12">
        <f>IF('Données projet'!$A$140&gt;35,CT28+CS29-DB28,IF(A29&lt;'Données projet'!$A$140,$CQ$205^A29,IF(A29='Données projet'!$A$140,'Données projet'!$B$140,CT28+CS29-DB28)))</f>
        <v>55.961904761904755</v>
      </c>
      <c r="CU29" s="17">
        <f>CT29*VLOOKUP('Données projet'!$B$13,Paramètres!$A$1:$I$89,3,0)*VLOOKUP('Données projet'!$B$13,Paramètres!$A$1:$I$89,5,0)</f>
        <v>63.729417142857137</v>
      </c>
      <c r="CV29" s="13">
        <f t="shared" si="41"/>
        <v>18.10784805470966</v>
      </c>
      <c r="CW29" s="20">
        <f t="shared" si="13"/>
        <v>142.53323688576216</v>
      </c>
      <c r="CX29" s="59">
        <f t="shared" si="14"/>
        <v>430.97768133020662</v>
      </c>
      <c r="CY29" s="59">
        <f ca="1">AVERAGE(OFFSET($CX$3,0,0,'Données projet'!$E$13+1,1))-AVERAGE(OFFSET($H$3,0,0,'Données projet'!$E$13+1,1))</f>
        <v>330.87173217110126</v>
      </c>
      <c r="CZ29" s="59">
        <f t="shared" si="42"/>
        <v>200.52697135436102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2.6904761904761907</v>
      </c>
      <c r="N30" s="13">
        <f>IF('Données projet'!$A$36&gt;35,N29+M30-V29,IF(A30&lt;'Données projet'!$A$36,$K$205^A30,IF(A30='Données projet'!$A$36,'Données projet'!$B$36,N29+M30-V29)))</f>
        <v>72.642857142857139</v>
      </c>
      <c r="O30" s="13">
        <f>N30*VLOOKUP('Données projet'!$B$9,Paramètres!$A$1:$I$89,3,0)*VLOOKUP('Données projet'!$B$9,Paramètres!$A$1:$I$89,5,0)</f>
        <v>65.727257142857141</v>
      </c>
      <c r="P30" s="13">
        <f t="shared" si="33"/>
        <v>18.608526992916694</v>
      </c>
      <c r="Q30" s="20">
        <f t="shared" si="2"/>
        <v>146.88482403647276</v>
      </c>
      <c r="R30" s="59">
        <f t="shared" si="0"/>
        <v>436.55149070313945</v>
      </c>
      <c r="S30" s="59">
        <f ca="1">AVERAGE(OFFSET($R$3,0,0,'Données projet'!$E$9+1,1))-AVERAGE(OFFSET($H$3,0,0,'Données projet'!$E$9+1,1))</f>
        <v>328.8796193543036</v>
      </c>
      <c r="T30" s="59">
        <f t="shared" si="34"/>
        <v>199.43308683696642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11.934720000000004</v>
      </c>
      <c r="AI30" s="13">
        <f>IF('Données projet'!$A$62&gt;35,AI29+AH30-AQ29,IF(A30&lt;'Données projet'!$A$62,$AF$205^A30,IF(A30='Données projet'!$A$62,'Données projet'!$B$62,AI29+AH30-AQ29)))</f>
        <v>169.10793999999993</v>
      </c>
      <c r="AJ30" s="13">
        <f>AI30*VLOOKUP('Données projet'!$B$10,Paramètres!$A$1:$I$89,3,0)*VLOOKUP('Données projet'!$B$10,Paramètres!$A$1:$I$89,5,0)</f>
        <v>131.90419319999995</v>
      </c>
      <c r="AK30" s="13">
        <f t="shared" si="35"/>
        <v>34.435989401856986</v>
      </c>
      <c r="AL30" s="20">
        <f t="shared" si="4"/>
        <v>289.70915136490083</v>
      </c>
      <c r="AM30" s="59">
        <f t="shared" si="5"/>
        <v>579.37581803156752</v>
      </c>
      <c r="AN30" s="59">
        <f ca="1">AVERAGE(OFFSET($AM$3,0,0,'Données projet'!$E$10+1,1))-AVERAGE(OFFSET($H$3,0,0,'Données projet'!$E$10+1,1))</f>
        <v>351.77274930064431</v>
      </c>
      <c r="AO30" s="59">
        <f t="shared" si="36"/>
        <v>386.10758060007078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7.2463322891123054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7.2463322891123054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76</v>
      </c>
      <c r="BE30" s="13">
        <f>BD30*VLOOKUP('Données projet'!$B$11,Paramètres!$A$1:$I$89,3,0)*VLOOKUP('Données projet'!$B$11,Paramètres!$A$1:$I$89,5,0)</f>
        <v>72.321600000000004</v>
      </c>
      <c r="BF30" s="13">
        <f t="shared" si="37"/>
        <v>20.248893319861061</v>
      </c>
      <c r="BG30" s="20">
        <f t="shared" si="7"/>
        <v>161.22694253209136</v>
      </c>
      <c r="BH30" s="59">
        <f t="shared" si="8"/>
        <v>450.89360919875804</v>
      </c>
      <c r="BI30" s="59">
        <f ca="1">AVERAGE(OFFSET($BH$3,0,0,'Données projet'!$E$11+1,1))-AVERAGE(OFFSET($H$3,0,0,'Données projet'!$E$11+1,1))</f>
        <v>438.62466697107681</v>
      </c>
      <c r="BJ30" s="59">
        <f t="shared" si="38"/>
        <v>241.18285512887627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17</v>
      </c>
      <c r="BY30" s="12">
        <f>IF('Données projet'!$A$114&gt;35,BY29+BX30-CG29,IF(A30&lt;'Données projet'!$A$114,$BV$205^A30,IF(A30='Données projet'!$A$114,'Données projet'!$B$114,BY29+BX30-CG29)))</f>
        <v>144</v>
      </c>
      <c r="BZ30" s="13">
        <f>BY30*VLOOKUP('Données projet'!$B$12,Paramètres!$A$1:$I$89,3,0)*VLOOKUP('Données projet'!$B$12,Paramètres!$A$1:$I$89,5,0)</f>
        <v>82.367999999999995</v>
      </c>
      <c r="CA30" s="13">
        <f t="shared" si="39"/>
        <v>22.715185822374924</v>
      </c>
      <c r="CB30" s="20">
        <f t="shared" si="10"/>
        <v>183.01988197396963</v>
      </c>
      <c r="CC30" s="59">
        <f t="shared" si="11"/>
        <v>472.68654864063632</v>
      </c>
      <c r="CD30" s="59">
        <f ca="1">AVERAGE(OFFSET($CC$3,0,0,'Données projet'!$E$12+1,1))-AVERAGE(OFFSET($H$3,0,0,'Données projet'!$E$12+1,1))</f>
        <v>308.33000350259448</v>
      </c>
      <c r="CE30" s="59">
        <f t="shared" si="40"/>
        <v>282.64839194267171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9.9687860453168362</v>
      </c>
      <c r="CM30" s="21">
        <f>EXP(-LN(2)/2)*CM29+(1-EXP(-LN(2)/2))/(LN(2)/2)*CG30*CJ30*VLOOKUP('Données projet'!$B$12,Paramètres!$A$1:$I$89,3,0)*0.475*44/12</f>
        <v>6.1871449064114969</v>
      </c>
      <c r="CN30" s="22">
        <f t="shared" si="12"/>
        <v>16.155930951728333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2.1523809523809527</v>
      </c>
      <c r="CT30" s="12">
        <f>IF('Données projet'!$A$140&gt;35,CT29+CS30-DB29,IF(A30&lt;'Données projet'!$A$140,$CQ$205^A30,IF(A30='Données projet'!$A$140,'Données projet'!$B$140,CT29+CS30-DB29)))</f>
        <v>58.114285714285707</v>
      </c>
      <c r="CU30" s="17">
        <f>CT30*VLOOKUP('Données projet'!$B$13,Paramètres!$A$1:$I$89,3,0)*VLOOKUP('Données projet'!$B$13,Paramètres!$A$1:$I$89,5,0)</f>
        <v>66.18054857142856</v>
      </c>
      <c r="CV30" s="13">
        <f t="shared" si="41"/>
        <v>18.721878107744086</v>
      </c>
      <c r="CW30" s="20">
        <f t="shared" si="13"/>
        <v>147.87172646622568</v>
      </c>
      <c r="CX30" s="59">
        <f t="shared" si="14"/>
        <v>437.53839313289234</v>
      </c>
      <c r="CY30" s="59">
        <f ca="1">AVERAGE(OFFSET($CX$3,0,0,'Données projet'!$E$13+1,1))-AVERAGE(OFFSET($H$3,0,0,'Données projet'!$E$13+1,1))</f>
        <v>330.87173217110126</v>
      </c>
      <c r="CZ30" s="59">
        <f t="shared" si="42"/>
        <v>200.52697135436102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2.6904761904761907</v>
      </c>
      <c r="N31" s="13">
        <f>IF('Données projet'!$A$36&gt;35,N30+M31-V30,IF(A31&lt;'Données projet'!$A$36,$K$205^A31,IF(A31='Données projet'!$A$36,'Données projet'!$B$36,N30+M31-V30)))</f>
        <v>75.333333333333329</v>
      </c>
      <c r="O31" s="13">
        <f>N31*VLOOKUP('Données projet'!$B$9,Paramètres!$A$1:$I$89,3,0)*VLOOKUP('Données projet'!$B$9,Paramètres!$A$1:$I$89,5,0)</f>
        <v>68.161599999999993</v>
      </c>
      <c r="P31" s="13">
        <f t="shared" si="33"/>
        <v>19.216213321815864</v>
      </c>
      <c r="Q31" s="20">
        <f t="shared" si="2"/>
        <v>152.18302486882931</v>
      </c>
      <c r="R31" s="59">
        <f t="shared" si="0"/>
        <v>443.07191375771816</v>
      </c>
      <c r="S31" s="59">
        <f ca="1">AVERAGE(OFFSET($R$3,0,0,'Données projet'!$E$9+1,1))-AVERAGE(OFFSET($H$3,0,0,'Données projet'!$E$9+1,1))</f>
        <v>328.8796193543036</v>
      </c>
      <c r="T31" s="59">
        <f t="shared" si="34"/>
        <v>199.43308683696642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11.934720000000004</v>
      </c>
      <c r="AI31" s="13">
        <f>IF('Données projet'!$A$62&gt;35,AI30+AH31-AQ30,IF(A31&lt;'Données projet'!$A$62,$AF$205^A31,IF(A31='Données projet'!$A$62,'Données projet'!$B$62,AI30+AH31-AQ30)))</f>
        <v>181.04265999999993</v>
      </c>
      <c r="AJ31" s="13">
        <f>AI31*VLOOKUP('Données projet'!$B$10,Paramètres!$A$1:$I$89,3,0)*VLOOKUP('Données projet'!$B$10,Paramètres!$A$1:$I$89,5,0)</f>
        <v>141.21327479999994</v>
      </c>
      <c r="AK31" s="13">
        <f t="shared" si="35"/>
        <v>36.574809976067691</v>
      </c>
      <c r="AL31" s="20">
        <f t="shared" si="4"/>
        <v>309.64758098498442</v>
      </c>
      <c r="AM31" s="59">
        <f t="shared" si="5"/>
        <v>600.53646987387333</v>
      </c>
      <c r="AN31" s="59">
        <f ca="1">AVERAGE(OFFSET($AM$3,0,0,'Données projet'!$E$10+1,1))-AVERAGE(OFFSET($H$3,0,0,'Données projet'!$E$10+1,1))</f>
        <v>351.77274930064431</v>
      </c>
      <c r="AO31" s="59">
        <f t="shared" si="36"/>
        <v>386.10758060007078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7.1042361327490875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7.1042361327490875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83</v>
      </c>
      <c r="BE31" s="13">
        <f>BD31*VLOOKUP('Données projet'!$B$11,Paramètres!$A$1:$I$89,3,0)*VLOOKUP('Données projet'!$B$11,Paramètres!$A$1:$I$89,5,0)</f>
        <v>78.982799999999997</v>
      </c>
      <c r="BF31" s="13">
        <f t="shared" si="37"/>
        <v>21.888288514633821</v>
      </c>
      <c r="BG31" s="20">
        <f t="shared" si="7"/>
        <v>175.68381249632054</v>
      </c>
      <c r="BH31" s="59">
        <f t="shared" si="8"/>
        <v>466.57270138520937</v>
      </c>
      <c r="BI31" s="59">
        <f ca="1">AVERAGE(OFFSET($BH$3,0,0,'Données projet'!$E$11+1,1))-AVERAGE(OFFSET($H$3,0,0,'Données projet'!$E$11+1,1))</f>
        <v>438.62466697107681</v>
      </c>
      <c r="BJ31" s="59">
        <f t="shared" si="38"/>
        <v>241.18285512887627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17</v>
      </c>
      <c r="BY31" s="12">
        <f>IF('Données projet'!$A$114&gt;35,BY30+BX31-CG30,IF(A31&lt;'Données projet'!$A$114,$BV$205^A31,IF(A31='Données projet'!$A$114,'Données projet'!$B$114,BY30+BX31-CG30)))</f>
        <v>161</v>
      </c>
      <c r="BZ31" s="13">
        <f>BY31*VLOOKUP('Données projet'!$B$12,Paramètres!$A$1:$I$89,3,0)*VLOOKUP('Données projet'!$B$12,Paramètres!$A$1:$I$89,5,0)</f>
        <v>92.092000000000013</v>
      </c>
      <c r="CA31" s="13">
        <f t="shared" si="39"/>
        <v>25.069088296004463</v>
      </c>
      <c r="CB31" s="20">
        <f t="shared" si="10"/>
        <v>204.05556211554111</v>
      </c>
      <c r="CC31" s="59">
        <f t="shared" si="11"/>
        <v>494.94445100442999</v>
      </c>
      <c r="CD31" s="59">
        <f ca="1">AVERAGE(OFFSET($CC$3,0,0,'Données projet'!$E$12+1,1))-AVERAGE(OFFSET($H$3,0,0,'Données projet'!$E$12+1,1))</f>
        <v>308.33000350259448</v>
      </c>
      <c r="CE31" s="59">
        <f t="shared" si="40"/>
        <v>282.64839194267171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9.6961890666719732</v>
      </c>
      <c r="CM31" s="21">
        <f>EXP(-LN(2)/2)*CM30+(1-EXP(-LN(2)/2))/(LN(2)/2)*CG31*CJ31*VLOOKUP('Données projet'!$B$12,Paramètres!$A$1:$I$89,3,0)*0.475*44/12</f>
        <v>4.374972119507377</v>
      </c>
      <c r="CN31" s="22">
        <f t="shared" si="12"/>
        <v>14.071161186179349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2.1523809523809527</v>
      </c>
      <c r="CT31" s="12">
        <f>IF('Données projet'!$A$140&gt;35,CT30+CS31-DB30,IF(A31&lt;'Données projet'!$A$140,$CQ$205^A31,IF(A31='Données projet'!$A$140,'Données projet'!$B$140,CT30+CS31-DB30)))</f>
        <v>60.266666666666659</v>
      </c>
      <c r="CU31" s="17">
        <f>CT31*VLOOKUP('Données projet'!$B$13,Paramètres!$A$1:$I$89,3,0)*VLOOKUP('Données projet'!$B$13,Paramètres!$A$1:$I$89,5,0)</f>
        <v>68.631679999999989</v>
      </c>
      <c r="CV31" s="13">
        <f t="shared" si="41"/>
        <v>19.333266068850488</v>
      </c>
      <c r="CW31" s="20">
        <f t="shared" si="13"/>
        <v>153.20561440324789</v>
      </c>
      <c r="CX31" s="59">
        <f t="shared" si="14"/>
        <v>444.09450329213678</v>
      </c>
      <c r="CY31" s="59">
        <f ca="1">AVERAGE(OFFSET($CX$3,0,0,'Données projet'!$E$13+1,1))-AVERAGE(OFFSET($H$3,0,0,'Données projet'!$E$13+1,1))</f>
        <v>330.87173217110126</v>
      </c>
      <c r="CZ31" s="59">
        <f t="shared" si="42"/>
        <v>200.52697135436102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2.6904761904761907</v>
      </c>
      <c r="N32" s="13">
        <f>IF('Données projet'!$A$36&gt;35,N31+M32-V31,IF(A32&lt;'Données projet'!$A$36,$K$205^A32,IF(A32='Données projet'!$A$36,'Données projet'!$B$36,N31+M32-V31)))</f>
        <v>78.023809523809518</v>
      </c>
      <c r="O32" s="13">
        <f>N32*VLOOKUP('Données projet'!$B$9,Paramètres!$A$1:$I$89,3,0)*VLOOKUP('Données projet'!$B$9,Paramètres!$A$1:$I$89,5,0)</f>
        <v>70.595942857142845</v>
      </c>
      <c r="P32" s="13">
        <f t="shared" si="33"/>
        <v>19.82137808929166</v>
      </c>
      <c r="Q32" s="20">
        <f t="shared" si="2"/>
        <v>157.47683398170673</v>
      </c>
      <c r="R32" s="59">
        <f t="shared" si="0"/>
        <v>449.5879450928179</v>
      </c>
      <c r="S32" s="59">
        <f ca="1">AVERAGE(OFFSET($R$3,0,0,'Données projet'!$E$9+1,1))-AVERAGE(OFFSET($H$3,0,0,'Données projet'!$E$9+1,1))</f>
        <v>328.8796193543036</v>
      </c>
      <c r="T32" s="59">
        <f t="shared" si="34"/>
        <v>199.43308683696642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11.934720000000004</v>
      </c>
      <c r="AI32" s="13">
        <f>IF('Données projet'!$A$62&gt;35,AI31+AH32-AQ31,IF(A32&lt;'Données projet'!$A$62,$AF$205^A32,IF(A32='Données projet'!$A$62,'Données projet'!$B$62,AI31+AH32-AQ31)))</f>
        <v>192.97737999999993</v>
      </c>
      <c r="AJ32" s="13">
        <f>AI32*VLOOKUP('Données projet'!$B$10,Paramètres!$A$1:$I$89,3,0)*VLOOKUP('Données projet'!$B$10,Paramètres!$A$1:$I$89,5,0)</f>
        <v>150.52235639999995</v>
      </c>
      <c r="AK32" s="13">
        <f t="shared" si="35"/>
        <v>38.69726895934901</v>
      </c>
      <c r="AL32" s="20">
        <f t="shared" si="4"/>
        <v>329.5575141675327</v>
      </c>
      <c r="AM32" s="59">
        <f t="shared" si="5"/>
        <v>621.66862527864384</v>
      </c>
      <c r="AN32" s="59">
        <f ca="1">AVERAGE(OFFSET($AM$3,0,0,'Données projet'!$E$10+1,1))-AVERAGE(OFFSET($H$3,0,0,'Données projet'!$E$10+1,1))</f>
        <v>351.77274930064431</v>
      </c>
      <c r="AO32" s="59">
        <f t="shared" si="36"/>
        <v>386.10758060007078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6.9649263953420553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6.9649263953420553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90</v>
      </c>
      <c r="BE32" s="13">
        <f>BD32*VLOOKUP('Données projet'!$B$11,Paramètres!$A$1:$I$89,3,0)*VLOOKUP('Données projet'!$B$11,Paramètres!$A$1:$I$89,5,0)</f>
        <v>85.644000000000005</v>
      </c>
      <c r="BF32" s="13">
        <f t="shared" si="37"/>
        <v>23.511648669822069</v>
      </c>
      <c r="BG32" s="20">
        <f t="shared" si="7"/>
        <v>190.1127547666068</v>
      </c>
      <c r="BH32" s="59">
        <f t="shared" si="8"/>
        <v>482.22386587771791</v>
      </c>
      <c r="BI32" s="59">
        <f ca="1">AVERAGE(OFFSET($BH$3,0,0,'Données projet'!$E$11+1,1))-AVERAGE(OFFSET($H$3,0,0,'Données projet'!$E$11+1,1))</f>
        <v>438.62466697107681</v>
      </c>
      <c r="BJ32" s="59">
        <f t="shared" si="38"/>
        <v>241.18285512887627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17</v>
      </c>
      <c r="BY32" s="12">
        <f>IF('Données projet'!$A$114&gt;35,BY31+BX32-CG31,IF(A32&lt;'Données projet'!$A$114,$BV$205^A32,IF(A32='Données projet'!$A$114,'Données projet'!$B$114,BY31+BX32-CG31)))</f>
        <v>178</v>
      </c>
      <c r="BZ32" s="13">
        <f>BY32*VLOOKUP('Données projet'!$B$12,Paramètres!$A$1:$I$89,3,0)*VLOOKUP('Données projet'!$B$12,Paramètres!$A$1:$I$89,5,0)</f>
        <v>101.81600000000002</v>
      </c>
      <c r="CA32" s="13">
        <f t="shared" si="39"/>
        <v>27.394180307902225</v>
      </c>
      <c r="CB32" s="20">
        <f t="shared" si="10"/>
        <v>225.04106403626307</v>
      </c>
      <c r="CC32" s="59">
        <f t="shared" si="11"/>
        <v>517.15217514737424</v>
      </c>
      <c r="CD32" s="59">
        <f ca="1">AVERAGE(OFFSET($CC$3,0,0,'Données projet'!$E$12+1,1))-AVERAGE(OFFSET($H$3,0,0,'Données projet'!$E$12+1,1))</f>
        <v>308.33000350259448</v>
      </c>
      <c r="CE32" s="59">
        <f t="shared" si="40"/>
        <v>282.64839194267171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9.4310462667434063</v>
      </c>
      <c r="CM32" s="21">
        <f>EXP(-LN(2)/2)*CM31+(1-EXP(-LN(2)/2))/(LN(2)/2)*CG32*CJ32*VLOOKUP('Données projet'!$B$12,Paramètres!$A$1:$I$89,3,0)*0.475*44/12</f>
        <v>3.0935724532057489</v>
      </c>
      <c r="CN32" s="22">
        <f t="shared" si="12"/>
        <v>12.524618719949155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2.1523809523809527</v>
      </c>
      <c r="CT32" s="12">
        <f>IF('Données projet'!$A$140&gt;35,CT31+CS32-DB31,IF(A32&lt;'Données projet'!$A$140,$CQ$205^A32,IF(A32='Données projet'!$A$140,'Données projet'!$B$140,CT31+CS32-DB31)))</f>
        <v>62.41904761904761</v>
      </c>
      <c r="CU32" s="17">
        <f>CT32*VLOOKUP('Données projet'!$B$13,Paramètres!$A$1:$I$89,3,0)*VLOOKUP('Données projet'!$B$13,Paramètres!$A$1:$I$89,5,0)</f>
        <v>71.082811428571418</v>
      </c>
      <c r="CV32" s="13">
        <f t="shared" si="41"/>
        <v>19.942117108811672</v>
      </c>
      <c r="CW32" s="20">
        <f t="shared" si="13"/>
        <v>158.53508386927555</v>
      </c>
      <c r="CX32" s="59">
        <f t="shared" si="14"/>
        <v>450.64619498038667</v>
      </c>
      <c r="CY32" s="59">
        <f ca="1">AVERAGE(OFFSET($CX$3,0,0,'Données projet'!$E$13+1,1))-AVERAGE(OFFSET($H$3,0,0,'Données projet'!$E$13+1,1))</f>
        <v>330.87173217110126</v>
      </c>
      <c r="CZ32" s="59">
        <f t="shared" si="42"/>
        <v>200.52697135436102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2.6904761904761907</v>
      </c>
      <c r="N33" s="13">
        <f>IF('Données projet'!$A$36&gt;35,N32+M33-V32,IF(A33&lt;'Données projet'!$A$36,$K$205^A33,IF(A33='Données projet'!$A$36,'Données projet'!$B$36,N32+M33-V32)))</f>
        <v>80.714285714285708</v>
      </c>
      <c r="O33" s="13">
        <f>N33*VLOOKUP('Données projet'!$B$9,Paramètres!$A$1:$I$89,3,0)*VLOOKUP('Données projet'!$B$9,Paramètres!$A$1:$I$89,5,0)</f>
        <v>73.030285714285711</v>
      </c>
      <c r="P33" s="13">
        <f t="shared" si="33"/>
        <v>20.424118211245272</v>
      </c>
      <c r="Q33" s="20">
        <f t="shared" si="2"/>
        <v>162.76642017029977</v>
      </c>
      <c r="R33" s="59">
        <f t="shared" si="0"/>
        <v>456.09975350363311</v>
      </c>
      <c r="S33" s="59">
        <f ca="1">AVERAGE(OFFSET($R$3,0,0,'Données projet'!$E$9+1,1))-AVERAGE(OFFSET($H$3,0,0,'Données projet'!$E$9+1,1))</f>
        <v>328.8796193543036</v>
      </c>
      <c r="T33" s="59">
        <f t="shared" si="34"/>
        <v>199.43308683696642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11.934720000000004</v>
      </c>
      <c r="AI33" s="13">
        <f>IF('Données projet'!$A$62&gt;35,AI32+AH33-AQ32,IF(A33&lt;'Données projet'!$A$62,$AF$205^A33,IF(A33='Données projet'!$A$62,'Données projet'!$B$62,AI32+AH33-AQ32)))</f>
        <v>204.91209999999992</v>
      </c>
      <c r="AJ33" s="13">
        <f>AI33*VLOOKUP('Données projet'!$B$10,Paramètres!$A$1:$I$89,3,0)*VLOOKUP('Données projet'!$B$10,Paramètres!$A$1:$I$89,5,0)</f>
        <v>159.83143799999993</v>
      </c>
      <c r="AK33" s="13">
        <f t="shared" si="35"/>
        <v>40.80449344501681</v>
      </c>
      <c r="AL33" s="20">
        <f t="shared" si="4"/>
        <v>349.44091393340415</v>
      </c>
      <c r="AM33" s="59">
        <f t="shared" si="5"/>
        <v>642.77424726673746</v>
      </c>
      <c r="AN33" s="59">
        <f ca="1">AVERAGE(OFFSET($AM$3,0,0,'Données projet'!$E$10+1,1))-AVERAGE(OFFSET($H$3,0,0,'Données projet'!$E$10+1,1))</f>
        <v>351.77274930064431</v>
      </c>
      <c r="AO33" s="59">
        <f t="shared" si="36"/>
        <v>386.10758060007078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6.8283484369150251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6.8283484369150251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97</v>
      </c>
      <c r="BE33" s="13">
        <f>BD33*VLOOKUP('Données projet'!$B$11,Paramètres!$A$1:$I$89,3,0)*VLOOKUP('Données projet'!$B$11,Paramètres!$A$1:$I$89,5,0)</f>
        <v>92.305199999999999</v>
      </c>
      <c r="BF33" s="13">
        <f t="shared" si="37"/>
        <v>25.12036275342183</v>
      </c>
      <c r="BG33" s="20">
        <f t="shared" si="7"/>
        <v>204.51618846220967</v>
      </c>
      <c r="BH33" s="59">
        <f t="shared" si="8"/>
        <v>497.84952179554296</v>
      </c>
      <c r="BI33" s="59">
        <f ca="1">AVERAGE(OFFSET($BH$3,0,0,'Données projet'!$E$11+1,1))-AVERAGE(OFFSET($H$3,0,0,'Données projet'!$E$11+1,1))</f>
        <v>438.62466697107681</v>
      </c>
      <c r="BJ33" s="59">
        <f t="shared" si="38"/>
        <v>241.18285512887627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195</v>
      </c>
      <c r="BW33" s="12">
        <f>VLOOKUP(A33,'Données projet'!$A$113:$I$133,9,0)</f>
        <v>17</v>
      </c>
      <c r="BX33" s="12">
        <f t="array" ref="BX33">INDEX(BW:BW,MIN(IF(ISNUMBER(BW33:BW229),ROW(BW33:BW229),"")))</f>
        <v>17</v>
      </c>
      <c r="BY33" s="12">
        <f>IF('Données projet'!$A$114&gt;35,BY32+BX33-CG32,IF(A33&lt;'Données projet'!$A$114,$BV$205^A33,IF(A33='Données projet'!$A$114,'Données projet'!$B$114,BY32+BX33-CG32)))</f>
        <v>195</v>
      </c>
      <c r="BZ33" s="13">
        <f>BY33*VLOOKUP('Données projet'!$B$12,Paramètres!$A$1:$I$89,3,0)*VLOOKUP('Données projet'!$B$12,Paramètres!$A$1:$I$89,5,0)</f>
        <v>111.54</v>
      </c>
      <c r="CA33" s="13">
        <f t="shared" si="39"/>
        <v>29.693526474261301</v>
      </c>
      <c r="CB33" s="20">
        <f t="shared" si="10"/>
        <v>245.98172527600511</v>
      </c>
      <c r="CC33" s="59">
        <f t="shared" si="11"/>
        <v>539.31505860933839</v>
      </c>
      <c r="CD33" s="59">
        <f ca="1">AVERAGE(OFFSET($CC$3,0,0,'Données projet'!$E$12+1,1))-AVERAGE(OFFSET($H$3,0,0,'Données projet'!$E$12+1,1))</f>
        <v>308.33000350259448</v>
      </c>
      <c r="CE33" s="59">
        <f t="shared" si="40"/>
        <v>282.64839194267171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49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0.25200000000000006</v>
      </c>
      <c r="CJ33" s="16">
        <f>IF(ISNA(VLOOKUP(A33,'Données projet'!$A$113:$I$133,7,0)),0%,VLOOKUP(A33,'Données projet'!$A$113:$I$133,7,0))</f>
        <v>0.44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18.50586116549777</v>
      </c>
      <c r="CM33" s="21">
        <f>EXP(-LN(2)/2)*CM32+(1-EXP(-LN(2)/2))/(LN(2)/2)*CG33*CJ33*VLOOKUP('Données projet'!$B$12,Paramètres!$A$1:$I$89,3,0)*0.475*44/12</f>
        <v>16.150537067185276</v>
      </c>
      <c r="CN33" s="22">
        <f t="shared" si="12"/>
        <v>34.656398232683046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2.1523809523809527</v>
      </c>
      <c r="CT33" s="12">
        <f>IF('Données projet'!$A$140&gt;35,CT32+CS33-DB32,IF(A33&lt;'Données projet'!$A$140,$CQ$205^A33,IF(A33='Données projet'!$A$140,'Données projet'!$B$140,CT32+CS33-DB32)))</f>
        <v>64.571428571428569</v>
      </c>
      <c r="CU33" s="17">
        <f>CT33*VLOOKUP('Données projet'!$B$13,Paramètres!$A$1:$I$89,3,0)*VLOOKUP('Données projet'!$B$13,Paramètres!$A$1:$I$89,5,0)</f>
        <v>73.533942857142861</v>
      </c>
      <c r="CV33" s="13">
        <f t="shared" si="41"/>
        <v>20.548528733877845</v>
      </c>
      <c r="CW33" s="20">
        <f t="shared" si="13"/>
        <v>163.86030468769439</v>
      </c>
      <c r="CX33" s="59">
        <f t="shared" si="14"/>
        <v>457.19363802102771</v>
      </c>
      <c r="CY33" s="59">
        <f ca="1">AVERAGE(OFFSET($CX$3,0,0,'Données projet'!$E$13+1,1))-AVERAGE(OFFSET($H$3,0,0,'Données projet'!$E$13+1,1))</f>
        <v>330.87173217110126</v>
      </c>
      <c r="CZ33" s="59">
        <f t="shared" si="42"/>
        <v>200.52697135436102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2.6904761904761907</v>
      </c>
      <c r="N34" s="13">
        <f>IF('Données projet'!$A$36&gt;35,N33+M34-V33,IF(A34&lt;'Données projet'!$A$36,$K$205^A34,IF(A34='Données projet'!$A$36,'Données projet'!$B$36,N33+M34-V33)))</f>
        <v>83.404761904761898</v>
      </c>
      <c r="O34" s="13">
        <f>N34*VLOOKUP('Données projet'!$B$9,Paramètres!$A$1:$I$89,3,0)*VLOOKUP('Données projet'!$B$9,Paramètres!$A$1:$I$89,5,0)</f>
        <v>75.464628571428563</v>
      </c>
      <c r="P34" s="13">
        <f t="shared" si="33"/>
        <v>21.024523775886198</v>
      </c>
      <c r="Q34" s="20">
        <f t="shared" si="2"/>
        <v>168.05194033823986</v>
      </c>
      <c r="R34" s="59">
        <f t="shared" si="0"/>
        <v>461.38527367157315</v>
      </c>
      <c r="S34" s="59">
        <f ca="1">AVERAGE(OFFSET($R$3,0,0,'Données projet'!$E$9+1,1))-AVERAGE(OFFSET($H$3,0,0,'Données projet'!$E$9+1,1))</f>
        <v>328.8796193543036</v>
      </c>
      <c r="T34" s="59">
        <f t="shared" si="34"/>
        <v>199.43308683696642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11.934720000000004</v>
      </c>
      <c r="AI34" s="13">
        <f>IF('Données projet'!$A$62&gt;35,AI33+AH34-AQ33,IF(A34&lt;'Données projet'!$A$62,$AF$205^A34,IF(A34='Données projet'!$A$62,'Données projet'!$B$62,AI33+AH34-AQ33)))</f>
        <v>216.84681999999992</v>
      </c>
      <c r="AJ34" s="13">
        <f>AI34*VLOOKUP('Données projet'!$B$10,Paramètres!$A$1:$I$89,3,0)*VLOOKUP('Données projet'!$B$10,Paramètres!$A$1:$I$89,5,0)</f>
        <v>169.14051959999995</v>
      </c>
      <c r="AK34" s="13">
        <f t="shared" si="35"/>
        <v>42.897471819212321</v>
      </c>
      <c r="AL34" s="20">
        <f t="shared" si="4"/>
        <v>369.29950172179468</v>
      </c>
      <c r="AM34" s="59">
        <f t="shared" si="5"/>
        <v>662.632835055128</v>
      </c>
      <c r="AN34" s="59">
        <f ca="1">AVERAGE(OFFSET($AM$3,0,0,'Données projet'!$E$10+1,1))-AVERAGE(OFFSET($H$3,0,0,'Données projet'!$E$10+1,1))</f>
        <v>351.77274930064431</v>
      </c>
      <c r="AO34" s="59">
        <f t="shared" si="36"/>
        <v>386.10758060007078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6.6944486889484205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6.6944486889484205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</v>
      </c>
      <c r="BE34" s="13">
        <f>BD34*VLOOKUP('Données projet'!$B$11,Paramètres!$A$1:$I$89,3,0)*VLOOKUP('Données projet'!$B$11,Paramètres!$A$1:$I$89,5,0)</f>
        <v>79.934400000000011</v>
      </c>
      <c r="BF34" s="13">
        <f t="shared" si="37"/>
        <v>22.121143821921812</v>
      </c>
      <c r="BG34" s="20">
        <f t="shared" si="7"/>
        <v>177.74673882318049</v>
      </c>
      <c r="BH34" s="59">
        <f t="shared" si="8"/>
        <v>471.08007215651378</v>
      </c>
      <c r="BI34" s="59">
        <f ca="1">AVERAGE(OFFSET($BH$3,0,0,'Données projet'!$E$11+1,1))-AVERAGE(OFFSET($H$3,0,0,'Données projet'!$E$11+1,1))</f>
        <v>438.62466697107681</v>
      </c>
      <c r="BJ34" s="59">
        <f t="shared" si="38"/>
        <v>241.18285512887627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161.19999999999999</v>
      </c>
      <c r="BZ34" s="13">
        <f>BY34*VLOOKUP('Données projet'!$B$12,Paramètres!$A$1:$I$89,3,0)*VLOOKUP('Données projet'!$B$12,Paramètres!$A$1:$I$89,5,0)</f>
        <v>92.206400000000002</v>
      </c>
      <c r="CA34" s="13">
        <f t="shared" si="39"/>
        <v>25.096603135357018</v>
      </c>
      <c r="CB34" s="20">
        <f t="shared" si="10"/>
        <v>204.3027304607468</v>
      </c>
      <c r="CC34" s="59">
        <f t="shared" si="11"/>
        <v>497.63606379408009</v>
      </c>
      <c r="CD34" s="59">
        <f ca="1">AVERAGE(OFFSET($CC$3,0,0,'Données projet'!$E$12+1,1))-AVERAGE(OFFSET($H$3,0,0,'Données projet'!$E$12+1,1))</f>
        <v>308.33000350259448</v>
      </c>
      <c r="CE34" s="59">
        <f t="shared" si="40"/>
        <v>282.64839194267171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17.999817418746289</v>
      </c>
      <c r="CM34" s="21">
        <f>EXP(-LN(2)/2)*CM33+(1-EXP(-LN(2)/2))/(LN(2)/2)*CG34*CJ34*VLOOKUP('Données projet'!$B$12,Paramètres!$A$1:$I$89,3,0)*0.475*44/12</f>
        <v>11.420154280011404</v>
      </c>
      <c r="CN34" s="22">
        <f t="shared" si="12"/>
        <v>29.419971698757692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2.1523809523809527</v>
      </c>
      <c r="CT34" s="12">
        <f>IF('Données projet'!$A$140&gt;35,CT33+CS34-DB33,IF(A34&lt;'Données projet'!$A$140,$CQ$205^A34,IF(A34='Données projet'!$A$140,'Données projet'!$B$140,CT33+CS34-DB33)))</f>
        <v>66.723809523809521</v>
      </c>
      <c r="CU34" s="17">
        <f>CT34*VLOOKUP('Données projet'!$B$13,Paramètres!$A$1:$I$89,3,0)*VLOOKUP('Données projet'!$B$13,Paramètres!$A$1:$I$89,5,0)</f>
        <v>75.98507428571429</v>
      </c>
      <c r="CV34" s="13">
        <f t="shared" si="41"/>
        <v>21.152591581017621</v>
      </c>
      <c r="CW34" s="20">
        <f t="shared" si="13"/>
        <v>169.18143471789139</v>
      </c>
      <c r="CX34" s="59">
        <f t="shared" si="14"/>
        <v>462.51476805122468</v>
      </c>
      <c r="CY34" s="59">
        <f ca="1">AVERAGE(OFFSET($CX$3,0,0,'Données projet'!$E$13+1,1))-AVERAGE(OFFSET($H$3,0,0,'Données projet'!$E$13+1,1))</f>
        <v>330.87173217110126</v>
      </c>
      <c r="CZ34" s="59">
        <f t="shared" si="42"/>
        <v>200.52697135436102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2.6904761904761907</v>
      </c>
      <c r="N35" s="13">
        <f>IF('Données projet'!$A$36&gt;35,N34+M35-V34,IF(A35&lt;'Données projet'!$A$36,$K$205^A35,IF(A35='Données projet'!$A$36,'Données projet'!$B$36,N34+M35-V34)))</f>
        <v>86.095238095238088</v>
      </c>
      <c r="O35" s="13">
        <f>N35*VLOOKUP('Données projet'!$B$9,Paramètres!$A$1:$I$89,3,0)*VLOOKUP('Données projet'!$B$9,Paramètres!$A$1:$I$89,5,0)</f>
        <v>77.898971428571414</v>
      </c>
      <c r="P35" s="13">
        <f t="shared" si="33"/>
        <v>21.622678729311669</v>
      </c>
      <c r="Q35" s="20">
        <f t="shared" ref="Q35:Q66" si="53">(O35+P35)*0.475*44/12</f>
        <v>173.33354069164636</v>
      </c>
      <c r="R35" s="59">
        <f t="shared" si="0"/>
        <v>466.66687402497968</v>
      </c>
      <c r="S35" s="59">
        <f ca="1">AVERAGE(OFFSET($R$3,0,0,'Données projet'!$E$9+1,1))-AVERAGE(OFFSET($H$3,0,0,'Données projet'!$E$9+1,1))</f>
        <v>328.8796193543036</v>
      </c>
      <c r="T35" s="59">
        <f t="shared" si="34"/>
        <v>199.43308683696642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11.934720000000004</v>
      </c>
      <c r="AI35" s="13">
        <f>IF('Données projet'!$A$62&gt;35,AI34+AH35-AQ34,IF(A35&lt;'Données projet'!$A$62,$AF$205^A35,IF(A35='Données projet'!$A$62,'Données projet'!$B$62,AI34+AH35-AQ34)))</f>
        <v>228.78153999999992</v>
      </c>
      <c r="AJ35" s="13">
        <f>AI35*VLOOKUP('Données projet'!$B$10,Paramètres!$A$1:$I$89,3,0)*VLOOKUP('Données projet'!$B$10,Paramètres!$A$1:$I$89,5,0)</f>
        <v>178.44960119999993</v>
      </c>
      <c r="AK35" s="13">
        <f t="shared" si="35"/>
        <v>44.977077526697201</v>
      </c>
      <c r="AL35" s="20">
        <f t="shared" si="4"/>
        <v>389.13479878233085</v>
      </c>
      <c r="AM35" s="59">
        <f t="shared" si="5"/>
        <v>682.46813211566416</v>
      </c>
      <c r="AN35" s="59">
        <f ca="1">AVERAGE(OFFSET($AM$3,0,0,'Données projet'!$E$10+1,1))-AVERAGE(OFFSET($H$3,0,0,'Données projet'!$E$10+1,1))</f>
        <v>351.77274930064431</v>
      </c>
      <c r="AO35" s="59">
        <f t="shared" si="36"/>
        <v>386.10758060007078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6.5631746333686589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6.5631746333686589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</v>
      </c>
      <c r="BE35" s="13">
        <f>BD35*VLOOKUP('Données projet'!$B$11,Paramètres!$A$1:$I$89,3,0)*VLOOKUP('Données projet'!$B$11,Paramètres!$A$1:$I$89,5,0)</f>
        <v>87.547200000000004</v>
      </c>
      <c r="BF35" s="13">
        <f t="shared" si="37"/>
        <v>23.972720748088616</v>
      </c>
      <c r="BG35" s="20">
        <f t="shared" si="7"/>
        <v>194.23052863625435</v>
      </c>
      <c r="BH35" s="59">
        <f t="shared" si="8"/>
        <v>487.56386196958766</v>
      </c>
      <c r="BI35" s="59">
        <f ca="1">AVERAGE(OFFSET($BH$3,0,0,'Données projet'!$E$11+1,1))-AVERAGE(OFFSET($H$3,0,0,'Données projet'!$E$11+1,1))</f>
        <v>438.62466697107681</v>
      </c>
      <c r="BJ35" s="59">
        <f t="shared" si="38"/>
        <v>241.18285512887627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176.39999999999998</v>
      </c>
      <c r="BZ35" s="13">
        <f>BY35*VLOOKUP('Données projet'!$B$12,Paramètres!$A$1:$I$89,3,0)*VLOOKUP('Données projet'!$B$12,Paramètres!$A$1:$I$89,5,0)</f>
        <v>100.90079999999999</v>
      </c>
      <c r="CA35" s="13">
        <f t="shared" si="39"/>
        <v>27.176488592921537</v>
      </c>
      <c r="CB35" s="20">
        <f t="shared" si="10"/>
        <v>223.06794429933834</v>
      </c>
      <c r="CC35" s="59">
        <f t="shared" si="11"/>
        <v>516.40127763267162</v>
      </c>
      <c r="CD35" s="59">
        <f ca="1">AVERAGE(OFFSET($CC$3,0,0,'Données projet'!$E$12+1,1))-AVERAGE(OFFSET($H$3,0,0,'Données projet'!$E$12+1,1))</f>
        <v>308.33000350259448</v>
      </c>
      <c r="CE35" s="59">
        <f t="shared" si="40"/>
        <v>282.64839194267171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17.507611464861412</v>
      </c>
      <c r="CM35" s="21">
        <f>EXP(-LN(2)/2)*CM34+(1-EXP(-LN(2)/2))/(LN(2)/2)*CG35*CJ35*VLOOKUP('Données projet'!$B$12,Paramètres!$A$1:$I$89,3,0)*0.475*44/12</f>
        <v>8.0752685335926397</v>
      </c>
      <c r="CN35" s="22">
        <f t="shared" si="12"/>
        <v>25.582879998454054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2.1523809523809527</v>
      </c>
      <c r="CT35" s="12">
        <f>IF('Données projet'!$A$140&gt;35,CT34+CS35-DB34,IF(A35&lt;'Données projet'!$A$140,$CQ$205^A35,IF(A35='Données projet'!$A$140,'Données projet'!$B$140,CT34+CS35-DB34)))</f>
        <v>68.876190476190473</v>
      </c>
      <c r="CU35" s="17">
        <f>CT35*VLOOKUP('Données projet'!$B$13,Paramètres!$A$1:$I$89,3,0)*VLOOKUP('Données projet'!$B$13,Paramètres!$A$1:$I$89,5,0)</f>
        <v>78.436205714285705</v>
      </c>
      <c r="CV35" s="13">
        <f t="shared" si="41"/>
        <v>21.754390107673586</v>
      </c>
      <c r="CW35" s="20">
        <f t="shared" si="13"/>
        <v>174.49862105657908</v>
      </c>
      <c r="CX35" s="59">
        <f t="shared" si="14"/>
        <v>467.83195438991243</v>
      </c>
      <c r="CY35" s="59">
        <f ca="1">AVERAGE(OFFSET($CX$3,0,0,'Données projet'!$E$13+1,1))-AVERAGE(OFFSET($H$3,0,0,'Données projet'!$E$13+1,1))</f>
        <v>330.87173217110126</v>
      </c>
      <c r="CZ35" s="59">
        <f t="shared" si="42"/>
        <v>200.52697135436102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2.6904761904761907</v>
      </c>
      <c r="N36" s="13">
        <f>IF('Données projet'!$A$36&gt;35,N35+M36-V35,IF(A36&lt;'Données projet'!$A$36,$K$205^A36,IF(A36='Données projet'!$A$36,'Données projet'!$B$36,N35+M36-V35)))</f>
        <v>88.785714285714278</v>
      </c>
      <c r="O36" s="13">
        <f>N36*VLOOKUP('Données projet'!$B$9,Paramètres!$A$1:$I$89,3,0)*VLOOKUP('Données projet'!$B$9,Paramètres!$A$1:$I$89,5,0)</f>
        <v>80.33331428571428</v>
      </c>
      <c r="P36" s="13">
        <f t="shared" si="33"/>
        <v>22.218661472981104</v>
      </c>
      <c r="Q36" s="20">
        <f t="shared" si="53"/>
        <v>178.6113577797278</v>
      </c>
      <c r="R36" s="59">
        <f t="shared" si="0"/>
        <v>471.94469111306114</v>
      </c>
      <c r="S36" s="59">
        <f ca="1">AVERAGE(OFFSET($R$3,0,0,'Données projet'!$E$9+1,1))-AVERAGE(OFFSET($H$3,0,0,'Données projet'!$E$9+1,1))</f>
        <v>328.8796193543036</v>
      </c>
      <c r="T36" s="59">
        <f t="shared" si="34"/>
        <v>199.43308683696642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11.934720000000004</v>
      </c>
      <c r="AI36" s="13">
        <f>IF('Données projet'!$A$62&gt;35,AI35+AH36-AQ35,IF(A36&lt;'Données projet'!$A$62,$AF$205^A36,IF(A36='Données projet'!$A$62,'Données projet'!$B$62,AI35+AH36-AQ35)))</f>
        <v>240.71625999999992</v>
      </c>
      <c r="AJ36" s="13">
        <f>AI36*VLOOKUP('Données projet'!$B$10,Paramètres!$A$1:$I$89,3,0)*VLOOKUP('Données projet'!$B$10,Paramètres!$A$1:$I$89,5,0)</f>
        <v>187.75868279999995</v>
      </c>
      <c r="AK36" s="13">
        <f t="shared" si="35"/>
        <v>47.04408773617056</v>
      </c>
      <c r="AL36" s="20">
        <f t="shared" si="4"/>
        <v>408.94815868383029</v>
      </c>
      <c r="AM36" s="59">
        <f t="shared" si="5"/>
        <v>702.2814920171636</v>
      </c>
      <c r="AN36" s="59">
        <f ca="1">AVERAGE(OFFSET($AM$3,0,0,'Données projet'!$E$10+1,1))-AVERAGE(OFFSET($H$3,0,0,'Données projet'!$E$10+1,1))</f>
        <v>351.77274930064431</v>
      </c>
      <c r="AO36" s="59">
        <f t="shared" si="36"/>
        <v>386.10758060007078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6.4344747819495485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6.4344747819495485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</v>
      </c>
      <c r="BE36" s="13">
        <f>BD36*VLOOKUP('Données projet'!$B$11,Paramètres!$A$1:$I$89,3,0)*VLOOKUP('Données projet'!$B$11,Paramètres!$A$1:$I$89,5,0)</f>
        <v>95.16</v>
      </c>
      <c r="BF36" s="13">
        <f t="shared" si="37"/>
        <v>25.80562620332617</v>
      </c>
      <c r="BG36" s="20">
        <f t="shared" si="7"/>
        <v>210.68179897079304</v>
      </c>
      <c r="BH36" s="59">
        <f t="shared" si="8"/>
        <v>504.01513230412638</v>
      </c>
      <c r="BI36" s="59">
        <f ca="1">AVERAGE(OFFSET($BH$3,0,0,'Données projet'!$E$11+1,1))-AVERAGE(OFFSET($H$3,0,0,'Données projet'!$E$11+1,1))</f>
        <v>438.62466697107681</v>
      </c>
      <c r="BJ36" s="59">
        <f t="shared" si="38"/>
        <v>241.18285512887627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191.59999999999997</v>
      </c>
      <c r="BZ36" s="13">
        <f>BY36*VLOOKUP('Données projet'!$B$12,Paramètres!$A$1:$I$89,3,0)*VLOOKUP('Données projet'!$B$12,Paramètres!$A$1:$I$89,5,0)</f>
        <v>109.59519999999999</v>
      </c>
      <c r="CA36" s="13">
        <f t="shared" si="39"/>
        <v>29.235590080377698</v>
      </c>
      <c r="CB36" s="20">
        <f t="shared" si="10"/>
        <v>241.79695938999112</v>
      </c>
      <c r="CC36" s="59">
        <f t="shared" si="11"/>
        <v>535.13029272332437</v>
      </c>
      <c r="CD36" s="59">
        <f ca="1">AVERAGE(OFFSET($CC$3,0,0,'Données projet'!$E$12+1,1))-AVERAGE(OFFSET($H$3,0,0,'Données projet'!$E$12+1,1))</f>
        <v>308.33000350259448</v>
      </c>
      <c r="CE36" s="59">
        <f t="shared" si="40"/>
        <v>282.64839194267171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17.028864908669505</v>
      </c>
      <c r="CM36" s="21">
        <f>EXP(-LN(2)/2)*CM35+(1-EXP(-LN(2)/2))/(LN(2)/2)*CG36*CJ36*VLOOKUP('Données projet'!$B$12,Paramètres!$A$1:$I$89,3,0)*0.475*44/12</f>
        <v>5.710077140005704</v>
      </c>
      <c r="CN36" s="22">
        <f t="shared" si="12"/>
        <v>22.738942048675209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2.1523809523809527</v>
      </c>
      <c r="CT36" s="12">
        <f>IF('Données projet'!$A$140&gt;35,CT35+CS36-DB35,IF(A36&lt;'Données projet'!$A$140,$CQ$205^A36,IF(A36='Données projet'!$A$140,'Données projet'!$B$140,CT35+CS36-DB35)))</f>
        <v>71.028571428571425</v>
      </c>
      <c r="CU36" s="17">
        <f>CT36*VLOOKUP('Données projet'!$B$13,Paramètres!$A$1:$I$89,3,0)*VLOOKUP('Données projet'!$B$13,Paramètres!$A$1:$I$89,5,0)</f>
        <v>80.887337142857135</v>
      </c>
      <c r="CV36" s="13">
        <f t="shared" si="41"/>
        <v>22.354003192876164</v>
      </c>
      <c r="CW36" s="20">
        <f t="shared" si="13"/>
        <v>179.8120010847355</v>
      </c>
      <c r="CX36" s="59">
        <f t="shared" si="14"/>
        <v>473.14533441806884</v>
      </c>
      <c r="CY36" s="59">
        <f ca="1">AVERAGE(OFFSET($CX$3,0,0,'Données projet'!$E$13+1,1))-AVERAGE(OFFSET($H$3,0,0,'Données projet'!$E$13+1,1))</f>
        <v>330.87173217110126</v>
      </c>
      <c r="CZ36" s="59">
        <f t="shared" si="42"/>
        <v>200.52697135436102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2.6904761904761907</v>
      </c>
      <c r="N37" s="13">
        <f>IF('Données projet'!$A$36&gt;35,N36+M37-V36,IF(A37&lt;'Données projet'!$A$36,$K$205^A37,IF(A37='Données projet'!$A$36,'Données projet'!$B$36,N36+M37-V36)))</f>
        <v>91.476190476190467</v>
      </c>
      <c r="O37" s="13">
        <f>N37*VLOOKUP('Données projet'!$B$9,Paramètres!$A$1:$I$89,3,0)*VLOOKUP('Données projet'!$B$9,Paramètres!$A$1:$I$89,5,0)</f>
        <v>82.767657142857132</v>
      </c>
      <c r="P37" s="13">
        <f t="shared" si="33"/>
        <v>22.812545386734861</v>
      </c>
      <c r="Q37" s="20">
        <f t="shared" si="53"/>
        <v>183.88551940570605</v>
      </c>
      <c r="R37" s="59">
        <f t="shared" si="0"/>
        <v>477.21885273903933</v>
      </c>
      <c r="S37" s="59">
        <f ca="1">AVERAGE(OFFSET($R$3,0,0,'Données projet'!$E$9+1,1))-AVERAGE(OFFSET($H$3,0,0,'Données projet'!$E$9+1,1))</f>
        <v>328.8796193543036</v>
      </c>
      <c r="T37" s="59">
        <f t="shared" si="34"/>
        <v>199.43308683696642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11.934720000000004</v>
      </c>
      <c r="AI37" s="13">
        <f>IF('Données projet'!$A$62&gt;35,AI36+AH37-AQ36,IF(A37&lt;'Données projet'!$A$62,$AF$205^A37,IF(A37='Données projet'!$A$62,'Données projet'!$B$62,AI36+AH37-AQ36)))</f>
        <v>252.65097999999992</v>
      </c>
      <c r="AJ37" s="13">
        <f>AI37*VLOOKUP('Données projet'!$B$10,Paramètres!$A$1:$I$89,3,0)*VLOOKUP('Données projet'!$B$10,Paramètres!$A$1:$I$89,5,0)</f>
        <v>197.06776439999993</v>
      </c>
      <c r="AK37" s="13">
        <f t="shared" si="35"/>
        <v>49.099198198739913</v>
      </c>
      <c r="AL37" s="20">
        <f t="shared" si="4"/>
        <v>428.74079319280526</v>
      </c>
      <c r="AM37" s="59">
        <f t="shared" si="5"/>
        <v>722.07412652613857</v>
      </c>
      <c r="AN37" s="59">
        <f ca="1">AVERAGE(OFFSET($AM$3,0,0,'Données projet'!$E$10+1,1))-AVERAGE(OFFSET($H$3,0,0,'Données projet'!$E$10+1,1))</f>
        <v>351.77274930064431</v>
      </c>
      <c r="AO37" s="59">
        <f t="shared" si="36"/>
        <v>386.10758060007078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6.3082986561176089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6.3082986561176089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</v>
      </c>
      <c r="BE37" s="13">
        <f>BD37*VLOOKUP('Données projet'!$B$11,Paramètres!$A$1:$I$89,3,0)*VLOOKUP('Données projet'!$B$11,Paramètres!$A$1:$I$89,5,0)</f>
        <v>102.77279999999999</v>
      </c>
      <c r="BF37" s="13">
        <f t="shared" si="37"/>
        <v>27.621523727415045</v>
      </c>
      <c r="BG37" s="20">
        <f t="shared" si="7"/>
        <v>227.10344715858119</v>
      </c>
      <c r="BH37" s="59">
        <f t="shared" si="8"/>
        <v>520.43678049191453</v>
      </c>
      <c r="BI37" s="59">
        <f ca="1">AVERAGE(OFFSET($BH$3,0,0,'Données projet'!$E$11+1,1))-AVERAGE(OFFSET($H$3,0,0,'Données projet'!$E$11+1,1))</f>
        <v>438.62466697107681</v>
      </c>
      <c r="BJ37" s="59">
        <f t="shared" si="38"/>
        <v>241.18285512887627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206.79999999999995</v>
      </c>
      <c r="BZ37" s="13">
        <f>BY37*VLOOKUP('Données projet'!$B$12,Paramètres!$A$1:$I$89,3,0)*VLOOKUP('Données projet'!$B$12,Paramètres!$A$1:$I$89,5,0)</f>
        <v>118.28959999999998</v>
      </c>
      <c r="CA37" s="13">
        <f t="shared" si="39"/>
        <v>31.275743889514416</v>
      </c>
      <c r="CB37" s="20">
        <f t="shared" si="10"/>
        <v>260.49297394090422</v>
      </c>
      <c r="CC37" s="59">
        <f t="shared" si="11"/>
        <v>553.82630727423748</v>
      </c>
      <c r="CD37" s="59">
        <f ca="1">AVERAGE(OFFSET($CC$3,0,0,'Données projet'!$E$12+1,1))-AVERAGE(OFFSET($H$3,0,0,'Données projet'!$E$12+1,1))</f>
        <v>308.33000350259448</v>
      </c>
      <c r="CE37" s="59">
        <f t="shared" si="40"/>
        <v>282.64839194267171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16.56320970223285</v>
      </c>
      <c r="CM37" s="21">
        <f>EXP(-LN(2)/2)*CM36+(1-EXP(-LN(2)/2))/(LN(2)/2)*CG37*CJ37*VLOOKUP('Données projet'!$B$12,Paramètres!$A$1:$I$89,3,0)*0.475*44/12</f>
        <v>4.0376342667963208</v>
      </c>
      <c r="CN37" s="22">
        <f t="shared" si="12"/>
        <v>20.600843969029171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2.1523809523809527</v>
      </c>
      <c r="CT37" s="12">
        <f>IF('Données projet'!$A$140&gt;35,CT36+CS37-DB36,IF(A37&lt;'Données projet'!$A$140,$CQ$205^A37,IF(A37='Données projet'!$A$140,'Données projet'!$B$140,CT36+CS37-DB36)))</f>
        <v>73.180952380952377</v>
      </c>
      <c r="CU37" s="17">
        <f>CT37*VLOOKUP('Données projet'!$B$13,Paramètres!$A$1:$I$89,3,0)*VLOOKUP('Données projet'!$B$13,Paramètres!$A$1:$I$89,5,0)</f>
        <v>83.338468571428564</v>
      </c>
      <c r="CV37" s="13">
        <f t="shared" si="41"/>
        <v>22.951504663448226</v>
      </c>
      <c r="CW37" s="20">
        <f t="shared" si="13"/>
        <v>185.12170338407705</v>
      </c>
      <c r="CX37" s="59">
        <f t="shared" si="14"/>
        <v>478.45503671741039</v>
      </c>
      <c r="CY37" s="59">
        <f ca="1">AVERAGE(OFFSET($CX$3,0,0,'Données projet'!$E$13+1,1))-AVERAGE(OFFSET($H$3,0,0,'Données projet'!$E$13+1,1))</f>
        <v>330.87173217110126</v>
      </c>
      <c r="CZ37" s="59">
        <f t="shared" si="42"/>
        <v>200.52697135436102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2.6904761904761907</v>
      </c>
      <c r="N38" s="13">
        <f>IF('Données projet'!$A$36&gt;35,N37+M38-V37,IF(A38&lt;'Données projet'!$A$36,$K$205^A38,IF(A38='Données projet'!$A$36,'Données projet'!$B$36,N37+M38-V37)))</f>
        <v>94.166666666666657</v>
      </c>
      <c r="O38" s="13">
        <f>N38*VLOOKUP('Données projet'!$B$9,Paramètres!$A$1:$I$89,3,0)*VLOOKUP('Données projet'!$B$9,Paramètres!$A$1:$I$89,5,0)</f>
        <v>85.201999999999998</v>
      </c>
      <c r="P38" s="13">
        <f t="shared" si="33"/>
        <v>23.404399288552128</v>
      </c>
      <c r="Q38" s="20">
        <f t="shared" si="53"/>
        <v>189.1561454275616</v>
      </c>
      <c r="R38" s="59">
        <f t="shared" si="0"/>
        <v>482.48947876089494</v>
      </c>
      <c r="S38" s="59">
        <f ca="1">AVERAGE(OFFSET($R$3,0,0,'Données projet'!$E$9+1,1))-AVERAGE(OFFSET($H$3,0,0,'Données projet'!$E$9+1,1))</f>
        <v>328.8796193543036</v>
      </c>
      <c r="T38" s="59">
        <f t="shared" si="34"/>
        <v>199.43308683696642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264.58570000000003</v>
      </c>
      <c r="AG38" s="12">
        <f>VLOOKUP(A38,'Données projet'!$A$61:$I$81,9,0)</f>
        <v>11.934720000000004</v>
      </c>
      <c r="AH38" s="12">
        <f t="array" ref="AH38">INDEX(AG:AG,MIN(IF(ISNUMBER(AG38:AG234),ROW(AG38:AG234),"")))</f>
        <v>11.934720000000004</v>
      </c>
      <c r="AI38" s="13">
        <f>IF('Données projet'!$A$62&gt;35,AI37+AH38-AQ37,IF(A38&lt;'Données projet'!$A$62,$AF$205^A38,IF(A38='Données projet'!$A$62,'Données projet'!$B$62,AI37+AH38-AQ37)))</f>
        <v>264.58569999999992</v>
      </c>
      <c r="AJ38" s="13">
        <f>AI38*VLOOKUP('Données projet'!$B$10,Paramètres!$A$1:$I$89,3,0)*VLOOKUP('Données projet'!$B$10,Paramètres!$A$1:$I$89,5,0)</f>
        <v>206.37684599999994</v>
      </c>
      <c r="AK38" s="13">
        <f t="shared" si="35"/>
        <v>51.143035219344299</v>
      </c>
      <c r="AL38" s="20">
        <f t="shared" si="4"/>
        <v>448.51379312369119</v>
      </c>
      <c r="AM38" s="59">
        <f t="shared" si="5"/>
        <v>741.8471264570245</v>
      </c>
      <c r="AN38" s="59">
        <f ca="1">AVERAGE(OFFSET($AM$3,0,0,'Données projet'!$E$10+1,1))-AVERAGE(OFFSET($H$3,0,0,'Données projet'!$E$10+1,1))</f>
        <v>351.77274930064431</v>
      </c>
      <c r="AO38" s="59">
        <f t="shared" si="36"/>
        <v>386.10758060007078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44.097616666666674</v>
      </c>
      <c r="AR38" s="16">
        <f>IF(ISNA(VLOOKUP(A38,'Données projet'!$A$61:$I$81,5,0)),0%,VLOOKUP(A38,'Données projet'!$A$61:$I$81,5,0)*VLOOKUP('Données projet'!$B$10,Paramètres!$A$1:$I$89,7,0))</f>
        <v>0.30099999999999999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17.629795195920799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17.629795195920799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</v>
      </c>
      <c r="BE38" s="13">
        <f>BD38*VLOOKUP('Données projet'!$B$11,Paramètres!$A$1:$I$89,3,0)*VLOOKUP('Données projet'!$B$11,Paramètres!$A$1:$I$89,5,0)</f>
        <v>110.38560000000001</v>
      </c>
      <c r="BF38" s="13">
        <f t="shared" si="37"/>
        <v>29.421816429201407</v>
      </c>
      <c r="BG38" s="20">
        <f t="shared" si="7"/>
        <v>243.49791694752579</v>
      </c>
      <c r="BH38" s="59">
        <f t="shared" si="8"/>
        <v>536.83125028085908</v>
      </c>
      <c r="BI38" s="59">
        <f ca="1">AVERAGE(OFFSET($BH$3,0,0,'Données projet'!$E$11+1,1))-AVERAGE(OFFSET($H$3,0,0,'Données projet'!$E$11+1,1))</f>
        <v>438.62466697107681</v>
      </c>
      <c r="BJ38" s="59">
        <f t="shared" si="38"/>
        <v>241.18285512887627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222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221.99999999999994</v>
      </c>
      <c r="BZ38" s="13">
        <f>BY38*VLOOKUP('Données projet'!$B$12,Paramètres!$A$1:$I$89,3,0)*VLOOKUP('Données projet'!$B$12,Paramètres!$A$1:$I$89,5,0)</f>
        <v>126.98399999999998</v>
      </c>
      <c r="CA38" s="13">
        <f t="shared" si="39"/>
        <v>33.298501064557207</v>
      </c>
      <c r="CB38" s="20">
        <f t="shared" si="10"/>
        <v>279.15868935410373</v>
      </c>
      <c r="CC38" s="59">
        <f t="shared" si="11"/>
        <v>572.49202268743704</v>
      </c>
      <c r="CD38" s="59">
        <f ca="1">AVERAGE(OFFSET($CC$3,0,0,'Données projet'!$E$12+1,1))-AVERAGE(OFFSET($H$3,0,0,'Données projet'!$E$12+1,1))</f>
        <v>308.33000350259448</v>
      </c>
      <c r="CE38" s="59">
        <f t="shared" si="40"/>
        <v>282.64839194267171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0.315</v>
      </c>
      <c r="CI38" s="16">
        <f>IF(ISNA(VLOOKUP(A38,'Données projet'!$A$113:$I$133,6,0)),0%,VLOOKUP(A38,'Données projet'!$A$113:$I$133,6,0)*VLOOKUP('Données projet'!$B$12,Paramètres!$A$1:$I$89,7,0))</f>
        <v>7.5600000000000001E-2</v>
      </c>
      <c r="CJ38" s="16">
        <f>IF(ISNA(VLOOKUP(A38,'Données projet'!$A$113:$I$133,7,0)),0%,VLOOKUP(A38,'Données projet'!$A$113:$I$133,7,0))</f>
        <v>0.13200000000000001</v>
      </c>
      <c r="CK38" s="21">
        <f>EXP(-LN(2)/35)*CK37+(1-EXP(-LN(2)/35))/(LN(2)/35)*CG38*CH38*VLOOKUP('Données projet'!$B$12,Paramètres!$A$1:$I$89,3,0)*0.475*44/12</f>
        <v>10.038856110406046</v>
      </c>
      <c r="CL38" s="21">
        <f>EXP(-LN(2)/25)*CL37+(1-EXP(-LN(2)/25))/(LN(2)/25)*Calculateur!CG38*Calculateur!CI38*VLOOKUP('Données projet'!$B$12,Paramètres!$A$1:$I$89,3,0)*0.475*44/12</f>
        <v>18.510126896014825</v>
      </c>
      <c r="CM38" s="21">
        <f>EXP(-LN(2)/2)*CM37+(1-EXP(-LN(2)/2))/(LN(2)/2)*CG38*CJ38*VLOOKUP('Données projet'!$B$12,Paramètres!$A$1:$I$89,3,0)*0.475*44/12</f>
        <v>6.4455374004852608</v>
      </c>
      <c r="CN38" s="22">
        <f t="shared" si="12"/>
        <v>34.994520406906133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2.1523809523809527</v>
      </c>
      <c r="CT38" s="12">
        <f>IF('Données projet'!$A$140&gt;35,CT37+CS38-DB37,IF(A38&lt;'Données projet'!$A$140,$CQ$205^A38,IF(A38='Données projet'!$A$140,'Données projet'!$B$140,CT37+CS38-DB37)))</f>
        <v>75.333333333333329</v>
      </c>
      <c r="CU38" s="17">
        <f>CT38*VLOOKUP('Données projet'!$B$13,Paramètres!$A$1:$I$89,3,0)*VLOOKUP('Données projet'!$B$13,Paramètres!$A$1:$I$89,5,0)</f>
        <v>85.789599999999993</v>
      </c>
      <c r="CV38" s="13">
        <f t="shared" si="41"/>
        <v>23.546963756563628</v>
      </c>
      <c r="CW38" s="20">
        <f t="shared" si="13"/>
        <v>190.42784854268163</v>
      </c>
      <c r="CX38" s="59">
        <f t="shared" si="14"/>
        <v>483.76118187601492</v>
      </c>
      <c r="CY38" s="59">
        <f ca="1">AVERAGE(OFFSET($CX$3,0,0,'Données projet'!$E$13+1,1))-AVERAGE(OFFSET($H$3,0,0,'Données projet'!$E$13+1,1))</f>
        <v>330.87173217110126</v>
      </c>
      <c r="CZ38" s="59">
        <f t="shared" si="42"/>
        <v>200.52697135436102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2.6904761904761907</v>
      </c>
      <c r="N39" s="13">
        <f>IF('Données projet'!$A$36&gt;35,N38+M39-V38,IF(A39&lt;'Données projet'!$A$36,$K$205^A39,IF(A39='Données projet'!$A$36,'Données projet'!$B$36,N38+M39-V38)))</f>
        <v>96.857142857142847</v>
      </c>
      <c r="O39" s="13">
        <f>N39*VLOOKUP('Données projet'!$B$9,Paramètres!$A$1:$I$89,3,0)*VLOOKUP('Données projet'!$B$9,Paramètres!$A$1:$I$89,5,0)</f>
        <v>87.63634285714285</v>
      </c>
      <c r="P39" s="13">
        <f t="shared" si="33"/>
        <v>23.994287840288255</v>
      </c>
      <c r="Q39" s="20">
        <f t="shared" si="53"/>
        <v>194.42334846469248</v>
      </c>
      <c r="R39" s="59">
        <f t="shared" si="0"/>
        <v>487.7566817980258</v>
      </c>
      <c r="S39" s="59">
        <f ca="1">AVERAGE(OFFSET($R$3,0,0,'Données projet'!$E$9+1,1))-AVERAGE(OFFSET($H$3,0,0,'Données projet'!$E$9+1,1))</f>
        <v>328.8796193543036</v>
      </c>
      <c r="T39" s="59">
        <f t="shared" si="34"/>
        <v>199.43308683696642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14.406720000000007</v>
      </c>
      <c r="AI39" s="13">
        <f>IF('Données projet'!$A$62&gt;35,AI38+AH39-AQ38,IF(A39&lt;'Données projet'!$A$62,$AF$205^A39,IF(A39='Données projet'!$A$62,'Données projet'!$B$62,AI38+AH39-AQ38)))</f>
        <v>234.89480333333324</v>
      </c>
      <c r="AJ39" s="13">
        <f>AI39*VLOOKUP('Données projet'!$B$10,Paramètres!$A$1:$I$89,3,0)*VLOOKUP('Données projet'!$B$10,Paramètres!$A$1:$I$89,5,0)</f>
        <v>183.21794659999995</v>
      </c>
      <c r="AK39" s="13">
        <f t="shared" si="35"/>
        <v>46.037380000035135</v>
      </c>
      <c r="AL39" s="20">
        <f t="shared" si="4"/>
        <v>399.28636049506116</v>
      </c>
      <c r="AM39" s="59">
        <f t="shared" si="5"/>
        <v>692.61969382839447</v>
      </c>
      <c r="AN39" s="59">
        <f ca="1">AVERAGE(OFFSET($AM$3,0,0,'Données projet'!$E$10+1,1))-AVERAGE(OFFSET($H$3,0,0,'Données projet'!$E$10+1,1))</f>
        <v>351.77274930064431</v>
      </c>
      <c r="AO39" s="59">
        <f t="shared" si="36"/>
        <v>386.10758060007078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17.284085665242081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17.284085665242081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</v>
      </c>
      <c r="BE39" s="13">
        <f>BD39*VLOOKUP('Données projet'!$B$11,Paramètres!$A$1:$I$89,3,0)*VLOOKUP('Données projet'!$B$11,Paramètres!$A$1:$I$89,5,0)</f>
        <v>98.395440000000008</v>
      </c>
      <c r="BF39" s="13">
        <f t="shared" si="37"/>
        <v>26.57937412584554</v>
      </c>
      <c r="BG39" s="20">
        <f t="shared" si="7"/>
        <v>217.66446793584763</v>
      </c>
      <c r="BH39" s="59">
        <f t="shared" si="8"/>
        <v>510.99780126918097</v>
      </c>
      <c r="BI39" s="59">
        <f ca="1">AVERAGE(OFFSET($BH$3,0,0,'Données projet'!$E$11+1,1))-AVERAGE(OFFSET($H$3,0,0,'Données projet'!$E$11+1,1))</f>
        <v>438.62466697107681</v>
      </c>
      <c r="BJ39" s="59">
        <f t="shared" si="38"/>
        <v>241.18285512887627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194.39999999999995</v>
      </c>
      <c r="BZ39" s="13">
        <f>BY39*VLOOKUP('Données projet'!$B$12,Paramètres!$A$1:$I$89,3,0)*VLOOKUP('Données projet'!$B$12,Paramètres!$A$1:$I$89,5,0)</f>
        <v>111.19679999999997</v>
      </c>
      <c r="CA39" s="13">
        <f t="shared" si="39"/>
        <v>29.612782154697133</v>
      </c>
      <c r="CB39" s="20">
        <f t="shared" si="10"/>
        <v>245.24335558609744</v>
      </c>
      <c r="CC39" s="59">
        <f t="shared" si="11"/>
        <v>538.57668891943081</v>
      </c>
      <c r="CD39" s="59">
        <f ca="1">AVERAGE(OFFSET($CC$3,0,0,'Données projet'!$E$12+1,1))-AVERAGE(OFFSET($H$3,0,0,'Données projet'!$E$12+1,1))</f>
        <v>308.33000350259448</v>
      </c>
      <c r="CE39" s="59">
        <f t="shared" si="40"/>
        <v>282.64839194267171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9.8420002651786049</v>
      </c>
      <c r="CL39" s="21">
        <f>EXP(-LN(2)/25)*CL38+(1-EXP(-LN(2)/25))/(LN(2)/25)*Calculateur!CG39*Calculateur!CI39*VLOOKUP('Données projet'!$B$12,Paramètres!$A$1:$I$89,3,0)*0.475*44/12</f>
        <v>18.003966502638033</v>
      </c>
      <c r="CM39" s="21">
        <f>EXP(-LN(2)/2)*CM38+(1-EXP(-LN(2)/2))/(LN(2)/2)*CG39*CJ39*VLOOKUP('Données projet'!$B$12,Paramètres!$A$1:$I$89,3,0)*0.475*44/12</f>
        <v>4.5576832042746398</v>
      </c>
      <c r="CN39" s="22">
        <f t="shared" si="12"/>
        <v>32.40364997209128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2.1523809523809527</v>
      </c>
      <c r="CT39" s="12">
        <f>IF('Données projet'!$A$140&gt;35,CT38+CS39-DB38,IF(A39&lt;'Données projet'!$A$140,$CQ$205^A39,IF(A39='Données projet'!$A$140,'Données projet'!$B$140,CT38+CS39-DB38)))</f>
        <v>77.48571428571428</v>
      </c>
      <c r="CU39" s="17">
        <f>CT39*VLOOKUP('Données projet'!$B$13,Paramètres!$A$1:$I$89,3,0)*VLOOKUP('Données projet'!$B$13,Paramètres!$A$1:$I$89,5,0)</f>
        <v>88.240731428571422</v>
      </c>
      <c r="CV39" s="13">
        <f t="shared" si="41"/>
        <v>24.140445527955908</v>
      </c>
      <c r="CW39" s="20">
        <f t="shared" si="13"/>
        <v>195.73054986595176</v>
      </c>
      <c r="CX39" s="59">
        <f t="shared" si="14"/>
        <v>489.0638831992851</v>
      </c>
      <c r="CY39" s="59">
        <f ca="1">AVERAGE(OFFSET($CX$3,0,0,'Données projet'!$E$13+1,1))-AVERAGE(OFFSET($H$3,0,0,'Données projet'!$E$13+1,1))</f>
        <v>330.87173217110126</v>
      </c>
      <c r="CZ39" s="59">
        <f t="shared" si="42"/>
        <v>200.52697135436102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2.6904761904761907</v>
      </c>
      <c r="N40" s="13">
        <f>IF('Données projet'!$A$36&gt;35,N39+M40-V39,IF(A40&lt;'Données projet'!$A$36,$K$205^A40,IF(A40='Données projet'!$A$36,'Données projet'!$B$36,N39+M40-V39)))</f>
        <v>99.547619047619037</v>
      </c>
      <c r="O40" s="13">
        <f>N40*VLOOKUP('Données projet'!$B$9,Paramètres!$A$1:$I$89,3,0)*VLOOKUP('Données projet'!$B$9,Paramètres!$A$1:$I$89,5,0)</f>
        <v>90.070685714285702</v>
      </c>
      <c r="P40" s="13">
        <f t="shared" si="33"/>
        <v>24.582271907062804</v>
      </c>
      <c r="Q40" s="20">
        <f t="shared" si="53"/>
        <v>199.68723452384862</v>
      </c>
      <c r="R40" s="59">
        <f t="shared" si="0"/>
        <v>493.02056785718196</v>
      </c>
      <c r="S40" s="59">
        <f ca="1">AVERAGE(OFFSET($R$3,0,0,'Données projet'!$E$9+1,1))-AVERAGE(OFFSET($H$3,0,0,'Données projet'!$E$9+1,1))</f>
        <v>328.8796193543036</v>
      </c>
      <c r="T40" s="59">
        <f t="shared" si="34"/>
        <v>199.43308683696642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14.406720000000007</v>
      </c>
      <c r="AI40" s="13">
        <f>IF('Données projet'!$A$62&gt;35,AI39+AH40-AQ39,IF(A40&lt;'Données projet'!$A$62,$AF$205^A40,IF(A40='Données projet'!$A$62,'Données projet'!$B$62,AI39+AH40-AQ39)))</f>
        <v>249.30152333333325</v>
      </c>
      <c r="AJ40" s="13">
        <f>AI40*VLOOKUP('Données projet'!$B$10,Paramètres!$A$1:$I$89,3,0)*VLOOKUP('Données projet'!$B$10,Paramètres!$A$1:$I$89,5,0)</f>
        <v>194.45518819999995</v>
      </c>
      <c r="AK40" s="13">
        <f t="shared" si="35"/>
        <v>48.523599097222707</v>
      </c>
      <c r="AL40" s="20">
        <f t="shared" si="4"/>
        <v>423.18805454266277</v>
      </c>
      <c r="AM40" s="59">
        <f t="shared" si="5"/>
        <v>716.52138787599608</v>
      </c>
      <c r="AN40" s="59">
        <f ca="1">AVERAGE(OFFSET($AM$3,0,0,'Données projet'!$E$10+1,1))-AVERAGE(OFFSET($H$3,0,0,'Données projet'!$E$10+1,1))</f>
        <v>351.77274930064431</v>
      </c>
      <c r="AO40" s="59">
        <f t="shared" si="36"/>
        <v>386.10758060007078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16.945155287597977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16.945155287597977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111.80000000000001</v>
      </c>
      <c r="BE40" s="13">
        <f>BD40*VLOOKUP('Données projet'!$B$11,Paramètres!$A$1:$I$89,3,0)*VLOOKUP('Données projet'!$B$11,Paramètres!$A$1:$I$89,5,0)</f>
        <v>106.38888000000001</v>
      </c>
      <c r="BF40" s="13">
        <f t="shared" si="37"/>
        <v>28.478530760975403</v>
      </c>
      <c r="BG40" s="20">
        <f t="shared" si="7"/>
        <v>234.89407374203219</v>
      </c>
      <c r="BH40" s="59">
        <f t="shared" si="8"/>
        <v>528.22740707536548</v>
      </c>
      <c r="BI40" s="59">
        <f ca="1">AVERAGE(OFFSET($BH$3,0,0,'Données projet'!$E$11+1,1))-AVERAGE(OFFSET($H$3,0,0,'Données projet'!$E$11+1,1))</f>
        <v>438.62466697107681</v>
      </c>
      <c r="BJ40" s="59">
        <f t="shared" si="38"/>
        <v>241.18285512887627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208.79999999999995</v>
      </c>
      <c r="BZ40" s="13">
        <f>BY40*VLOOKUP('Données projet'!$B$12,Paramètres!$A$1:$I$89,3,0)*VLOOKUP('Données projet'!$B$12,Paramètres!$A$1:$I$89,5,0)</f>
        <v>119.43359999999998</v>
      </c>
      <c r="CA40" s="13">
        <f t="shared" si="39"/>
        <v>31.54285944220668</v>
      </c>
      <c r="CB40" s="20">
        <f t="shared" si="10"/>
        <v>262.95066686184327</v>
      </c>
      <c r="CC40" s="59">
        <f t="shared" si="11"/>
        <v>556.28400019517653</v>
      </c>
      <c r="CD40" s="59">
        <f ca="1">AVERAGE(OFFSET($CC$3,0,0,'Données projet'!$E$12+1,1))-AVERAGE(OFFSET($H$3,0,0,'Données projet'!$E$12+1,1))</f>
        <v>308.33000350259448</v>
      </c>
      <c r="CE40" s="59">
        <f t="shared" si="40"/>
        <v>282.64839194267171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9.6490046430058651</v>
      </c>
      <c r="CL40" s="21">
        <f>EXP(-LN(2)/25)*CL39+(1-EXP(-LN(2)/25))/(LN(2)/25)*Calculateur!CG40*Calculateur!CI40*VLOOKUP('Données projet'!$B$12,Paramètres!$A$1:$I$89,3,0)*0.475*44/12</f>
        <v>17.511647091835947</v>
      </c>
      <c r="CM40" s="21">
        <f>EXP(-LN(2)/2)*CM39+(1-EXP(-LN(2)/2))/(LN(2)/2)*CG40*CJ40*VLOOKUP('Données projet'!$B$12,Paramètres!$A$1:$I$89,3,0)*0.475*44/12</f>
        <v>3.2227687002426308</v>
      </c>
      <c r="CN40" s="22">
        <f t="shared" si="12"/>
        <v>30.383420435084446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2.1523809523809527</v>
      </c>
      <c r="CT40" s="12">
        <f>IF('Données projet'!$A$140&gt;35,CT39+CS40-DB39,IF(A40&lt;'Données projet'!$A$140,$CQ$205^A40,IF(A40='Données projet'!$A$140,'Données projet'!$B$140,CT39+CS40-DB39)))</f>
        <v>79.638095238095232</v>
      </c>
      <c r="CU40" s="17">
        <f>CT40*VLOOKUP('Données projet'!$B$13,Paramètres!$A$1:$I$89,3,0)*VLOOKUP('Données projet'!$B$13,Paramètres!$A$1:$I$89,5,0)</f>
        <v>90.691862857142851</v>
      </c>
      <c r="CV40" s="13">
        <f t="shared" si="41"/>
        <v>24.732011213495618</v>
      </c>
      <c r="CW40" s="20">
        <f t="shared" si="13"/>
        <v>201.02991400636199</v>
      </c>
      <c r="CX40" s="59">
        <f t="shared" si="14"/>
        <v>494.36324733969531</v>
      </c>
      <c r="CY40" s="59">
        <f ca="1">AVERAGE(OFFSET($CX$3,0,0,'Données projet'!$E$13+1,1))-AVERAGE(OFFSET($H$3,0,0,'Données projet'!$E$13+1,1))</f>
        <v>330.87173217110126</v>
      </c>
      <c r="CZ40" s="59">
        <f t="shared" si="42"/>
        <v>200.52697135436102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2.6904761904761907</v>
      </c>
      <c r="N41" s="13">
        <f>IF('Données projet'!$A$36&gt;35,N40+M41-V40,IF(A41&lt;'Données projet'!$A$36,$K$205^A41,IF(A41='Données projet'!$A$36,'Données projet'!$B$36,N40+M41-V40)))</f>
        <v>102.23809523809523</v>
      </c>
      <c r="O41" s="13">
        <f>N41*VLOOKUP('Données projet'!$B$9,Paramètres!$A$1:$I$89,3,0)*VLOOKUP('Données projet'!$B$9,Paramètres!$A$1:$I$89,5,0)</f>
        <v>92.505028571428554</v>
      </c>
      <c r="P41" s="13">
        <f t="shared" si="33"/>
        <v>25.168408876702141</v>
      </c>
      <c r="Q41" s="20">
        <f t="shared" si="53"/>
        <v>204.94790355549432</v>
      </c>
      <c r="R41" s="59">
        <f t="shared" si="0"/>
        <v>498.28123688882761</v>
      </c>
      <c r="S41" s="59">
        <f ca="1">AVERAGE(OFFSET($R$3,0,0,'Données projet'!$E$9+1,1))-AVERAGE(OFFSET($H$3,0,0,'Données projet'!$E$9+1,1))</f>
        <v>328.8796193543036</v>
      </c>
      <c r="T41" s="59">
        <f t="shared" si="34"/>
        <v>199.43308683696642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14.406720000000007</v>
      </c>
      <c r="AI41" s="13">
        <f>IF('Données projet'!$A$62&gt;35,AI40+AH41-AQ40,IF(A41&lt;'Données projet'!$A$62,$AF$205^A41,IF(A41='Données projet'!$A$62,'Données projet'!$B$62,AI40+AH41-AQ40)))</f>
        <v>263.70824333333326</v>
      </c>
      <c r="AJ41" s="13">
        <f>AI41*VLOOKUP('Données projet'!$B$10,Paramètres!$A$1:$I$89,3,0)*VLOOKUP('Données projet'!$B$10,Paramètres!$A$1:$I$89,5,0)</f>
        <v>205.69242979999996</v>
      </c>
      <c r="AK41" s="13">
        <f t="shared" si="35"/>
        <v>50.993140810088434</v>
      </c>
      <c r="AL41" s="20">
        <f t="shared" si="4"/>
        <v>447.06070214590392</v>
      </c>
      <c r="AM41" s="59">
        <f t="shared" si="5"/>
        <v>740.39403547923723</v>
      </c>
      <c r="AN41" s="59">
        <f ca="1">AVERAGE(OFFSET($AM$3,0,0,'Données projet'!$E$10+1,1))-AVERAGE(OFFSET($H$3,0,0,'Données projet'!$E$10+1,1))</f>
        <v>351.77274930064431</v>
      </c>
      <c r="AO41" s="59">
        <f t="shared" si="36"/>
        <v>386.10758060007078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16.612871127932358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16.612871127932358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120.20000000000002</v>
      </c>
      <c r="BE41" s="13">
        <f>BD41*VLOOKUP('Données projet'!$B$11,Paramètres!$A$1:$I$89,3,0)*VLOOKUP('Données projet'!$B$11,Paramètres!$A$1:$I$89,5,0)</f>
        <v>114.38232000000001</v>
      </c>
      <c r="BF41" s="13">
        <f t="shared" si="37"/>
        <v>30.361134085955022</v>
      </c>
      <c r="BG41" s="20">
        <f t="shared" si="7"/>
        <v>252.09484919970498</v>
      </c>
      <c r="BH41" s="59">
        <f t="shared" si="8"/>
        <v>545.42818253303835</v>
      </c>
      <c r="BI41" s="59">
        <f ca="1">AVERAGE(OFFSET($BH$3,0,0,'Données projet'!$E$11+1,1))-AVERAGE(OFFSET($H$3,0,0,'Données projet'!$E$11+1,1))</f>
        <v>438.62466697107681</v>
      </c>
      <c r="BJ41" s="59">
        <f t="shared" si="38"/>
        <v>241.18285512887627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223.19999999999996</v>
      </c>
      <c r="BZ41" s="13">
        <f>BY41*VLOOKUP('Données projet'!$B$12,Paramètres!$A$1:$I$89,3,0)*VLOOKUP('Données projet'!$B$12,Paramètres!$A$1:$I$89,5,0)</f>
        <v>127.67039999999999</v>
      </c>
      <c r="CA41" s="13">
        <f t="shared" si="39"/>
        <v>33.457491972285482</v>
      </c>
      <c r="CB41" s="20">
        <f t="shared" si="10"/>
        <v>280.63107851839715</v>
      </c>
      <c r="CC41" s="59">
        <f t="shared" si="11"/>
        <v>573.96441185173046</v>
      </c>
      <c r="CD41" s="59">
        <f ca="1">AVERAGE(OFFSET($CC$3,0,0,'Données projet'!$E$12+1,1))-AVERAGE(OFFSET($H$3,0,0,'Données projet'!$E$12+1,1))</f>
        <v>308.33000350259448</v>
      </c>
      <c r="CE41" s="59">
        <f t="shared" si="40"/>
        <v>282.64839194267171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9.4597935472682266</v>
      </c>
      <c r="CL41" s="21">
        <f>EXP(-LN(2)/25)*CL40+(1-EXP(-LN(2)/25))/(LN(2)/25)*Calculateur!CG41*Calculateur!CI41*VLOOKUP('Données projet'!$B$12,Paramètres!$A$1:$I$89,3,0)*0.475*44/12</f>
        <v>17.032790181212196</v>
      </c>
      <c r="CM41" s="21">
        <f>EXP(-LN(2)/2)*CM40+(1-EXP(-LN(2)/2))/(LN(2)/2)*CG41*CJ41*VLOOKUP('Données projet'!$B$12,Paramètres!$A$1:$I$89,3,0)*0.475*44/12</f>
        <v>2.2788416021373203</v>
      </c>
      <c r="CN41" s="22">
        <f t="shared" si="12"/>
        <v>28.771425330617742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2.1523809523809527</v>
      </c>
      <c r="CT41" s="12">
        <f>IF('Données projet'!$A$140&gt;35,CT40+CS41-DB40,IF(A41&lt;'Données projet'!$A$140,$CQ$205^A41,IF(A41='Données projet'!$A$140,'Données projet'!$B$140,CT40+CS41-DB40)))</f>
        <v>81.790476190476184</v>
      </c>
      <c r="CU41" s="17">
        <f>CT41*VLOOKUP('Données projet'!$B$13,Paramètres!$A$1:$I$89,3,0)*VLOOKUP('Données projet'!$B$13,Paramètres!$A$1:$I$89,5,0)</f>
        <v>93.142994285714281</v>
      </c>
      <c r="CV41" s="13">
        <f t="shared" si="41"/>
        <v>25.321718550578634</v>
      </c>
      <c r="CW41" s="20">
        <f t="shared" si="13"/>
        <v>206.32604152321014</v>
      </c>
      <c r="CX41" s="59">
        <f t="shared" si="14"/>
        <v>499.65937485654342</v>
      </c>
      <c r="CY41" s="59">
        <f ca="1">AVERAGE(OFFSET($CX$3,0,0,'Données projet'!$E$13+1,1))-AVERAGE(OFFSET($H$3,0,0,'Données projet'!$E$13+1,1))</f>
        <v>330.87173217110126</v>
      </c>
      <c r="CZ41" s="59">
        <f t="shared" si="42"/>
        <v>200.52697135436102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2.6904761904761907</v>
      </c>
      <c r="N42" s="13">
        <f>IF('Données projet'!$A$36&gt;35,N41+M42-V41,IF(A42&lt;'Données projet'!$A$36,$K$205^A42,IF(A42='Données projet'!$A$36,'Données projet'!$B$36,N41+M42-V41)))</f>
        <v>104.92857142857142</v>
      </c>
      <c r="O42" s="13">
        <f>N42*VLOOKUP('Données projet'!$B$9,Paramètres!$A$1:$I$89,3,0)*VLOOKUP('Données projet'!$B$9,Paramètres!$A$1:$I$89,5,0)</f>
        <v>94.939371428571405</v>
      </c>
      <c r="P42" s="13">
        <f t="shared" si="33"/>
        <v>25.752752944610702</v>
      </c>
      <c r="Q42" s="20">
        <f t="shared" si="53"/>
        <v>210.20544994995885</v>
      </c>
      <c r="R42" s="59">
        <f t="shared" si="0"/>
        <v>503.53878328329216</v>
      </c>
      <c r="S42" s="59">
        <f ca="1">AVERAGE(OFFSET($R$3,0,0,'Données projet'!$E$9+1,1))-AVERAGE(OFFSET($H$3,0,0,'Données projet'!$E$9+1,1))</f>
        <v>328.8796193543036</v>
      </c>
      <c r="T42" s="59">
        <f t="shared" si="34"/>
        <v>199.43308683696642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14.406720000000007</v>
      </c>
      <c r="AI42" s="13">
        <f>IF('Données projet'!$A$62&gt;35,AI41+AH42-AQ41,IF(A42&lt;'Données projet'!$A$62,$AF$205^A42,IF(A42='Données projet'!$A$62,'Données projet'!$B$62,AI41+AH42-AQ41)))</f>
        <v>278.11496333333326</v>
      </c>
      <c r="AJ42" s="13">
        <f>AI42*VLOOKUP('Données projet'!$B$10,Paramètres!$A$1:$I$89,3,0)*VLOOKUP('Données projet'!$B$10,Paramètres!$A$1:$I$89,5,0)</f>
        <v>216.92967139999996</v>
      </c>
      <c r="AK42" s="13">
        <f t="shared" si="35"/>
        <v>53.447020107709122</v>
      </c>
      <c r="AL42" s="20">
        <f t="shared" si="4"/>
        <v>470.90607104259328</v>
      </c>
      <c r="AM42" s="59">
        <f t="shared" si="5"/>
        <v>764.2394043759266</v>
      </c>
      <c r="AN42" s="59">
        <f ca="1">AVERAGE(OFFSET($AM$3,0,0,'Données projet'!$E$10+1,1))-AVERAGE(OFFSET($H$3,0,0,'Données projet'!$E$10+1,1))</f>
        <v>351.77274930064431</v>
      </c>
      <c r="AO42" s="59">
        <f t="shared" si="36"/>
        <v>386.10758060007078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16.287102857964456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16.287102857964456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122.37576000000003</v>
      </c>
      <c r="BF42" s="13">
        <f t="shared" si="37"/>
        <v>32.22847248868726</v>
      </c>
      <c r="BG42" s="20">
        <f t="shared" si="7"/>
        <v>269.26903825113033</v>
      </c>
      <c r="BH42" s="59">
        <f t="shared" si="8"/>
        <v>562.60237158446364</v>
      </c>
      <c r="BI42" s="59">
        <f ca="1">AVERAGE(OFFSET($BH$3,0,0,'Données projet'!$E$11+1,1))-AVERAGE(OFFSET($H$3,0,0,'Données projet'!$E$11+1,1))</f>
        <v>438.62466697107681</v>
      </c>
      <c r="BJ42" s="59">
        <f t="shared" si="38"/>
        <v>241.18285512887627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237.59999999999997</v>
      </c>
      <c r="BZ42" s="13">
        <f>BY42*VLOOKUP('Données projet'!$B$12,Paramètres!$A$1:$I$89,3,0)*VLOOKUP('Données projet'!$B$12,Paramètres!$A$1:$I$89,5,0)</f>
        <v>135.90719999999999</v>
      </c>
      <c r="CA42" s="13">
        <f t="shared" si="39"/>
        <v>35.357789588547313</v>
      </c>
      <c r="CB42" s="20">
        <f t="shared" si="10"/>
        <v>298.28652353338651</v>
      </c>
      <c r="CC42" s="59">
        <f t="shared" si="11"/>
        <v>591.61985686671983</v>
      </c>
      <c r="CD42" s="59">
        <f ca="1">AVERAGE(OFFSET($CC$3,0,0,'Données projet'!$E$12+1,1))-AVERAGE(OFFSET($H$3,0,0,'Données projet'!$E$12+1,1))</f>
        <v>308.33000350259448</v>
      </c>
      <c r="CE42" s="59">
        <f t="shared" si="40"/>
        <v>282.64839194267171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9.27429276571063</v>
      </c>
      <c r="CL42" s="21">
        <f>EXP(-LN(2)/25)*CL41+(1-EXP(-LN(2)/25))/(LN(2)/25)*Calculateur!CG42*Calculateur!CI42*VLOOKUP('Données projet'!$B$12,Paramètres!$A$1:$I$89,3,0)*0.475*44/12</f>
        <v>16.567027637991441</v>
      </c>
      <c r="CM42" s="21">
        <f>EXP(-LN(2)/2)*CM41+(1-EXP(-LN(2)/2))/(LN(2)/2)*CG42*CJ42*VLOOKUP('Données projet'!$B$12,Paramètres!$A$1:$I$89,3,0)*0.475*44/12</f>
        <v>1.6113843501213156</v>
      </c>
      <c r="CN42" s="22">
        <f t="shared" si="12"/>
        <v>27.452704753823387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2.1523809523809527</v>
      </c>
      <c r="CT42" s="12">
        <f>IF('Données projet'!$A$140&gt;35,CT41+CS42-DB41,IF(A42&lt;'Données projet'!$A$140,$CQ$205^A42,IF(A42='Données projet'!$A$140,'Données projet'!$B$140,CT41+CS42-DB41)))</f>
        <v>83.942857142857136</v>
      </c>
      <c r="CU42" s="17">
        <f>CT42*VLOOKUP('Données projet'!$B$13,Paramètres!$A$1:$I$89,3,0)*VLOOKUP('Données projet'!$B$13,Paramètres!$A$1:$I$89,5,0)</f>
        <v>95.59412571428571</v>
      </c>
      <c r="CV42" s="13">
        <f t="shared" si="41"/>
        <v>25.909622064732773</v>
      </c>
      <c r="CW42" s="20">
        <f t="shared" si="13"/>
        <v>211.61902738179052</v>
      </c>
      <c r="CX42" s="59">
        <f t="shared" si="14"/>
        <v>504.95236071512386</v>
      </c>
      <c r="CY42" s="59">
        <f ca="1">AVERAGE(OFFSET($CX$3,0,0,'Données projet'!$E$13+1,1))-AVERAGE(OFFSET($H$3,0,0,'Données projet'!$E$13+1,1))</f>
        <v>330.87173217110126</v>
      </c>
      <c r="CZ42" s="59">
        <f t="shared" si="42"/>
        <v>200.52697135436102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2.6904761904761907</v>
      </c>
      <c r="N43" s="13">
        <f>IF('Données projet'!$A$36&gt;35,N42+M43-V42,IF(A43&lt;'Données projet'!$A$36,$K$205^A43,IF(A43='Données projet'!$A$36,'Données projet'!$B$36,N42+M43-V42)))</f>
        <v>107.61904761904761</v>
      </c>
      <c r="O43" s="13">
        <f>N43*VLOOKUP('Données projet'!$B$9,Paramètres!$A$1:$I$89,3,0)*VLOOKUP('Données projet'!$B$9,Paramètres!$A$1:$I$89,5,0)</f>
        <v>97.373714285714271</v>
      </c>
      <c r="P43" s="13">
        <f t="shared" si="33"/>
        <v>26.335355368602432</v>
      </c>
      <c r="Q43" s="20">
        <f t="shared" si="53"/>
        <v>215.45996298126826</v>
      </c>
      <c r="R43" s="59">
        <f t="shared" si="0"/>
        <v>508.79329631460155</v>
      </c>
      <c r="S43" s="59">
        <f ca="1">AVERAGE(OFFSET($R$3,0,0,'Données projet'!$E$9+1,1))-AVERAGE(OFFSET($H$3,0,0,'Données projet'!$E$9+1,1))</f>
        <v>328.8796193543036</v>
      </c>
      <c r="T43" s="59">
        <f t="shared" si="34"/>
        <v>199.43308683696642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14.406720000000007</v>
      </c>
      <c r="AI43" s="13">
        <f>IF('Données projet'!$A$62&gt;35,AI42+AH43-AQ42,IF(A43&lt;'Données projet'!$A$62,$AF$205^A43,IF(A43='Données projet'!$A$62,'Données projet'!$B$62,AI42+AH43-AQ42)))</f>
        <v>292.52168333333327</v>
      </c>
      <c r="AJ43" s="13">
        <f>AI43*VLOOKUP('Données projet'!$B$10,Paramètres!$A$1:$I$89,3,0)*VLOOKUP('Données projet'!$B$10,Paramètres!$A$1:$I$89,5,0)</f>
        <v>228.16691299999997</v>
      </c>
      <c r="AK43" s="13">
        <f t="shared" si="35"/>
        <v>55.886140866435042</v>
      </c>
      <c r="AL43" s="20">
        <f t="shared" si="4"/>
        <v>494.72573548404097</v>
      </c>
      <c r="AM43" s="59">
        <f t="shared" si="5"/>
        <v>788.05906881737428</v>
      </c>
      <c r="AN43" s="59">
        <f ca="1">AVERAGE(OFFSET($AM$3,0,0,'Données projet'!$E$10+1,1))-AVERAGE(OFFSET($H$3,0,0,'Données projet'!$E$10+1,1))</f>
        <v>351.77274930064431</v>
      </c>
      <c r="AO43" s="59">
        <f t="shared" si="36"/>
        <v>386.10758060007078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15.9677227050716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15.9677227050716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130.36920000000003</v>
      </c>
      <c r="BF43" s="13">
        <f t="shared" si="37"/>
        <v>34.081656526320486</v>
      </c>
      <c r="BG43" s="20">
        <f t="shared" si="7"/>
        <v>286.4185751166749</v>
      </c>
      <c r="BH43" s="59">
        <f t="shared" si="8"/>
        <v>579.75190845000816</v>
      </c>
      <c r="BI43" s="59">
        <f ca="1">AVERAGE(OFFSET($BH$3,0,0,'Données projet'!$E$11+1,1))-AVERAGE(OFFSET($H$3,0,0,'Données projet'!$E$11+1,1))</f>
        <v>438.62466697107681</v>
      </c>
      <c r="BJ43" s="59">
        <f t="shared" si="38"/>
        <v>241.18285512887627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252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251.99999999999997</v>
      </c>
      <c r="BZ43" s="13">
        <f>BY43*VLOOKUP('Données projet'!$B$12,Paramètres!$A$1:$I$89,3,0)*VLOOKUP('Données projet'!$B$12,Paramètres!$A$1:$I$89,5,0)</f>
        <v>144.14399999999998</v>
      </c>
      <c r="CA43" s="13">
        <f t="shared" si="39"/>
        <v>37.244720006976252</v>
      </c>
      <c r="CB43" s="20">
        <f t="shared" si="10"/>
        <v>315.91868734548359</v>
      </c>
      <c r="CC43" s="59">
        <f t="shared" si="11"/>
        <v>609.25202067881696</v>
      </c>
      <c r="CD43" s="59">
        <f ca="1">AVERAGE(OFFSET($CC$3,0,0,'Données projet'!$E$12+1,1))-AVERAGE(OFFSET($H$3,0,0,'Données projet'!$E$12+1,1))</f>
        <v>308.33000350259448</v>
      </c>
      <c r="CE43" s="59">
        <f t="shared" si="40"/>
        <v>282.64839194267171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38</v>
      </c>
      <c r="CH43" s="16">
        <f>IF(ISNA(VLOOKUP(A43,'Données projet'!$A$113:$I$133,5,0)),0%,VLOOKUP(A43,'Données projet'!$A$113:$I$133,5,0)*VLOOKUP('Données projet'!$B$12,Paramètres!$A$1:$I$89,7,0))</f>
        <v>0.315</v>
      </c>
      <c r="CI43" s="16">
        <f>IF(ISNA(VLOOKUP(A43,'Données projet'!$A$113:$I$133,6,0)),0%,VLOOKUP(A43,'Données projet'!$A$113:$I$133,6,0)*VLOOKUP('Données projet'!$B$12,Paramètres!$A$1:$I$89,7,0))</f>
        <v>7.5600000000000001E-2</v>
      </c>
      <c r="CJ43" s="16">
        <f>IF(ISNA(VLOOKUP(A43,'Données projet'!$A$113:$I$133,7,0)),0%,VLOOKUP(A43,'Données projet'!$A$113:$I$133,7,0))</f>
        <v>0.13200000000000001</v>
      </c>
      <c r="CK43" s="21">
        <f>EXP(-LN(2)/35)*CK42+(1-EXP(-LN(2)/35))/(LN(2)/35)*CG43*CH43*VLOOKUP('Données projet'!$B$12,Paramètres!$A$1:$I$89,3,0)*0.475*44/12</f>
        <v>18.175204117416733</v>
      </c>
      <c r="CL43" s="21">
        <f>EXP(-LN(2)/25)*CL42+(1-EXP(-LN(2)/25))/(LN(2)/25)*Calculateur!CG43*Calculateur!CI43*VLOOKUP('Données projet'!$B$12,Paramètres!$A$1:$I$89,3,0)*0.475*44/12</f>
        <v>18.285284331632568</v>
      </c>
      <c r="CM43" s="21">
        <f>EXP(-LN(2)/2)*CM42+(1-EXP(-LN(2)/2))/(LN(2)/2)*CG43*CJ43*VLOOKUP('Données projet'!$B$12,Paramètres!$A$1:$I$89,3,0)*0.475*44/12</f>
        <v>4.3879673619813158</v>
      </c>
      <c r="CN43" s="22">
        <f t="shared" si="12"/>
        <v>40.848455811030618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2.1523809523809527</v>
      </c>
      <c r="CT43" s="12">
        <f>IF('Données projet'!$A$140&gt;35,CT42+CS43-DB42,IF(A43&lt;'Données projet'!$A$140,$CQ$205^A43,IF(A43='Données projet'!$A$140,'Données projet'!$B$140,CT42+CS43-DB42)))</f>
        <v>86.095238095238088</v>
      </c>
      <c r="CU43" s="17">
        <f>CT43*VLOOKUP('Données projet'!$B$13,Paramètres!$A$1:$I$89,3,0)*VLOOKUP('Données projet'!$B$13,Paramètres!$A$1:$I$89,5,0)</f>
        <v>98.045257142857139</v>
      </c>
      <c r="CV43" s="13">
        <f t="shared" si="41"/>
        <v>26.495773326001377</v>
      </c>
      <c r="CW43" s="20">
        <f t="shared" si="13"/>
        <v>216.90896139992856</v>
      </c>
      <c r="CX43" s="59">
        <f t="shared" si="14"/>
        <v>510.24229473326187</v>
      </c>
      <c r="CY43" s="59">
        <f ca="1">AVERAGE(OFFSET($CX$3,0,0,'Données projet'!$E$13+1,1))-AVERAGE(OFFSET($H$3,0,0,'Données projet'!$E$13+1,1))</f>
        <v>330.87173217110126</v>
      </c>
      <c r="CZ43" s="59">
        <f t="shared" si="42"/>
        <v>200.52697135436102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2.6904761904761907</v>
      </c>
      <c r="N44" s="13">
        <f>IF('Données projet'!$A$36&gt;35,N43+M44-V43,IF(A44&lt;'Données projet'!$A$36,$K$205^A44,IF(A44='Données projet'!$A$36,'Données projet'!$B$36,N43+M44-V43)))</f>
        <v>110.3095238095238</v>
      </c>
      <c r="O44" s="13">
        <f>N44*VLOOKUP('Données projet'!$B$9,Paramètres!$A$1:$I$89,3,0)*VLOOKUP('Données projet'!$B$9,Paramètres!$A$1:$I$89,5,0)</f>
        <v>99.808057142857123</v>
      </c>
      <c r="P44" s="13">
        <f t="shared" si="33"/>
        <v>26.916264697531815</v>
      </c>
      <c r="Q44" s="20">
        <f t="shared" si="53"/>
        <v>220.71152720534405</v>
      </c>
      <c r="R44" s="59">
        <f t="shared" si="0"/>
        <v>514.04486053867731</v>
      </c>
      <c r="S44" s="59">
        <f ca="1">AVERAGE(OFFSET($R$3,0,0,'Données projet'!$E$9+1,1))-AVERAGE(OFFSET($H$3,0,0,'Données projet'!$E$9+1,1))</f>
        <v>328.8796193543036</v>
      </c>
      <c r="T44" s="59">
        <f t="shared" si="34"/>
        <v>199.43308683696642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14.406720000000007</v>
      </c>
      <c r="AI44" s="13">
        <f>IF('Données projet'!$A$62&gt;35,AI43+AH44-AQ43,IF(A44&lt;'Données projet'!$A$62,$AF$205^A44,IF(A44='Données projet'!$A$62,'Données projet'!$B$62,AI43+AH44-AQ43)))</f>
        <v>306.92840333333328</v>
      </c>
      <c r="AJ44" s="13">
        <f>AI44*VLOOKUP('Données projet'!$B$10,Paramètres!$A$1:$I$89,3,0)*VLOOKUP('Données projet'!$B$10,Paramètres!$A$1:$I$89,5,0)</f>
        <v>239.40415459999997</v>
      </c>
      <c r="AK44" s="13">
        <f t="shared" si="35"/>
        <v>58.311312900870412</v>
      </c>
      <c r="AL44" s="20">
        <f t="shared" si="4"/>
        <v>518.52110589734923</v>
      </c>
      <c r="AM44" s="59">
        <f t="shared" si="5"/>
        <v>811.8544392306826</v>
      </c>
      <c r="AN44" s="59">
        <f ca="1">AVERAGE(OFFSET($AM$3,0,0,'Données projet'!$E$10+1,1))-AVERAGE(OFFSET($H$3,0,0,'Données projet'!$E$10+1,1))</f>
        <v>351.77274930064431</v>
      </c>
      <c r="AO44" s="59">
        <f t="shared" si="36"/>
        <v>386.10758060007078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15.654605402174315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15.654605402174315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118.37904000000003</v>
      </c>
      <c r="BF44" s="13">
        <f t="shared" si="37"/>
        <v>31.296638268907181</v>
      </c>
      <c r="BG44" s="20">
        <f t="shared" si="7"/>
        <v>260.68513965168</v>
      </c>
      <c r="BH44" s="59">
        <f t="shared" si="8"/>
        <v>554.01847298501332</v>
      </c>
      <c r="BI44" s="59">
        <f ca="1">AVERAGE(OFFSET($BH$3,0,0,'Données projet'!$E$11+1,1))-AVERAGE(OFFSET($H$3,0,0,'Données projet'!$E$11+1,1))</f>
        <v>438.62466697107681</v>
      </c>
      <c r="BJ44" s="59">
        <f t="shared" si="38"/>
        <v>241.18285512887627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13.6</v>
      </c>
      <c r="BY44" s="12">
        <f>IF('Données projet'!$A$114&gt;35,BY43+BX44-CG43,IF(A44&lt;'Données projet'!$A$114,$BV$205^A44,IF(A44='Données projet'!$A$114,'Données projet'!$B$114,BY43+BX44-CG43)))</f>
        <v>227.59999999999997</v>
      </c>
      <c r="BZ44" s="13">
        <f>BY44*VLOOKUP('Données projet'!$B$12,Paramètres!$A$1:$I$89,3,0)*VLOOKUP('Données projet'!$B$12,Paramètres!$A$1:$I$89,5,0)</f>
        <v>130.18719999999999</v>
      </c>
      <c r="CA44" s="13">
        <f t="shared" si="39"/>
        <v>34.039612132729324</v>
      </c>
      <c r="CB44" s="20">
        <f t="shared" si="10"/>
        <v>286.02836446450357</v>
      </c>
      <c r="CC44" s="59">
        <f t="shared" si="11"/>
        <v>579.36169779783688</v>
      </c>
      <c r="CD44" s="59">
        <f ca="1">AVERAGE(OFFSET($CC$3,0,0,'Données projet'!$E$12+1,1))-AVERAGE(OFFSET($H$3,0,0,'Données projet'!$E$12+1,1))</f>
        <v>308.33000350259448</v>
      </c>
      <c r="CE44" s="59">
        <f t="shared" si="40"/>
        <v>282.64839194267171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17.818799450454073</v>
      </c>
      <c r="CL44" s="21">
        <f>EXP(-LN(2)/25)*CL43+(1-EXP(-LN(2)/25))/(LN(2)/25)*Calculateur!CG44*Calculateur!CI44*VLOOKUP('Données projet'!$B$12,Paramètres!$A$1:$I$89,3,0)*0.475*44/12</f>
        <v>17.785272270002764</v>
      </c>
      <c r="CM44" s="21">
        <f>EXP(-LN(2)/2)*CM43+(1-EXP(-LN(2)/2))/(LN(2)/2)*CG44*CJ44*VLOOKUP('Données projet'!$B$12,Paramètres!$A$1:$I$89,3,0)*0.475*44/12</f>
        <v>3.1027614772822347</v>
      </c>
      <c r="CN44" s="22">
        <f t="shared" si="12"/>
        <v>38.706833197739073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2.1523809523809527</v>
      </c>
      <c r="CT44" s="12">
        <f>IF('Données projet'!$A$140&gt;35,CT43+CS44-DB43,IF(A44&lt;'Données projet'!$A$140,$CQ$205^A44,IF(A44='Données projet'!$A$140,'Données projet'!$B$140,CT43+CS44-DB43)))</f>
        <v>88.24761904761904</v>
      </c>
      <c r="CU44" s="17">
        <f>CT44*VLOOKUP('Données projet'!$B$13,Paramètres!$A$1:$I$89,3,0)*VLOOKUP('Données projet'!$B$13,Paramètres!$A$1:$I$89,5,0)</f>
        <v>100.49638857142857</v>
      </c>
      <c r="CV44" s="13">
        <f t="shared" si="41"/>
        <v>27.080221178967232</v>
      </c>
      <c r="CW44" s="20">
        <f t="shared" si="13"/>
        <v>222.19592864860601</v>
      </c>
      <c r="CX44" s="59">
        <f t="shared" si="14"/>
        <v>515.52926198193927</v>
      </c>
      <c r="CY44" s="59">
        <f ca="1">AVERAGE(OFFSET($CX$3,0,0,'Données projet'!$E$13+1,1))-AVERAGE(OFFSET($H$3,0,0,'Données projet'!$E$13+1,1))</f>
        <v>330.87173217110126</v>
      </c>
      <c r="CZ44" s="59">
        <f t="shared" si="42"/>
        <v>200.52697135436102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113</v>
      </c>
      <c r="L45" s="12">
        <f>VLOOKUP(A45,'Données projet'!$A$35:$I$55,9,0)</f>
        <v>2.6904761904761907</v>
      </c>
      <c r="M45" s="12">
        <f t="array" ref="M45">INDEX(L:L,MIN(IF(ISNUMBER(L45:L241),ROW(L45:L241),"")))</f>
        <v>2.6904761904761907</v>
      </c>
      <c r="N45" s="13">
        <f>IF('Données projet'!$A$36&gt;35,N44+M45-V44,IF(A45&lt;'Données projet'!$A$36,$K$205^A45,IF(A45='Données projet'!$A$36,'Données projet'!$B$36,N44+M45-V44)))</f>
        <v>112.99999999999999</v>
      </c>
      <c r="O45" s="13">
        <f>N45*VLOOKUP('Données projet'!$B$9,Paramètres!$A$1:$I$89,3,0)*VLOOKUP('Données projet'!$B$9,Paramètres!$A$1:$I$89,5,0)</f>
        <v>102.24239999999999</v>
      </c>
      <c r="P45" s="13">
        <f t="shared" si="33"/>
        <v>27.495526976991481</v>
      </c>
      <c r="Q45" s="20">
        <f t="shared" si="53"/>
        <v>225.96022281826015</v>
      </c>
      <c r="R45" s="59">
        <f t="shared" si="0"/>
        <v>519.29355615159352</v>
      </c>
      <c r="S45" s="59">
        <f ca="1">AVERAGE(OFFSET($R$3,0,0,'Données projet'!$E$9+1,1))-AVERAGE(OFFSET($H$3,0,0,'Données projet'!$E$9+1,1))</f>
        <v>328.8796193543036</v>
      </c>
      <c r="T45" s="59">
        <f t="shared" si="34"/>
        <v>199.43308683696642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30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14.406720000000007</v>
      </c>
      <c r="AI45" s="13">
        <f>IF('Données projet'!$A$62&gt;35,AI44+AH45-AQ44,IF(A45&lt;'Données projet'!$A$62,$AF$205^A45,IF(A45='Données projet'!$A$62,'Données projet'!$B$62,AI44+AH45-AQ44)))</f>
        <v>321.33512333333329</v>
      </c>
      <c r="AJ45" s="13">
        <f>AI45*VLOOKUP('Données projet'!$B$10,Paramètres!$A$1:$I$89,3,0)*VLOOKUP('Données projet'!$B$10,Paramètres!$A$1:$I$89,5,0)</f>
        <v>250.64139619999997</v>
      </c>
      <c r="AK45" s="13">
        <f t="shared" si="35"/>
        <v>60.72326570669798</v>
      </c>
      <c r="AL45" s="20">
        <f t="shared" si="4"/>
        <v>542.29345282083227</v>
      </c>
      <c r="AM45" s="59">
        <f t="shared" si="5"/>
        <v>835.62678615416553</v>
      </c>
      <c r="AN45" s="59">
        <f ca="1">AVERAGE(OFFSET($AM$3,0,0,'Données projet'!$E$10+1,1))-AVERAGE(OFFSET($H$3,0,0,'Données projet'!$E$10+1,1))</f>
        <v>351.77274930064431</v>
      </c>
      <c r="AO45" s="59">
        <f t="shared" si="36"/>
        <v>386.10758060007078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15.347628138604149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15.347628138604149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126.37248000000004</v>
      </c>
      <c r="BF45" s="13">
        <f t="shared" si="37"/>
        <v>33.156770349896121</v>
      </c>
      <c r="BG45" s="20">
        <f t="shared" si="7"/>
        <v>277.84677769273577</v>
      </c>
      <c r="BH45" s="59">
        <f t="shared" si="8"/>
        <v>571.18011102606908</v>
      </c>
      <c r="BI45" s="59">
        <f ca="1">AVERAGE(OFFSET($BH$3,0,0,'Données projet'!$E$11+1,1))-AVERAGE(OFFSET($H$3,0,0,'Données projet'!$E$11+1,1))</f>
        <v>438.62466697107681</v>
      </c>
      <c r="BJ45" s="59">
        <f t="shared" si="38"/>
        <v>241.18285512887627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13.6</v>
      </c>
      <c r="BY45" s="12">
        <f>IF('Données projet'!$A$114&gt;35,BY44+BX45-CG44,IF(A45&lt;'Données projet'!$A$114,$BV$205^A45,IF(A45='Données projet'!$A$114,'Données projet'!$B$114,BY44+BX45-CG44)))</f>
        <v>241.19999999999996</v>
      </c>
      <c r="BZ45" s="13">
        <f>BY45*VLOOKUP('Données projet'!$B$12,Paramètres!$A$1:$I$89,3,0)*VLOOKUP('Données projet'!$B$12,Paramètres!$A$1:$I$89,5,0)</f>
        <v>137.96639999999999</v>
      </c>
      <c r="CA45" s="13">
        <f t="shared" si="39"/>
        <v>35.83074030209302</v>
      </c>
      <c r="CB45" s="20">
        <f t="shared" si="10"/>
        <v>302.6966860261453</v>
      </c>
      <c r="CC45" s="59">
        <f t="shared" si="11"/>
        <v>596.03001935947862</v>
      </c>
      <c r="CD45" s="59">
        <f ca="1">AVERAGE(OFFSET($CC$3,0,0,'Données projet'!$E$12+1,1))-AVERAGE(OFFSET($H$3,0,0,'Données projet'!$E$12+1,1))</f>
        <v>308.33000350259448</v>
      </c>
      <c r="CE45" s="59">
        <f t="shared" si="40"/>
        <v>282.64839194267171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17.469383661625169</v>
      </c>
      <c r="CL45" s="21">
        <f>EXP(-LN(2)/25)*CL44+(1-EXP(-LN(2)/25))/(LN(2)/25)*Calculateur!CG45*Calculateur!CI45*VLOOKUP('Données projet'!$B$12,Paramètres!$A$1:$I$89,3,0)*0.475*44/12</f>
        <v>17.298933064492719</v>
      </c>
      <c r="CM45" s="21">
        <f>EXP(-LN(2)/2)*CM44+(1-EXP(-LN(2)/2))/(LN(2)/2)*CG45*CJ45*VLOOKUP('Données projet'!$B$12,Paramètres!$A$1:$I$89,3,0)*0.475*44/12</f>
        <v>2.1939836809906583</v>
      </c>
      <c r="CN45" s="22">
        <f t="shared" si="12"/>
        <v>36.962300407108543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90.4</v>
      </c>
      <c r="CR45" s="12">
        <f>VLOOKUP(A45,'Données projet'!$A$139:$I$159,9,0)</f>
        <v>2.1523809523809527</v>
      </c>
      <c r="CS45" s="12">
        <f t="array" ref="CS45">INDEX(CR:CR,MIN(IF(ISNUMBER(CR45:CR241),ROW(CR45:CR241),"")))</f>
        <v>2.1523809523809527</v>
      </c>
      <c r="CT45" s="12">
        <f>IF('Données projet'!$A$140&gt;35,CT44+CS45-DB44,IF(A45&lt;'Données projet'!$A$140,$CQ$205^A45,IF(A45='Données projet'!$A$140,'Données projet'!$B$140,CT44+CS45-DB44)))</f>
        <v>90.399999999999991</v>
      </c>
      <c r="CU45" s="17">
        <f>CT45*VLOOKUP('Données projet'!$B$13,Paramètres!$A$1:$I$89,3,0)*VLOOKUP('Données projet'!$B$13,Paramètres!$A$1:$I$89,5,0)</f>
        <v>102.94751999999998</v>
      </c>
      <c r="CV45" s="13">
        <f t="shared" si="41"/>
        <v>27.663011949702902</v>
      </c>
      <c r="CW45" s="20">
        <f t="shared" si="13"/>
        <v>227.48000981239917</v>
      </c>
      <c r="CX45" s="59">
        <f t="shared" si="14"/>
        <v>520.81334314573246</v>
      </c>
      <c r="CY45" s="59">
        <f ca="1">AVERAGE(OFFSET($CX$3,0,0,'Données projet'!$E$13+1,1))-AVERAGE(OFFSET($H$3,0,0,'Données projet'!$E$13+1,1))</f>
        <v>330.87173217110126</v>
      </c>
      <c r="CZ45" s="59">
        <f t="shared" si="42"/>
        <v>200.52697135436102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24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6.166666666666667</v>
      </c>
      <c r="N46" s="13">
        <f>IF('Données projet'!$A$36&gt;35,N45+M46-V45,IF(A46&lt;'Données projet'!$A$36,$K$205^A46,IF(A46='Données projet'!$A$36,'Données projet'!$B$36,N45+M46-V45)))</f>
        <v>89.166666666666657</v>
      </c>
      <c r="O46" s="13">
        <f>N46*VLOOKUP('Données projet'!$B$9,Paramètres!$A$1:$I$89,3,0)*VLOOKUP('Données projet'!$B$9,Paramètres!$A$1:$I$89,5,0)</f>
        <v>80.677999999999983</v>
      </c>
      <c r="P46" s="13">
        <f t="shared" si="33"/>
        <v>22.302877142655586</v>
      </c>
      <c r="Q46" s="20">
        <f t="shared" si="53"/>
        <v>179.35836102345846</v>
      </c>
      <c r="R46" s="59">
        <f t="shared" si="0"/>
        <v>472.6916943567918</v>
      </c>
      <c r="S46" s="59">
        <f ca="1">AVERAGE(OFFSET($R$3,0,0,'Données projet'!$E$9+1,1))-AVERAGE(OFFSET($H$3,0,0,'Données projet'!$E$9+1,1))</f>
        <v>328.8796193543036</v>
      </c>
      <c r="T46" s="59">
        <f t="shared" si="34"/>
        <v>199.43308683696642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14.406720000000007</v>
      </c>
      <c r="AI46" s="13">
        <f>IF('Données projet'!$A$62&gt;35,AI45+AH46-AQ45,IF(A46&lt;'Données projet'!$A$62,$AF$205^A46,IF(A46='Données projet'!$A$62,'Données projet'!$B$62,AI45+AH46-AQ45)))</f>
        <v>335.74184333333329</v>
      </c>
      <c r="AJ46" s="13">
        <f>AI46*VLOOKUP('Données projet'!$B$10,Paramètres!$A$1:$I$89,3,0)*VLOOKUP('Données projet'!$B$10,Paramètres!$A$1:$I$89,5,0)</f>
        <v>261.87863779999998</v>
      </c>
      <c r="AK46" s="13">
        <f t="shared" si="35"/>
        <v>63.122659669296588</v>
      </c>
      <c r="AL46" s="20">
        <f t="shared" si="4"/>
        <v>566.04392642569144</v>
      </c>
      <c r="AM46" s="59">
        <f t="shared" si="5"/>
        <v>859.37725975902481</v>
      </c>
      <c r="AN46" s="59">
        <f ca="1">AVERAGE(OFFSET($AM$3,0,0,'Données projet'!$E$10+1,1))-AVERAGE(OFFSET($H$3,0,0,'Données projet'!$E$10+1,1))</f>
        <v>351.77274930064431</v>
      </c>
      <c r="AO46" s="59">
        <f t="shared" si="36"/>
        <v>386.10758060007078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15.046670511934952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15.046670511934952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134.36592000000005</v>
      </c>
      <c r="BF46" s="13">
        <f t="shared" si="37"/>
        <v>35.003247613199107</v>
      </c>
      <c r="BG46" s="20">
        <f t="shared" si="7"/>
        <v>294.98463359298847</v>
      </c>
      <c r="BH46" s="59">
        <f t="shared" si="8"/>
        <v>588.31796692632179</v>
      </c>
      <c r="BI46" s="59">
        <f ca="1">AVERAGE(OFFSET($BH$3,0,0,'Données projet'!$E$11+1,1))-AVERAGE(OFFSET($H$3,0,0,'Données projet'!$E$11+1,1))</f>
        <v>438.62466697107681</v>
      </c>
      <c r="BJ46" s="59">
        <f t="shared" si="38"/>
        <v>241.18285512887627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13.6</v>
      </c>
      <c r="BY46" s="12">
        <f>IF('Données projet'!$A$114&gt;35,BY45+BX46-CG45,IF(A46&lt;'Données projet'!$A$114,$BV$205^A46,IF(A46='Données projet'!$A$114,'Données projet'!$B$114,BY45+BX46-CG45)))</f>
        <v>254.79999999999995</v>
      </c>
      <c r="BZ46" s="13">
        <f>BY46*VLOOKUP('Données projet'!$B$12,Paramètres!$A$1:$I$89,3,0)*VLOOKUP('Données projet'!$B$12,Paramètres!$A$1:$I$89,5,0)</f>
        <v>145.74559999999997</v>
      </c>
      <c r="CA46" s="13">
        <f t="shared" si="39"/>
        <v>37.610144903029855</v>
      </c>
      <c r="CB46" s="20">
        <f t="shared" si="10"/>
        <v>319.34458903944363</v>
      </c>
      <c r="CC46" s="59">
        <f t="shared" si="11"/>
        <v>612.67792237277695</v>
      </c>
      <c r="CD46" s="59">
        <f ca="1">AVERAGE(OFFSET($CC$3,0,0,'Données projet'!$E$12+1,1))-AVERAGE(OFFSET($H$3,0,0,'Données projet'!$E$12+1,1))</f>
        <v>308.33000350259448</v>
      </c>
      <c r="CE46" s="59">
        <f t="shared" si="40"/>
        <v>282.64839194267171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17.126819703292611</v>
      </c>
      <c r="CL46" s="21">
        <f>EXP(-LN(2)/25)*CL45+(1-EXP(-LN(2)/25))/(LN(2)/25)*Calculateur!CG46*Calculateur!CI46*VLOOKUP('Données projet'!$B$12,Paramètres!$A$1:$I$89,3,0)*0.475*44/12</f>
        <v>16.825892830132812</v>
      </c>
      <c r="CM46" s="21">
        <f>EXP(-LN(2)/2)*CM45+(1-EXP(-LN(2)/2))/(LN(2)/2)*CG46*CJ46*VLOOKUP('Données projet'!$B$12,Paramètres!$A$1:$I$89,3,0)*0.475*44/12</f>
        <v>1.5513807386411176</v>
      </c>
      <c r="CN46" s="22">
        <f t="shared" si="12"/>
        <v>35.504093272066541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4.9333333333333327</v>
      </c>
      <c r="CT46" s="12">
        <f>IF('Données projet'!$A$140&gt;35,CT45+CS46-DB45,IF(A46&lt;'Données projet'!$A$140,$CQ$205^A46,IF(A46='Données projet'!$A$140,'Données projet'!$B$140,CT45+CS46-DB45)))</f>
        <v>71.333333333333329</v>
      </c>
      <c r="CU46" s="17">
        <f>CT46*VLOOKUP('Données projet'!$B$13,Paramètres!$A$1:$I$89,3,0)*VLOOKUP('Données projet'!$B$13,Paramètres!$A$1:$I$89,5,0)</f>
        <v>81.234399999999994</v>
      </c>
      <c r="CV46" s="13">
        <f t="shared" si="41"/>
        <v>22.438731849959428</v>
      </c>
      <c r="CW46" s="20">
        <f t="shared" si="13"/>
        <v>180.56403797201264</v>
      </c>
      <c r="CX46" s="59">
        <f t="shared" si="14"/>
        <v>473.89737130534593</v>
      </c>
      <c r="CY46" s="59">
        <f ca="1">AVERAGE(OFFSET($CX$3,0,0,'Données projet'!$E$13+1,1))-AVERAGE(OFFSET($H$3,0,0,'Données projet'!$E$13+1,1))</f>
        <v>330.87173217110126</v>
      </c>
      <c r="CZ46" s="59">
        <f t="shared" si="42"/>
        <v>200.52697135436102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6.166666666666667</v>
      </c>
      <c r="N47" s="13">
        <f>IF('Données projet'!$A$36&gt;35,N46+M47-V46,IF(A47&lt;'Données projet'!$A$36,$K$205^A47,IF(A47='Données projet'!$A$36,'Données projet'!$B$36,N46+M47-V46)))</f>
        <v>95.333333333333329</v>
      </c>
      <c r="O47" s="13">
        <f>N47*VLOOKUP('Données projet'!$B$9,Paramètres!$A$1:$I$89,3,0)*VLOOKUP('Données projet'!$B$9,Paramètres!$A$1:$I$89,5,0)</f>
        <v>86.257599999999996</v>
      </c>
      <c r="P47" s="13">
        <f t="shared" si="33"/>
        <v>23.660429354093463</v>
      </c>
      <c r="Q47" s="20">
        <f t="shared" si="53"/>
        <v>191.44056779171277</v>
      </c>
      <c r="R47" s="59">
        <f t="shared" si="0"/>
        <v>484.77390112504611</v>
      </c>
      <c r="S47" s="59">
        <f ca="1">AVERAGE(OFFSET($R$3,0,0,'Données projet'!$E$9+1,1))-AVERAGE(OFFSET($H$3,0,0,'Données projet'!$E$9+1,1))</f>
        <v>328.8796193543036</v>
      </c>
      <c r="T47" s="59">
        <f t="shared" si="34"/>
        <v>199.43308683696642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14.406720000000007</v>
      </c>
      <c r="AI47" s="13">
        <f>IF('Données projet'!$A$62&gt;35,AI46+AH47-AQ46,IF(A47&lt;'Données projet'!$A$62,$AF$205^A47,IF(A47='Données projet'!$A$62,'Données projet'!$B$62,AI46+AH47-AQ46)))</f>
        <v>350.1485633333333</v>
      </c>
      <c r="AJ47" s="13">
        <f>AI47*VLOOKUP('Données projet'!$B$10,Paramètres!$A$1:$I$89,3,0)*VLOOKUP('Données projet'!$B$10,Paramètres!$A$1:$I$89,5,0)</f>
        <v>273.11587939999998</v>
      </c>
      <c r="AK47" s="13">
        <f t="shared" si="35"/>
        <v>65.510095294247307</v>
      </c>
      <c r="AL47" s="20">
        <f t="shared" si="4"/>
        <v>589.77357259248072</v>
      </c>
      <c r="AM47" s="59">
        <f t="shared" si="5"/>
        <v>883.10690592581409</v>
      </c>
      <c r="AN47" s="59">
        <f ca="1">AVERAGE(OFFSET($AM$3,0,0,'Données projet'!$E$10+1,1))-AVERAGE(OFFSET($H$3,0,0,'Données projet'!$E$10+1,1))</f>
        <v>351.77274930064431</v>
      </c>
      <c r="AO47" s="59">
        <f t="shared" si="36"/>
        <v>386.10758060007078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14.751614480758711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14.751614480758711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142.35936000000004</v>
      </c>
      <c r="BF47" s="13">
        <f t="shared" si="37"/>
        <v>36.836974905762489</v>
      </c>
      <c r="BG47" s="20">
        <f t="shared" si="7"/>
        <v>312.10028329420305</v>
      </c>
      <c r="BH47" s="59">
        <f t="shared" si="8"/>
        <v>605.43361662753637</v>
      </c>
      <c r="BI47" s="59">
        <f ca="1">AVERAGE(OFFSET($BH$3,0,0,'Données projet'!$E$11+1,1))-AVERAGE(OFFSET($H$3,0,0,'Données projet'!$E$11+1,1))</f>
        <v>438.62466697107681</v>
      </c>
      <c r="BJ47" s="59">
        <f t="shared" si="38"/>
        <v>241.18285512887627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13.6</v>
      </c>
      <c r="BY47" s="12">
        <f>IF('Données projet'!$A$114&gt;35,BY46+BX47-CG46,IF(A47&lt;'Données projet'!$A$114,$BV$205^A47,IF(A47='Données projet'!$A$114,'Données projet'!$B$114,BY46+BX47-CG46)))</f>
        <v>268.39999999999998</v>
      </c>
      <c r="BZ47" s="13">
        <f>BY47*VLOOKUP('Données projet'!$B$12,Paramètres!$A$1:$I$89,3,0)*VLOOKUP('Données projet'!$B$12,Paramètres!$A$1:$I$89,5,0)</f>
        <v>153.5248</v>
      </c>
      <c r="CA47" s="13">
        <f t="shared" si="39"/>
        <v>39.378523033847792</v>
      </c>
      <c r="CB47" s="20">
        <f t="shared" si="10"/>
        <v>335.97328761728488</v>
      </c>
      <c r="CC47" s="59">
        <f t="shared" si="11"/>
        <v>629.30662095061825</v>
      </c>
      <c r="CD47" s="59">
        <f ca="1">AVERAGE(OFFSET($CC$3,0,0,'Données projet'!$E$12+1,1))-AVERAGE(OFFSET($H$3,0,0,'Données projet'!$E$12+1,1))</f>
        <v>308.33000350259448</v>
      </c>
      <c r="CE47" s="59">
        <f t="shared" si="40"/>
        <v>282.64839194267171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16.790973215239571</v>
      </c>
      <c r="CL47" s="21">
        <f>EXP(-LN(2)/25)*CL46+(1-EXP(-LN(2)/25))/(LN(2)/25)*Calculateur!CG47*Calculateur!CI47*VLOOKUP('Données projet'!$B$12,Paramètres!$A$1:$I$89,3,0)*0.475*44/12</f>
        <v>16.365787905857584</v>
      </c>
      <c r="CM47" s="21">
        <f>EXP(-LN(2)/2)*CM46+(1-EXP(-LN(2)/2))/(LN(2)/2)*CG47*CJ47*VLOOKUP('Données projet'!$B$12,Paramètres!$A$1:$I$89,3,0)*0.475*44/12</f>
        <v>1.0969918404953294</v>
      </c>
      <c r="CN47" s="22">
        <f t="shared" si="12"/>
        <v>34.253752961592483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4.9333333333333327</v>
      </c>
      <c r="CT47" s="12">
        <f>IF('Données projet'!$A$140&gt;35,CT46+CS47-DB46,IF(A47&lt;'Données projet'!$A$140,$CQ$205^A47,IF(A47='Données projet'!$A$140,'Données projet'!$B$140,CT46+CS47-DB46)))</f>
        <v>76.266666666666666</v>
      </c>
      <c r="CU47" s="17">
        <f>CT47*VLOOKUP('Données projet'!$B$13,Paramètres!$A$1:$I$89,3,0)*VLOOKUP('Données projet'!$B$13,Paramètres!$A$1:$I$89,5,0)</f>
        <v>86.85248</v>
      </c>
      <c r="CV47" s="13">
        <f t="shared" si="41"/>
        <v>23.80455339172428</v>
      </c>
      <c r="CW47" s="20">
        <f t="shared" si="13"/>
        <v>192.72766649058644</v>
      </c>
      <c r="CX47" s="59">
        <f t="shared" si="14"/>
        <v>486.06099982391976</v>
      </c>
      <c r="CY47" s="59">
        <f ca="1">AVERAGE(OFFSET($CX$3,0,0,'Données projet'!$E$13+1,1))-AVERAGE(OFFSET($H$3,0,0,'Données projet'!$E$13+1,1))</f>
        <v>330.87173217110126</v>
      </c>
      <c r="CZ47" s="59">
        <f t="shared" si="42"/>
        <v>200.52697135436102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6.166666666666667</v>
      </c>
      <c r="N48" s="13">
        <f>IF('Données projet'!$A$36&gt;35,N47+M48-V47,IF(A48&lt;'Données projet'!$A$36,$K$205^A48,IF(A48='Données projet'!$A$36,'Données projet'!$B$36,N47+M48-V47)))</f>
        <v>101.5</v>
      </c>
      <c r="O48" s="13">
        <f>N48*VLOOKUP('Données projet'!$B$9,Paramètres!$A$1:$I$89,3,0)*VLOOKUP('Données projet'!$B$9,Paramètres!$A$1:$I$89,5,0)</f>
        <v>91.837199999999996</v>
      </c>
      <c r="P48" s="13">
        <f t="shared" si="33"/>
        <v>25.007790936639388</v>
      </c>
      <c r="Q48" s="20">
        <f t="shared" si="53"/>
        <v>203.5050258813136</v>
      </c>
      <c r="R48" s="59">
        <f t="shared" si="0"/>
        <v>496.83835921464691</v>
      </c>
      <c r="S48" s="59">
        <f ca="1">AVERAGE(OFFSET($R$3,0,0,'Données projet'!$E$9+1,1))-AVERAGE(OFFSET($H$3,0,0,'Données projet'!$E$9+1,1))</f>
        <v>328.8796193543036</v>
      </c>
      <c r="T48" s="59">
        <f t="shared" si="34"/>
        <v>199.43308683696642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364.55528333333342</v>
      </c>
      <c r="AG48" s="12">
        <f>VLOOKUP(A48,'Données projet'!$A$61:$I$81,9,0)</f>
        <v>14.406720000000007</v>
      </c>
      <c r="AH48" s="12">
        <f t="array" ref="AH48">INDEX(AG:AG,MIN(IF(ISNUMBER(AG48:AG244),ROW(AG48:AG244),"")))</f>
        <v>14.406720000000007</v>
      </c>
      <c r="AI48" s="13">
        <f>IF('Données projet'!$A$62&gt;35,AI47+AH48-AQ47,IF(A48&lt;'Données projet'!$A$62,$AF$205^A48,IF(A48='Données projet'!$A$62,'Données projet'!$B$62,AI47+AH48-AQ47)))</f>
        <v>364.55528333333331</v>
      </c>
      <c r="AJ48" s="13">
        <f>AI48*VLOOKUP('Données projet'!$B$10,Paramètres!$A$1:$I$89,3,0)*VLOOKUP('Données projet'!$B$10,Paramètres!$A$1:$I$89,5,0)</f>
        <v>284.35312099999999</v>
      </c>
      <c r="AK48" s="13">
        <f t="shared" si="35"/>
        <v>67.88612087590532</v>
      </c>
      <c r="AL48" s="20">
        <f t="shared" si="4"/>
        <v>613.48334626720168</v>
      </c>
      <c r="AM48" s="59">
        <f t="shared" si="5"/>
        <v>906.81667960053505</v>
      </c>
      <c r="AN48" s="59">
        <f ca="1">AVERAGE(OFFSET($AM$3,0,0,'Données projet'!$E$10+1,1))-AVERAGE(OFFSET($H$3,0,0,'Données projet'!$E$10+1,1))</f>
        <v>351.77274930064431</v>
      </c>
      <c r="AO48" s="59">
        <f t="shared" si="36"/>
        <v>386.10758060007078</v>
      </c>
      <c r="AP48" s="15">
        <f>IF(ISNA(VLOOKUP(A48,'Données projet'!$A$61:$I$81,3,0)),0,VLOOKUP(A48,'Données projet'!$A$61:$I$81,3,0))</f>
        <v>4</v>
      </c>
      <c r="AQ48" s="15">
        <f>IF(ISNA(VLOOKUP(A48,'Données projet'!$A$61:$I$81,4,0)),0,VLOOKUP(A48,'Données projet'!$A$61:$I$81,4,0))</f>
        <v>60.759213888888908</v>
      </c>
      <c r="AR48" s="16">
        <f>IF(ISNA(VLOOKUP(A48,'Données projet'!$A$61:$I$81,5,0)),0%,VLOOKUP(A48,'Données projet'!$A$61:$I$81,5,0)*VLOOKUP('Données projet'!$B$10,Paramètres!$A$1:$I$89,7,0))</f>
        <v>0.38700000000000001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34.737529260651989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34.737529260651989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150.35280000000006</v>
      </c>
      <c r="BF48" s="13">
        <f t="shared" si="37"/>
        <v>38.658749721546236</v>
      </c>
      <c r="BG48" s="20">
        <f t="shared" si="7"/>
        <v>329.19511576502646</v>
      </c>
      <c r="BH48" s="59">
        <f t="shared" si="8"/>
        <v>622.52844909835972</v>
      </c>
      <c r="BI48" s="59">
        <f ca="1">AVERAGE(OFFSET($BH$3,0,0,'Données projet'!$E$11+1,1))-AVERAGE(OFFSET($H$3,0,0,'Données projet'!$E$11+1,1))</f>
        <v>438.62466697107681</v>
      </c>
      <c r="BJ48" s="59">
        <f t="shared" si="38"/>
        <v>241.18285512887627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282</v>
      </c>
      <c r="BW48" s="12">
        <f>VLOOKUP(A48,'Données projet'!$A$113:$I$133,9,0)</f>
        <v>13.6</v>
      </c>
      <c r="BX48" s="12">
        <f t="array" ref="BX48">INDEX(BW:BW,MIN(IF(ISNUMBER(BW48:BW244),ROW(BW48:BW244),"")))</f>
        <v>13.6</v>
      </c>
      <c r="BY48" s="12">
        <f>IF('Données projet'!$A$114&gt;35,BY47+BX48-CG47,IF(A48&lt;'Données projet'!$A$114,$BV$205^A48,IF(A48='Données projet'!$A$114,'Données projet'!$B$114,BY47+BX48-CG47)))</f>
        <v>282</v>
      </c>
      <c r="BZ48" s="13">
        <f>BY48*VLOOKUP('Données projet'!$B$12,Paramètres!$A$1:$I$89,3,0)*VLOOKUP('Données projet'!$B$12,Paramètres!$A$1:$I$89,5,0)</f>
        <v>161.304</v>
      </c>
      <c r="CA48" s="13">
        <f t="shared" si="39"/>
        <v>41.136497157560399</v>
      </c>
      <c r="CB48" s="20">
        <f t="shared" si="10"/>
        <v>352.58386588275107</v>
      </c>
      <c r="CC48" s="59">
        <f t="shared" si="11"/>
        <v>645.91719921608433</v>
      </c>
      <c r="CD48" s="59">
        <f ca="1">AVERAGE(OFFSET($CC$3,0,0,'Données projet'!$E$12+1,1))-AVERAGE(OFFSET($H$3,0,0,'Données projet'!$E$12+1,1))</f>
        <v>308.33000350259448</v>
      </c>
      <c r="CE48" s="59">
        <f t="shared" si="40"/>
        <v>282.64839194267171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37</v>
      </c>
      <c r="CH48" s="16">
        <f>IF(ISNA(VLOOKUP(A48,'Données projet'!$A$113:$I$133,5,0)),0%,VLOOKUP(A48,'Données projet'!$A$113:$I$133,5,0)*VLOOKUP('Données projet'!$B$12,Paramètres!$A$1:$I$89,7,0))</f>
        <v>0.315</v>
      </c>
      <c r="CI48" s="16">
        <f>IF(ISNA(VLOOKUP(A48,'Données projet'!$A$113:$I$133,6,0)),0%,VLOOKUP(A48,'Données projet'!$A$113:$I$133,6,0)*VLOOKUP('Données projet'!$B$12,Paramètres!$A$1:$I$89,7,0))</f>
        <v>7.5600000000000001E-2</v>
      </c>
      <c r="CJ48" s="16">
        <f>IF(ISNA(VLOOKUP(A48,'Données projet'!$A$113:$I$133,7,0)),0%,VLOOKUP(A48,'Données projet'!$A$113:$I$133,7,0))</f>
        <v>0.13200000000000001</v>
      </c>
      <c r="CK48" s="21">
        <f>EXP(-LN(2)/35)*CK47+(1-EXP(-LN(2)/35))/(LN(2)/35)*CG48*CH48*VLOOKUP('Données projet'!$B$12,Paramètres!$A$1:$I$89,3,0)*0.475*44/12</f>
        <v>25.305466664471687</v>
      </c>
      <c r="CL48" s="21">
        <f>EXP(-LN(2)/25)*CL47+(1-EXP(-LN(2)/25))/(LN(2)/25)*Calculateur!CG48*Calculateur!CI48*VLOOKUP('Données projet'!$B$12,Paramètres!$A$1:$I$89,3,0)*0.475*44/12</f>
        <v>18.032408485934965</v>
      </c>
      <c r="CM48" s="21">
        <f>EXP(-LN(2)/2)*CM47+(1-EXP(-LN(2)/2))/(LN(2)/2)*CG48*CJ48*VLOOKUP('Données projet'!$B$12,Paramètres!$A$1:$I$89,3,0)*0.475*44/12</f>
        <v>3.9387488628407756</v>
      </c>
      <c r="CN48" s="22">
        <f t="shared" si="12"/>
        <v>47.276624013247428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4.9333333333333327</v>
      </c>
      <c r="CT48" s="12">
        <f>IF('Données projet'!$A$140&gt;35,CT47+CS48-DB47,IF(A48&lt;'Données projet'!$A$140,$CQ$205^A48,IF(A48='Données projet'!$A$140,'Données projet'!$B$140,CT47+CS48-DB47)))</f>
        <v>81.2</v>
      </c>
      <c r="CU48" s="17">
        <f>CT48*VLOOKUP('Données projet'!$B$13,Paramètres!$A$1:$I$89,3,0)*VLOOKUP('Données projet'!$B$13,Paramètres!$A$1:$I$89,5,0)</f>
        <v>92.470560000000006</v>
      </c>
      <c r="CV48" s="13">
        <f t="shared" si="41"/>
        <v>25.160122229874872</v>
      </c>
      <c r="CW48" s="20">
        <f t="shared" si="13"/>
        <v>204.87343821703209</v>
      </c>
      <c r="CX48" s="59">
        <f t="shared" si="14"/>
        <v>498.20677155036537</v>
      </c>
      <c r="CY48" s="59">
        <f ca="1">AVERAGE(OFFSET($CX$3,0,0,'Données projet'!$E$13+1,1))-AVERAGE(OFFSET($H$3,0,0,'Données projet'!$E$13+1,1))</f>
        <v>330.87173217110126</v>
      </c>
      <c r="CZ48" s="59">
        <f t="shared" si="42"/>
        <v>200.52697135436102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6.166666666666667</v>
      </c>
      <c r="N49" s="13">
        <f>IF('Données projet'!$A$36&gt;35,N48+M49-V48,IF(A49&lt;'Données projet'!$A$36,$K$205^A49,IF(A49='Données projet'!$A$36,'Données projet'!$B$36,N48+M49-V48)))</f>
        <v>107.66666666666667</v>
      </c>
      <c r="O49" s="13">
        <f>N49*VLOOKUP('Données projet'!$B$9,Paramètres!$A$1:$I$89,3,0)*VLOOKUP('Données projet'!$B$9,Paramètres!$A$1:$I$89,5,0)</f>
        <v>97.416799999999995</v>
      </c>
      <c r="P49" s="13">
        <f t="shared" si="33"/>
        <v>26.345651528270771</v>
      </c>
      <c r="Q49" s="20">
        <f t="shared" si="53"/>
        <v>215.55293641173822</v>
      </c>
      <c r="R49" s="59">
        <f t="shared" si="0"/>
        <v>508.88626974507156</v>
      </c>
      <c r="S49" s="59">
        <f ca="1">AVERAGE(OFFSET($R$3,0,0,'Données projet'!$E$9+1,1))-AVERAGE(OFFSET($H$3,0,0,'Données projet'!$E$9+1,1))</f>
        <v>328.8796193543036</v>
      </c>
      <c r="T49" s="59">
        <f t="shared" si="34"/>
        <v>199.43308683696642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16.471899999999994</v>
      </c>
      <c r="AI49" s="13">
        <f>IF('Données projet'!$A$62&gt;35,AI48+AH49-AQ48,IF(A49&lt;'Données projet'!$A$62,$AF$205^A49,IF(A49='Données projet'!$A$62,'Données projet'!$B$62,AI48+AH49-AQ48)))</f>
        <v>320.26796944444442</v>
      </c>
      <c r="AJ49" s="13">
        <f>AI49*VLOOKUP('Données projet'!$B$10,Paramètres!$A$1:$I$89,3,0)*VLOOKUP('Données projet'!$B$10,Paramètres!$A$1:$I$89,5,0)</f>
        <v>249.80901616666665</v>
      </c>
      <c r="AK49" s="13">
        <f t="shared" si="35"/>
        <v>60.545042720057964</v>
      </c>
      <c r="AL49" s="20">
        <f t="shared" si="4"/>
        <v>540.53331922771201</v>
      </c>
      <c r="AM49" s="59">
        <f t="shared" si="5"/>
        <v>833.86665256104538</v>
      </c>
      <c r="AN49" s="59">
        <f ca="1">AVERAGE(OFFSET($AM$3,0,0,'Données projet'!$E$10+1,1))-AVERAGE(OFFSET($H$3,0,0,'Données projet'!$E$10+1,1))</f>
        <v>351.77274930064431</v>
      </c>
      <c r="AO49" s="59">
        <f t="shared" si="36"/>
        <v>386.10758060007078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34.056347499651331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34.056347499651331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138.17232000000004</v>
      </c>
      <c r="BF49" s="13">
        <f t="shared" si="37"/>
        <v>35.877989993863793</v>
      </c>
      <c r="BG49" s="20">
        <f t="shared" si="7"/>
        <v>303.13762323931286</v>
      </c>
      <c r="BH49" s="59">
        <f t="shared" si="8"/>
        <v>596.47095657264617</v>
      </c>
      <c r="BI49" s="59">
        <f ca="1">AVERAGE(OFFSET($BH$3,0,0,'Données projet'!$E$11+1,1))-AVERAGE(OFFSET($H$3,0,0,'Données projet'!$E$11+1,1))</f>
        <v>438.62466697107681</v>
      </c>
      <c r="BJ49" s="59">
        <f t="shared" si="38"/>
        <v>241.18285512887627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15.4</v>
      </c>
      <c r="BY49" s="12">
        <f>IF('Données projet'!$A$114&gt;35,BY48+BX49-CG48,IF(A49&lt;'Données projet'!$A$114,$BV$205^A49,IF(A49='Données projet'!$A$114,'Données projet'!$B$114,BY48+BX49-CG48)))</f>
        <v>260.39999999999998</v>
      </c>
      <c r="BZ49" s="13">
        <f>BY49*VLOOKUP('Données projet'!$B$12,Paramètres!$A$1:$I$89,3,0)*VLOOKUP('Données projet'!$B$12,Paramètres!$A$1:$I$89,5,0)</f>
        <v>148.94880000000001</v>
      </c>
      <c r="CA49" s="13">
        <f t="shared" si="39"/>
        <v>38.339598959124594</v>
      </c>
      <c r="CB49" s="20">
        <f t="shared" si="10"/>
        <v>326.19396152047534</v>
      </c>
      <c r="CC49" s="59">
        <f t="shared" si="11"/>
        <v>619.5272948538086</v>
      </c>
      <c r="CD49" s="59">
        <f ca="1">AVERAGE(OFFSET($CC$3,0,0,'Données projet'!$E$12+1,1))-AVERAGE(OFFSET($H$3,0,0,'Données projet'!$E$12+1,1))</f>
        <v>308.33000350259448</v>
      </c>
      <c r="CE49" s="59">
        <f t="shared" si="40"/>
        <v>282.64839194267171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24.809241897992003</v>
      </c>
      <c r="CL49" s="21">
        <f>EXP(-LN(2)/25)*CL48+(1-EXP(-LN(2)/25))/(LN(2)/25)*Calculateur!CG49*Calculateur!CI49*VLOOKUP('Données projet'!$B$12,Paramètres!$A$1:$I$89,3,0)*0.475*44/12</f>
        <v>17.539311327603926</v>
      </c>
      <c r="CM49" s="21">
        <f>EXP(-LN(2)/2)*CM48+(1-EXP(-LN(2)/2))/(LN(2)/2)*CG49*CJ49*VLOOKUP('Données projet'!$B$12,Paramètres!$A$1:$I$89,3,0)*0.475*44/12</f>
        <v>2.7851160303055154</v>
      </c>
      <c r="CN49" s="22">
        <f t="shared" si="12"/>
        <v>45.133669255901445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4.9333333333333327</v>
      </c>
      <c r="CT49" s="12">
        <f>IF('Données projet'!$A$140&gt;35,CT48+CS49-DB48,IF(A49&lt;'Données projet'!$A$140,$CQ$205^A49,IF(A49='Données projet'!$A$140,'Données projet'!$B$140,CT48+CS49-DB48)))</f>
        <v>86.13333333333334</v>
      </c>
      <c r="CU49" s="17">
        <f>CT49*VLOOKUP('Données projet'!$B$13,Paramètres!$A$1:$I$89,3,0)*VLOOKUP('Données projet'!$B$13,Paramètres!$A$1:$I$89,5,0)</f>
        <v>98.088640000000012</v>
      </c>
      <c r="CV49" s="13">
        <f t="shared" si="41"/>
        <v>26.506132203217287</v>
      </c>
      <c r="CW49" s="20">
        <f t="shared" si="13"/>
        <v>217.00256158727015</v>
      </c>
      <c r="CX49" s="59">
        <f t="shared" si="14"/>
        <v>510.33589492060344</v>
      </c>
      <c r="CY49" s="59">
        <f ca="1">AVERAGE(OFFSET($CX$3,0,0,'Données projet'!$E$13+1,1))-AVERAGE(OFFSET($H$3,0,0,'Données projet'!$E$13+1,1))</f>
        <v>330.87173217110126</v>
      </c>
      <c r="CZ49" s="59">
        <f t="shared" si="42"/>
        <v>200.52697135436102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6.166666666666667</v>
      </c>
      <c r="N50" s="13">
        <f>IF('Données projet'!$A$36&gt;35,N49+M50-V49,IF(A50&lt;'Données projet'!$A$36,$K$205^A50,IF(A50='Données projet'!$A$36,'Données projet'!$B$36,N49+M50-V49)))</f>
        <v>113.83333333333334</v>
      </c>
      <c r="O50" s="13">
        <f>N50*VLOOKUP('Données projet'!$B$9,Paramètres!$A$1:$I$89,3,0)*VLOOKUP('Données projet'!$B$9,Paramètres!$A$1:$I$89,5,0)</f>
        <v>102.99640000000001</v>
      </c>
      <c r="P50" s="13">
        <f t="shared" si="33"/>
        <v>27.674617306062274</v>
      </c>
      <c r="Q50" s="20">
        <f t="shared" si="53"/>
        <v>227.5853551413918</v>
      </c>
      <c r="R50" s="59">
        <f t="shared" si="0"/>
        <v>520.91868847472506</v>
      </c>
      <c r="S50" s="59">
        <f ca="1">AVERAGE(OFFSET($R$3,0,0,'Données projet'!$E$9+1,1))-AVERAGE(OFFSET($H$3,0,0,'Données projet'!$E$9+1,1))</f>
        <v>328.8796193543036</v>
      </c>
      <c r="T50" s="59">
        <f t="shared" si="34"/>
        <v>199.43308683696642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16.471899999999994</v>
      </c>
      <c r="AI50" s="13">
        <f>IF('Données projet'!$A$62&gt;35,AI49+AH50-AQ49,IF(A50&lt;'Données projet'!$A$62,$AF$205^A50,IF(A50='Données projet'!$A$62,'Données projet'!$B$62,AI49+AH50-AQ49)))</f>
        <v>336.73986944444442</v>
      </c>
      <c r="AJ50" s="13">
        <f>AI50*VLOOKUP('Données projet'!$B$10,Paramètres!$A$1:$I$89,3,0)*VLOOKUP('Données projet'!$B$10,Paramètres!$A$1:$I$89,5,0)</f>
        <v>262.65709816666669</v>
      </c>
      <c r="AK50" s="13">
        <f t="shared" si="35"/>
        <v>63.288428308081542</v>
      </c>
      <c r="AL50" s="20">
        <f t="shared" si="4"/>
        <v>567.68845861018656</v>
      </c>
      <c r="AM50" s="59">
        <f t="shared" si="5"/>
        <v>861.02179194351993</v>
      </c>
      <c r="AN50" s="59">
        <f ca="1">AVERAGE(OFFSET($AM$3,0,0,'Données projet'!$E$10+1,1))-AVERAGE(OFFSET($H$3,0,0,'Données projet'!$E$10+1,1))</f>
        <v>351.77274930064431</v>
      </c>
      <c r="AO50" s="59">
        <f t="shared" si="36"/>
        <v>386.10758060007078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33.388523297504044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33.388523297504044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145.97544000000002</v>
      </c>
      <c r="BF50" s="13">
        <f t="shared" si="37"/>
        <v>37.662547285900686</v>
      </c>
      <c r="BG50" s="20">
        <f t="shared" si="7"/>
        <v>319.83616118961032</v>
      </c>
      <c r="BH50" s="59">
        <f t="shared" si="8"/>
        <v>613.16949452294364</v>
      </c>
      <c r="BI50" s="59">
        <f ca="1">AVERAGE(OFFSET($BH$3,0,0,'Données projet'!$E$11+1,1))-AVERAGE(OFFSET($H$3,0,0,'Données projet'!$E$11+1,1))</f>
        <v>438.62466697107681</v>
      </c>
      <c r="BJ50" s="59">
        <f t="shared" si="38"/>
        <v>241.18285512887627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15.4</v>
      </c>
      <c r="BY50" s="12">
        <f>IF('Données projet'!$A$114&gt;35,BY49+BX50-CG49,IF(A50&lt;'Données projet'!$A$114,$BV$205^A50,IF(A50='Données projet'!$A$114,'Données projet'!$B$114,BY49+BX50-CG49)))</f>
        <v>275.79999999999995</v>
      </c>
      <c r="BZ50" s="13">
        <f>BY50*VLOOKUP('Données projet'!$B$12,Paramètres!$A$1:$I$89,3,0)*VLOOKUP('Données projet'!$B$12,Paramètres!$A$1:$I$89,5,0)</f>
        <v>157.75759999999997</v>
      </c>
      <c r="CA50" s="13">
        <f t="shared" si="39"/>
        <v>40.336321108929788</v>
      </c>
      <c r="CB50" s="20">
        <f t="shared" si="10"/>
        <v>345.01357926471928</v>
      </c>
      <c r="CC50" s="59">
        <f t="shared" si="11"/>
        <v>638.34691259805254</v>
      </c>
      <c r="CD50" s="59">
        <f ca="1">AVERAGE(OFFSET($CC$3,0,0,'Données projet'!$E$12+1,1))-AVERAGE(OFFSET($H$3,0,0,'Données projet'!$E$12+1,1))</f>
        <v>308.33000350259448</v>
      </c>
      <c r="CE50" s="59">
        <f t="shared" si="40"/>
        <v>282.64839194267171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24.322747796515763</v>
      </c>
      <c r="CL50" s="21">
        <f>EXP(-LN(2)/25)*CL49+(1-EXP(-LN(2)/25))/(LN(2)/25)*Calculateur!CG50*Calculateur!CI50*VLOOKUP('Données projet'!$B$12,Paramètres!$A$1:$I$89,3,0)*0.475*44/12</f>
        <v>17.059697936998301</v>
      </c>
      <c r="CM50" s="21">
        <f>EXP(-LN(2)/2)*CM49+(1-EXP(-LN(2)/2))/(LN(2)/2)*CG50*CJ50*VLOOKUP('Données projet'!$B$12,Paramètres!$A$1:$I$89,3,0)*0.475*44/12</f>
        <v>1.969374431420388</v>
      </c>
      <c r="CN50" s="22">
        <f t="shared" si="12"/>
        <v>43.351820164934452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4.9333333333333327</v>
      </c>
      <c r="CT50" s="12">
        <f>IF('Données projet'!$A$140&gt;35,CT49+CS50-DB49,IF(A50&lt;'Données projet'!$A$140,$CQ$205^A50,IF(A50='Données projet'!$A$140,'Données projet'!$B$140,CT49+CS50-DB49)))</f>
        <v>91.066666666666677</v>
      </c>
      <c r="CU50" s="17">
        <f>CT50*VLOOKUP('Données projet'!$B$13,Paramètres!$A$1:$I$89,3,0)*VLOOKUP('Données projet'!$B$13,Paramètres!$A$1:$I$89,5,0)</f>
        <v>103.70672</v>
      </c>
      <c r="CV50" s="13">
        <f t="shared" si="41"/>
        <v>27.843193181264965</v>
      </c>
      <c r="CW50" s="20">
        <f t="shared" si="13"/>
        <v>229.11609879070315</v>
      </c>
      <c r="CX50" s="59">
        <f t="shared" si="14"/>
        <v>522.44943212403643</v>
      </c>
      <c r="CY50" s="59">
        <f ca="1">AVERAGE(OFFSET($CX$3,0,0,'Données projet'!$E$13+1,1))-AVERAGE(OFFSET($H$3,0,0,'Données projet'!$E$13+1,1))</f>
        <v>330.87173217110126</v>
      </c>
      <c r="CZ50" s="59">
        <f t="shared" si="42"/>
        <v>200.52697135436102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120</v>
      </c>
      <c r="L51" s="12">
        <f>VLOOKUP(A51,'Données projet'!$A$35:$I$55,9,0)</f>
        <v>6.166666666666667</v>
      </c>
      <c r="M51" s="12">
        <f t="array" ref="M51">INDEX(L:L,MIN(IF(ISNUMBER(L51:L247),ROW(L51:L247),"")))</f>
        <v>6.166666666666667</v>
      </c>
      <c r="N51" s="13">
        <f>IF('Données projet'!$A$36&gt;35,N50+M51-V50,IF(A51&lt;'Données projet'!$A$36,$K$205^A51,IF(A51='Données projet'!$A$36,'Données projet'!$B$36,N50+M51-V50)))</f>
        <v>120.00000000000001</v>
      </c>
      <c r="O51" s="13">
        <f>N51*VLOOKUP('Données projet'!$B$9,Paramètres!$A$1:$I$89,3,0)*VLOOKUP('Données projet'!$B$9,Paramètres!$A$1:$I$89,5,0)</f>
        <v>108.57600000000002</v>
      </c>
      <c r="P51" s="13">
        <f t="shared" si="33"/>
        <v>28.995225061228027</v>
      </c>
      <c r="Q51" s="20">
        <f t="shared" si="53"/>
        <v>239.60321698163887</v>
      </c>
      <c r="R51" s="59">
        <f t="shared" si="0"/>
        <v>532.93655031497224</v>
      </c>
      <c r="S51" s="59">
        <f ca="1">AVERAGE(OFFSET($R$3,0,0,'Données projet'!$E$9+1,1))-AVERAGE(OFFSET($H$3,0,0,'Données projet'!$E$9+1,1))</f>
        <v>328.8796193543036</v>
      </c>
      <c r="T51" s="59">
        <f t="shared" si="34"/>
        <v>199.43308683696642</v>
      </c>
      <c r="U51" s="15">
        <f>IF(ISNA(VLOOKUP(A51,'Données projet'!$A$35:$I$55,3,0)),0,VLOOKUP(A51,'Données projet'!$A$35:$I$55,3,0))</f>
        <v>2</v>
      </c>
      <c r="V51" s="15">
        <f>IF(ISNA(VLOOKUP(A51,'Données projet'!$A$35:$I$55,4,0)),0,VLOOKUP(A51,'Données projet'!$A$35:$I$55,4,0))</f>
        <v>28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16.471899999999994</v>
      </c>
      <c r="AI51" s="13">
        <f>IF('Données projet'!$A$62&gt;35,AI50+AH51-AQ50,IF(A51&lt;'Données projet'!$A$62,$AF$205^A51,IF(A51='Données projet'!$A$62,'Données projet'!$B$62,AI50+AH51-AQ50)))</f>
        <v>353.21176944444443</v>
      </c>
      <c r="AJ51" s="13">
        <f>AI51*VLOOKUP('Données projet'!$B$10,Paramètres!$A$1:$I$89,3,0)*VLOOKUP('Données projet'!$B$10,Paramètres!$A$1:$I$89,5,0)</f>
        <v>275.50518016666666</v>
      </c>
      <c r="AK51" s="13">
        <f t="shared" si="35"/>
        <v>66.016231433925554</v>
      </c>
      <c r="AL51" s="20">
        <f t="shared" si="4"/>
        <v>594.81645853769805</v>
      </c>
      <c r="AM51" s="59">
        <f t="shared" si="5"/>
        <v>888.14979187103131</v>
      </c>
      <c r="AN51" s="59">
        <f ca="1">AVERAGE(OFFSET($AM$3,0,0,'Données projet'!$E$10+1,1))-AVERAGE(OFFSET($H$3,0,0,'Données projet'!$E$10+1,1))</f>
        <v>351.77274930064431</v>
      </c>
      <c r="AO51" s="59">
        <f t="shared" si="36"/>
        <v>386.10758060007078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32.733794720628325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32.733794720628325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153.77856000000003</v>
      </c>
      <c r="BF51" s="13">
        <f t="shared" si="37"/>
        <v>39.436029674841947</v>
      </c>
      <c r="BG51" s="20">
        <f t="shared" si="7"/>
        <v>336.51541035034978</v>
      </c>
      <c r="BH51" s="59">
        <f t="shared" si="8"/>
        <v>629.8487436836831</v>
      </c>
      <c r="BI51" s="59">
        <f ca="1">AVERAGE(OFFSET($BH$3,0,0,'Données projet'!$E$11+1,1))-AVERAGE(OFFSET($H$3,0,0,'Données projet'!$E$11+1,1))</f>
        <v>438.62466697107681</v>
      </c>
      <c r="BJ51" s="59">
        <f t="shared" si="38"/>
        <v>241.18285512887627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15.4</v>
      </c>
      <c r="BY51" s="12">
        <f>IF('Données projet'!$A$114&gt;35,BY50+BX51-CG50,IF(A51&lt;'Données projet'!$A$114,$BV$205^A51,IF(A51='Données projet'!$A$114,'Données projet'!$B$114,BY50+BX51-CG50)))</f>
        <v>291.19999999999993</v>
      </c>
      <c r="BZ51" s="13">
        <f>BY51*VLOOKUP('Données projet'!$B$12,Paramètres!$A$1:$I$89,3,0)*VLOOKUP('Données projet'!$B$12,Paramètres!$A$1:$I$89,5,0)</f>
        <v>166.56639999999996</v>
      </c>
      <c r="CA51" s="13">
        <f t="shared" si="39"/>
        <v>42.32010056205111</v>
      </c>
      <c r="CB51" s="20">
        <f t="shared" si="10"/>
        <v>363.8106551455723</v>
      </c>
      <c r="CC51" s="59">
        <f t="shared" si="11"/>
        <v>657.14398847890561</v>
      </c>
      <c r="CD51" s="59">
        <f ca="1">AVERAGE(OFFSET($CC$3,0,0,'Données projet'!$E$12+1,1))-AVERAGE(OFFSET($H$3,0,0,'Données projet'!$E$12+1,1))</f>
        <v>308.33000350259448</v>
      </c>
      <c r="CE51" s="59">
        <f t="shared" si="40"/>
        <v>282.64839194267171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23.845793547637371</v>
      </c>
      <c r="CL51" s="21">
        <f>EXP(-LN(2)/25)*CL50+(1-EXP(-LN(2)/25))/(LN(2)/25)*Calculateur!CG51*Calculateur!CI51*VLOOKUP('Données projet'!$B$12,Paramètres!$A$1:$I$89,3,0)*0.475*44/12</f>
        <v>16.593199599780558</v>
      </c>
      <c r="CM51" s="21">
        <f>EXP(-LN(2)/2)*CM50+(1-EXP(-LN(2)/2))/(LN(2)/2)*CG51*CJ51*VLOOKUP('Données projet'!$B$12,Paramètres!$A$1:$I$89,3,0)*0.475*44/12</f>
        <v>1.3925580151527579</v>
      </c>
      <c r="CN51" s="22">
        <f t="shared" si="12"/>
        <v>41.83155116257069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96</v>
      </c>
      <c r="CR51" s="12">
        <f>VLOOKUP(A51,'Données projet'!$A$139:$I$159,9,0)</f>
        <v>4.9333333333333327</v>
      </c>
      <c r="CS51" s="12">
        <f t="array" ref="CS51">INDEX(CR:CR,MIN(IF(ISNUMBER(CR51:CR247),ROW(CR51:CR247),"")))</f>
        <v>4.9333333333333327</v>
      </c>
      <c r="CT51" s="12">
        <f>IF('Données projet'!$A$140&gt;35,CT50+CS51-DB50,IF(A51&lt;'Données projet'!$A$140,$CQ$205^A51,IF(A51='Données projet'!$A$140,'Données projet'!$B$140,CT50+CS51-DB50)))</f>
        <v>96.000000000000014</v>
      </c>
      <c r="CU51" s="17">
        <f>CT51*VLOOKUP('Données projet'!$B$13,Paramètres!$A$1:$I$89,3,0)*VLOOKUP('Données projet'!$B$13,Paramètres!$A$1:$I$89,5,0)</f>
        <v>109.32480000000002</v>
      </c>
      <c r="CV51" s="13">
        <f t="shared" si="41"/>
        <v>29.171845225017059</v>
      </c>
      <c r="CW51" s="20">
        <f t="shared" si="13"/>
        <v>241.21499043357142</v>
      </c>
      <c r="CX51" s="59">
        <f t="shared" si="14"/>
        <v>534.54832376690479</v>
      </c>
      <c r="CY51" s="59">
        <f ca="1">AVERAGE(OFFSET($CX$3,0,0,'Données projet'!$E$13+1,1))-AVERAGE(OFFSET($H$3,0,0,'Données projet'!$E$13+1,1))</f>
        <v>330.87173217110126</v>
      </c>
      <c r="CZ51" s="59">
        <f t="shared" si="42"/>
        <v>200.52697135436102</v>
      </c>
      <c r="DA51" s="15">
        <f>IF(ISNA(VLOOKUP(A51,'Données projet'!$A$139:$I$159,3,0)),0,VLOOKUP(A51,'Données projet'!$A$139:$I$159,3,0))</f>
        <v>2</v>
      </c>
      <c r="DB51" s="15">
        <f>IF(ISNA(VLOOKUP(A51,'Données projet'!$A$139:$I$159,4,0)),0,VLOOKUP(A51,'Données projet'!$A$139:$I$159,4,0))</f>
        <v>22.400000000000002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5.75</v>
      </c>
      <c r="N52" s="13">
        <f>IF('Données projet'!$A$36&gt;35,N51+M52-V51,IF(A52&lt;'Données projet'!$A$36,$K$205^A52,IF(A52='Données projet'!$A$36,'Données projet'!$B$36,N51+M52-V51)))</f>
        <v>97.750000000000014</v>
      </c>
      <c r="O52" s="13">
        <f>N52*VLOOKUP('Données projet'!$B$9,Paramètres!$A$1:$I$89,3,0)*VLOOKUP('Données projet'!$B$9,Paramètres!$A$1:$I$89,5,0)</f>
        <v>88.444200000000009</v>
      </c>
      <c r="P52" s="13">
        <f t="shared" si="33"/>
        <v>24.189623542231114</v>
      </c>
      <c r="Q52" s="20">
        <f t="shared" si="53"/>
        <v>196.17057600271923</v>
      </c>
      <c r="R52" s="59">
        <f t="shared" si="0"/>
        <v>489.50390933605252</v>
      </c>
      <c r="S52" s="59">
        <f ca="1">AVERAGE(OFFSET($R$3,0,0,'Données projet'!$E$9+1,1))-AVERAGE(OFFSET($H$3,0,0,'Données projet'!$E$9+1,1))</f>
        <v>328.8796193543036</v>
      </c>
      <c r="T52" s="59">
        <f t="shared" si="34"/>
        <v>199.43308683696642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16.471899999999994</v>
      </c>
      <c r="AI52" s="13">
        <f>IF('Données projet'!$A$62&gt;35,AI51+AH52-AQ51,IF(A52&lt;'Données projet'!$A$62,$AF$205^A52,IF(A52='Données projet'!$A$62,'Données projet'!$B$62,AI51+AH52-AQ51)))</f>
        <v>369.68366944444443</v>
      </c>
      <c r="AJ52" s="13">
        <f>AI52*VLOOKUP('Données projet'!$B$10,Paramètres!$A$1:$I$89,3,0)*VLOOKUP('Données projet'!$B$10,Paramètres!$A$1:$I$89,5,0)</f>
        <v>288.3532621666667</v>
      </c>
      <c r="AK52" s="13">
        <f t="shared" si="35"/>
        <v>68.729261767915943</v>
      </c>
      <c r="AL52" s="20">
        <f t="shared" si="4"/>
        <v>621.91872918606475</v>
      </c>
      <c r="AM52" s="59">
        <f t="shared" si="5"/>
        <v>915.25206251939812</v>
      </c>
      <c r="AN52" s="59">
        <f ca="1">AVERAGE(OFFSET($AM$3,0,0,'Données projet'!$E$10+1,1))-AVERAGE(OFFSET($H$3,0,0,'Données projet'!$E$10+1,1))</f>
        <v>351.77274930064431</v>
      </c>
      <c r="AO52" s="59">
        <f t="shared" si="36"/>
        <v>386.10758060007078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32.09190497180014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32.09190497180014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161.58168000000001</v>
      </c>
      <c r="BF52" s="13">
        <f t="shared" si="37"/>
        <v>41.199063244334951</v>
      </c>
      <c r="BG52" s="20">
        <f t="shared" si="7"/>
        <v>353.17646115055004</v>
      </c>
      <c r="BH52" s="59">
        <f t="shared" si="8"/>
        <v>646.5097944838833</v>
      </c>
      <c r="BI52" s="59">
        <f ca="1">AVERAGE(OFFSET($BH$3,0,0,'Données projet'!$E$11+1,1))-AVERAGE(OFFSET($H$3,0,0,'Données projet'!$E$11+1,1))</f>
        <v>438.62466697107681</v>
      </c>
      <c r="BJ52" s="59">
        <f t="shared" si="38"/>
        <v>241.18285512887627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15.4</v>
      </c>
      <c r="BY52" s="12">
        <f>IF('Données projet'!$A$114&gt;35,BY51+BX52-CG51,IF(A52&lt;'Données projet'!$A$114,$BV$205^A52,IF(A52='Données projet'!$A$114,'Données projet'!$B$114,BY51+BX52-CG51)))</f>
        <v>306.59999999999991</v>
      </c>
      <c r="BZ52" s="13">
        <f>BY52*VLOOKUP('Données projet'!$B$12,Paramètres!$A$1:$I$89,3,0)*VLOOKUP('Données projet'!$B$12,Paramètres!$A$1:$I$89,5,0)</f>
        <v>175.37519999999998</v>
      </c>
      <c r="CA52" s="13">
        <f t="shared" si="39"/>
        <v>44.291699842241826</v>
      </c>
      <c r="CB52" s="20">
        <f t="shared" si="10"/>
        <v>382.58651722523774</v>
      </c>
      <c r="CC52" s="59">
        <f t="shared" si="11"/>
        <v>675.91985055857106</v>
      </c>
      <c r="CD52" s="59">
        <f ca="1">AVERAGE(OFFSET($CC$3,0,0,'Données projet'!$E$12+1,1))-AVERAGE(OFFSET($H$3,0,0,'Données projet'!$E$12+1,1))</f>
        <v>308.33000350259448</v>
      </c>
      <c r="CE52" s="59">
        <f t="shared" si="40"/>
        <v>282.64839194267171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23.378192080666118</v>
      </c>
      <c r="CL52" s="21">
        <f>EXP(-LN(2)/25)*CL51+(1-EXP(-LN(2)/25))/(LN(2)/25)*Calculateur!CG52*Calculateur!CI52*VLOOKUP('Données projet'!$B$12,Paramètres!$A$1:$I$89,3,0)*0.475*44/12</f>
        <v>16.139457684126114</v>
      </c>
      <c r="CM52" s="21">
        <f>EXP(-LN(2)/2)*CM51+(1-EXP(-LN(2)/2))/(LN(2)/2)*CG52*CJ52*VLOOKUP('Données projet'!$B$12,Paramètres!$A$1:$I$89,3,0)*0.475*44/12</f>
        <v>0.98468721571019413</v>
      </c>
      <c r="CN52" s="22">
        <f t="shared" si="12"/>
        <v>40.502336980502427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4.6000000000000014</v>
      </c>
      <c r="CT52" s="12">
        <f>IF('Données projet'!$A$140&gt;35,CT51+CS52-DB51,IF(A52&lt;'Données projet'!$A$140,$CQ$205^A52,IF(A52='Données projet'!$A$140,'Données projet'!$B$140,CT51+CS52-DB51)))</f>
        <v>78.200000000000017</v>
      </c>
      <c r="CU52" s="17">
        <f>CT52*VLOOKUP('Données projet'!$B$13,Paramètres!$A$1:$I$89,3,0)*VLOOKUP('Données projet'!$B$13,Paramètres!$A$1:$I$89,5,0)</f>
        <v>89.054160000000024</v>
      </c>
      <c r="CV52" s="13">
        <f t="shared" si="41"/>
        <v>24.336971088697897</v>
      </c>
      <c r="CW52" s="20">
        <f t="shared" si="13"/>
        <v>197.4895533128155</v>
      </c>
      <c r="CX52" s="59">
        <f t="shared" si="14"/>
        <v>490.82288664614885</v>
      </c>
      <c r="CY52" s="59">
        <f ca="1">AVERAGE(OFFSET($CX$3,0,0,'Données projet'!$E$13+1,1))-AVERAGE(OFFSET($H$3,0,0,'Données projet'!$E$13+1,1))</f>
        <v>330.87173217110126</v>
      </c>
      <c r="CZ52" s="59">
        <f t="shared" si="42"/>
        <v>200.52697135436102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5.75</v>
      </c>
      <c r="N53" s="13">
        <f>IF('Données projet'!$A$36&gt;35,N52+M53-V52,IF(A53&lt;'Données projet'!$A$36,$K$205^A53,IF(A53='Données projet'!$A$36,'Données projet'!$B$36,N52+M53-V52)))</f>
        <v>103.50000000000001</v>
      </c>
      <c r="O53" s="13">
        <f>N53*VLOOKUP('Données projet'!$B$9,Paramètres!$A$1:$I$89,3,0)*VLOOKUP('Données projet'!$B$9,Paramètres!$A$1:$I$89,5,0)</f>
        <v>93.646799999999999</v>
      </c>
      <c r="P53" s="13">
        <f t="shared" si="33"/>
        <v>25.442701819587722</v>
      </c>
      <c r="Q53" s="20">
        <f t="shared" si="53"/>
        <v>207.41421566911529</v>
      </c>
      <c r="R53" s="59">
        <f t="shared" si="0"/>
        <v>500.74754900244864</v>
      </c>
      <c r="S53" s="59">
        <f ca="1">AVERAGE(OFFSET($R$3,0,0,'Données projet'!$E$9+1,1))-AVERAGE(OFFSET($H$3,0,0,'Données projet'!$E$9+1,1))</f>
        <v>328.8796193543036</v>
      </c>
      <c r="T53" s="59">
        <f t="shared" si="34"/>
        <v>199.43308683696642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16.471899999999994</v>
      </c>
      <c r="AI53" s="13">
        <f>IF('Données projet'!$A$62&gt;35,AI52+AH53-AQ52,IF(A53&lt;'Données projet'!$A$62,$AF$205^A53,IF(A53='Données projet'!$A$62,'Données projet'!$B$62,AI52+AH53-AQ52)))</f>
        <v>386.15556944444444</v>
      </c>
      <c r="AJ53" s="13">
        <f>AI53*VLOOKUP('Données projet'!$B$10,Paramètres!$A$1:$I$89,3,0)*VLOOKUP('Données projet'!$B$10,Paramètres!$A$1:$I$89,5,0)</f>
        <v>301.20134416666667</v>
      </c>
      <c r="AK53" s="13">
        <f t="shared" si="35"/>
        <v>71.428252748583134</v>
      </c>
      <c r="AL53" s="20">
        <f t="shared" si="4"/>
        <v>648.99654796072673</v>
      </c>
      <c r="AM53" s="59">
        <f t="shared" si="5"/>
        <v>942.32988129405999</v>
      </c>
      <c r="AN53" s="59">
        <f ca="1">AVERAGE(OFFSET($AM$3,0,0,'Données projet'!$E$10+1,1))-AVERAGE(OFFSET($H$3,0,0,'Données projet'!$E$10+1,1))</f>
        <v>351.77274930064431</v>
      </c>
      <c r="AO53" s="59">
        <f t="shared" si="36"/>
        <v>386.10758060007078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31.462602289432386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31.462602289432386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169.38480000000001</v>
      </c>
      <c r="BF53" s="13">
        <f t="shared" si="37"/>
        <v>42.952210191662466</v>
      </c>
      <c r="BG53" s="20">
        <f t="shared" si="7"/>
        <v>369.82029275047876</v>
      </c>
      <c r="BH53" s="59">
        <f t="shared" si="8"/>
        <v>663.15362608381201</v>
      </c>
      <c r="BI53" s="59">
        <f ca="1">AVERAGE(OFFSET($BH$3,0,0,'Données projet'!$E$11+1,1))-AVERAGE(OFFSET($H$3,0,0,'Données projet'!$E$11+1,1))</f>
        <v>438.62466697107681</v>
      </c>
      <c r="BJ53" s="59">
        <f t="shared" si="38"/>
        <v>241.18285512887627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322</v>
      </c>
      <c r="BW53" s="12">
        <f>VLOOKUP(A53,'Données projet'!$A$113:$I$133,9,0)</f>
        <v>15.4</v>
      </c>
      <c r="BX53" s="12">
        <f t="array" ref="BX53">INDEX(BW:BW,MIN(IF(ISNUMBER(BW53:BW249),ROW(BW53:BW249),"")))</f>
        <v>15.4</v>
      </c>
      <c r="BY53" s="12">
        <f>IF('Données projet'!$A$114&gt;35,BY52+BX53-CG52,IF(A53&lt;'Données projet'!$A$114,$BV$205^A53,IF(A53='Données projet'!$A$114,'Données projet'!$B$114,BY52+BX53-CG52)))</f>
        <v>321.99999999999989</v>
      </c>
      <c r="BZ53" s="13">
        <f>BY53*VLOOKUP('Données projet'!$B$12,Paramètres!$A$1:$I$89,3,0)*VLOOKUP('Données projet'!$B$12,Paramètres!$A$1:$I$89,5,0)</f>
        <v>184.18399999999994</v>
      </c>
      <c r="CA53" s="13">
        <f t="shared" si="39"/>
        <v>46.251800545659314</v>
      </c>
      <c r="CB53" s="20">
        <f t="shared" si="10"/>
        <v>401.34235261702315</v>
      </c>
      <c r="CC53" s="59">
        <f t="shared" si="11"/>
        <v>694.67568595035641</v>
      </c>
      <c r="CD53" s="59">
        <f ca="1">AVERAGE(OFFSET($CC$3,0,0,'Données projet'!$E$12+1,1))-AVERAGE(OFFSET($H$3,0,0,'Données projet'!$E$12+1,1))</f>
        <v>308.33000350259448</v>
      </c>
      <c r="CE53" s="59">
        <f t="shared" si="40"/>
        <v>282.64839194267171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48</v>
      </c>
      <c r="CH53" s="16">
        <f>IF(ISNA(VLOOKUP(A53,'Données projet'!$A$113:$I$133,5,0)),0%,VLOOKUP(A53,'Données projet'!$A$113:$I$133,5,0)*VLOOKUP('Données projet'!$B$12,Paramètres!$A$1:$I$89,7,0))</f>
        <v>0.315</v>
      </c>
      <c r="CI53" s="16">
        <f>IF(ISNA(VLOOKUP(A53,'Données projet'!$A$113:$I$133,6,0)),0%,VLOOKUP(A53,'Données projet'!$A$113:$I$133,6,0)*VLOOKUP('Données projet'!$B$12,Paramètres!$A$1:$I$89,7,0))</f>
        <v>7.5600000000000001E-2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34.392738405146062</v>
      </c>
      <c r="CL53" s="21">
        <f>EXP(-LN(2)/25)*CL52+(1-EXP(-LN(2)/25))/(LN(2)/25)*Calculateur!CG53*Calculateur!CI53*VLOOKUP('Données projet'!$B$12,Paramètres!$A$1:$I$89,3,0)*0.475*44/12</f>
        <v>18.440796546857495</v>
      </c>
      <c r="CM53" s="21">
        <f>EXP(-LN(2)/2)*CM52+(1-EXP(-LN(2)/2))/(LN(2)/2)*CG53*CJ53*VLOOKUP('Données projet'!$B$12,Paramètres!$A$1:$I$89,3,0)*0.475*44/12</f>
        <v>4.799706242413416</v>
      </c>
      <c r="CN53" s="22">
        <f t="shared" si="12"/>
        <v>57.633241194416975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4.6000000000000014</v>
      </c>
      <c r="CT53" s="12">
        <f>IF('Données projet'!$A$140&gt;35,CT52+CS53-DB52,IF(A53&lt;'Données projet'!$A$140,$CQ$205^A53,IF(A53='Données projet'!$A$140,'Données projet'!$B$140,CT52+CS53-DB52)))</f>
        <v>82.800000000000011</v>
      </c>
      <c r="CU53" s="17">
        <f>CT53*VLOOKUP('Données projet'!$B$13,Paramètres!$A$1:$I$89,3,0)*VLOOKUP('Données projet'!$B$13,Paramètres!$A$1:$I$89,5,0)</f>
        <v>94.29264000000002</v>
      </c>
      <c r="CV53" s="13">
        <f t="shared" si="41"/>
        <v>25.597682308724192</v>
      </c>
      <c r="CW53" s="20">
        <f t="shared" si="13"/>
        <v>208.808978021028</v>
      </c>
      <c r="CX53" s="59">
        <f t="shared" si="14"/>
        <v>502.14231135436131</v>
      </c>
      <c r="CY53" s="59">
        <f ca="1">AVERAGE(OFFSET($CX$3,0,0,'Données projet'!$E$13+1,1))-AVERAGE(OFFSET($H$3,0,0,'Données projet'!$E$13+1,1))</f>
        <v>330.87173217110126</v>
      </c>
      <c r="CZ53" s="59">
        <f t="shared" si="42"/>
        <v>200.52697135436102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5.75</v>
      </c>
      <c r="N54" s="13">
        <f>IF('Données projet'!$A$36&gt;35,N53+M54-V53,IF(A54&lt;'Données projet'!$A$36,$K$205^A54,IF(A54='Données projet'!$A$36,'Données projet'!$B$36,N53+M54-V53)))</f>
        <v>109.25000000000001</v>
      </c>
      <c r="O54" s="13">
        <f>N54*VLOOKUP('Données projet'!$B$9,Paramètres!$A$1:$I$89,3,0)*VLOOKUP('Données projet'!$B$9,Paramètres!$A$1:$I$89,5,0)</f>
        <v>98.849400000000003</v>
      </c>
      <c r="P54" s="13">
        <f t="shared" si="33"/>
        <v>26.687698613342342</v>
      </c>
      <c r="Q54" s="20">
        <f t="shared" si="53"/>
        <v>218.64378008490459</v>
      </c>
      <c r="R54" s="59">
        <f t="shared" si="0"/>
        <v>511.97711341823788</v>
      </c>
      <c r="S54" s="59">
        <f ca="1">AVERAGE(OFFSET($R$3,0,0,'Données projet'!$E$9+1,1))-AVERAGE(OFFSET($H$3,0,0,'Données projet'!$E$9+1,1))</f>
        <v>328.8796193543036</v>
      </c>
      <c r="T54" s="59">
        <f t="shared" si="34"/>
        <v>199.43308683696642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16.471899999999994</v>
      </c>
      <c r="AI54" s="13">
        <f>IF('Données projet'!$A$62&gt;35,AI53+AH54-AQ53,IF(A54&lt;'Données projet'!$A$62,$AF$205^A54,IF(A54='Données projet'!$A$62,'Données projet'!$B$62,AI53+AH54-AQ53)))</f>
        <v>402.62746944444444</v>
      </c>
      <c r="AJ54" s="13">
        <f>AI54*VLOOKUP('Données projet'!$B$10,Paramètres!$A$1:$I$89,3,0)*VLOOKUP('Données projet'!$B$10,Paramètres!$A$1:$I$89,5,0)</f>
        <v>314.04942616666665</v>
      </c>
      <c r="AK54" s="13">
        <f t="shared" si="35"/>
        <v>74.11387170405294</v>
      </c>
      <c r="AL54" s="20">
        <f t="shared" si="4"/>
        <v>676.05107712483652</v>
      </c>
      <c r="AM54" s="59">
        <f t="shared" si="5"/>
        <v>969.3844104581699</v>
      </c>
      <c r="AN54" s="59">
        <f ca="1">AVERAGE(OFFSET($AM$3,0,0,'Données projet'!$E$10+1,1))-AVERAGE(OFFSET($H$3,0,0,'Données projet'!$E$10+1,1))</f>
        <v>351.77274930064431</v>
      </c>
      <c r="AO54" s="59">
        <f t="shared" si="36"/>
        <v>386.10758060007078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30.84563984882913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30.84563984882913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157.01399999999998</v>
      </c>
      <c r="BF54" s="13">
        <f t="shared" si="37"/>
        <v>40.168278112836184</v>
      </c>
      <c r="BG54" s="20">
        <f t="shared" si="7"/>
        <v>343.42580104652302</v>
      </c>
      <c r="BH54" s="59">
        <f t="shared" si="8"/>
        <v>636.75913437985628</v>
      </c>
      <c r="BI54" s="59">
        <f ca="1">AVERAGE(OFFSET($BH$3,0,0,'Données projet'!$E$11+1,1))-AVERAGE(OFFSET($H$3,0,0,'Données projet'!$E$11+1,1))</f>
        <v>438.62466697107681</v>
      </c>
      <c r="BJ54" s="59">
        <f t="shared" si="38"/>
        <v>241.18285512887627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12.5</v>
      </c>
      <c r="BY54" s="12">
        <f>IF('Données projet'!$A$114&gt;35,BY53+BX54-CG53,IF(A54&lt;'Données projet'!$A$114,$BV$205^A54,IF(A54='Données projet'!$A$114,'Données projet'!$B$114,BY53+BX54-CG53)))</f>
        <v>286.49999999999989</v>
      </c>
      <c r="BZ54" s="13">
        <f>BY54*VLOOKUP('Données projet'!$B$12,Paramètres!$A$1:$I$89,3,0)*VLOOKUP('Données projet'!$B$12,Paramètres!$A$1:$I$89,5,0)</f>
        <v>163.87799999999993</v>
      </c>
      <c r="CA54" s="13">
        <f t="shared" si="39"/>
        <v>41.71598625716593</v>
      </c>
      <c r="CB54" s="20">
        <f t="shared" si="10"/>
        <v>358.07619273123055</v>
      </c>
      <c r="CC54" s="59">
        <f t="shared" si="11"/>
        <v>651.40952606456381</v>
      </c>
      <c r="CD54" s="59">
        <f ca="1">AVERAGE(OFFSET($CC$3,0,0,'Données projet'!$E$12+1,1))-AVERAGE(OFFSET($H$3,0,0,'Données projet'!$E$12+1,1))</f>
        <v>308.33000350259448</v>
      </c>
      <c r="CE54" s="59">
        <f t="shared" si="40"/>
        <v>282.64839194267171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33.718317782520216</v>
      </c>
      <c r="CL54" s="21">
        <f>EXP(-LN(2)/25)*CL53+(1-EXP(-LN(2)/25))/(LN(2)/25)*Calculateur!CG54*Calculateur!CI54*VLOOKUP('Données projet'!$B$12,Paramètres!$A$1:$I$89,3,0)*0.475*44/12</f>
        <v>17.936531995524334</v>
      </c>
      <c r="CM54" s="21">
        <f>EXP(-LN(2)/2)*CM53+(1-EXP(-LN(2)/2))/(LN(2)/2)*CG54*CJ54*VLOOKUP('Données projet'!$B$12,Paramètres!$A$1:$I$89,3,0)*0.475*44/12</f>
        <v>3.3939048317139298</v>
      </c>
      <c r="CN54" s="22">
        <f t="shared" si="12"/>
        <v>55.048754609758483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4.6000000000000014</v>
      </c>
      <c r="CT54" s="12">
        <f>IF('Données projet'!$A$140&gt;35,CT53+CS54-DB53,IF(A54&lt;'Données projet'!$A$140,$CQ$205^A54,IF(A54='Données projet'!$A$140,'Données projet'!$B$140,CT53+CS54-DB53)))</f>
        <v>87.4</v>
      </c>
      <c r="CU54" s="17">
        <f>CT54*VLOOKUP('Données projet'!$B$13,Paramètres!$A$1:$I$89,3,0)*VLOOKUP('Données projet'!$B$13,Paramètres!$A$1:$I$89,5,0)</f>
        <v>99.531120000000001</v>
      </c>
      <c r="CV54" s="13">
        <f t="shared" si="41"/>
        <v>26.850262817975601</v>
      </c>
      <c r="CW54" s="20">
        <f t="shared" si="13"/>
        <v>220.1142417413075</v>
      </c>
      <c r="CX54" s="59">
        <f t="shared" si="14"/>
        <v>513.44757507464078</v>
      </c>
      <c r="CY54" s="59">
        <f ca="1">AVERAGE(OFFSET($CX$3,0,0,'Données projet'!$E$13+1,1))-AVERAGE(OFFSET($H$3,0,0,'Données projet'!$E$13+1,1))</f>
        <v>330.87173217110126</v>
      </c>
      <c r="CZ54" s="59">
        <f t="shared" si="42"/>
        <v>200.52697135436102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5.75</v>
      </c>
      <c r="N55" s="13">
        <f>IF('Données projet'!$A$36&gt;35,N54+M55-V54,IF(A55&lt;'Données projet'!$A$36,$K$205^A55,IF(A55='Données projet'!$A$36,'Données projet'!$B$36,N54+M55-V54)))</f>
        <v>115.00000000000001</v>
      </c>
      <c r="O55" s="13">
        <f>N55*VLOOKUP('Données projet'!$B$9,Paramètres!$A$1:$I$89,3,0)*VLOOKUP('Données projet'!$B$9,Paramètres!$A$1:$I$89,5,0)</f>
        <v>104.05200000000001</v>
      </c>
      <c r="P55" s="13">
        <f t="shared" si="33"/>
        <v>27.925087771564417</v>
      </c>
      <c r="Q55" s="20">
        <f t="shared" si="53"/>
        <v>229.86009453547467</v>
      </c>
      <c r="R55" s="59">
        <f t="shared" si="0"/>
        <v>523.19342786880793</v>
      </c>
      <c r="S55" s="59">
        <f ca="1">AVERAGE(OFFSET($R$3,0,0,'Données projet'!$E$9+1,1))-AVERAGE(OFFSET($H$3,0,0,'Données projet'!$E$9+1,1))</f>
        <v>328.8796193543036</v>
      </c>
      <c r="T55" s="59">
        <f t="shared" si="34"/>
        <v>199.43308683696642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16.471899999999994</v>
      </c>
      <c r="AI55" s="13">
        <f>IF('Données projet'!$A$62&gt;35,AI54+AH55-AQ54,IF(A55&lt;'Données projet'!$A$62,$AF$205^A55,IF(A55='Données projet'!$A$62,'Données projet'!$B$62,AI54+AH55-AQ54)))</f>
        <v>419.09936944444445</v>
      </c>
      <c r="AJ55" s="13">
        <f>AI55*VLOOKUP('Données projet'!$B$10,Paramètres!$A$1:$I$89,3,0)*VLOOKUP('Données projet'!$B$10,Paramètres!$A$1:$I$89,5,0)</f>
        <v>326.89750816666668</v>
      </c>
      <c r="AK55" s="13">
        <f t="shared" si="35"/>
        <v>76.786728270484275</v>
      </c>
      <c r="AL55" s="20">
        <f t="shared" si="4"/>
        <v>703.08337846137113</v>
      </c>
      <c r="AM55" s="59">
        <f t="shared" si="5"/>
        <v>996.4167117947045</v>
      </c>
      <c r="AN55" s="59">
        <f ca="1">AVERAGE(OFFSET($AM$3,0,0,'Données projet'!$E$10+1,1))-AVERAGE(OFFSET($H$3,0,0,'Données projet'!$E$10+1,1))</f>
        <v>351.77274930064431</v>
      </c>
      <c r="AO55" s="59">
        <f t="shared" si="36"/>
        <v>386.10758060007078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30.240775665376173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30.240775665376173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164.6268</v>
      </c>
      <c r="BF55" s="13">
        <f t="shared" si="37"/>
        <v>41.884365321551833</v>
      </c>
      <c r="BG55" s="20">
        <f t="shared" si="7"/>
        <v>359.67361293503609</v>
      </c>
      <c r="BH55" s="59">
        <f t="shared" si="8"/>
        <v>653.00694626836935</v>
      </c>
      <c r="BI55" s="59">
        <f ca="1">AVERAGE(OFFSET($BH$3,0,0,'Données projet'!$E$11+1,1))-AVERAGE(OFFSET($H$3,0,0,'Données projet'!$E$11+1,1))</f>
        <v>438.62466697107681</v>
      </c>
      <c r="BJ55" s="59">
        <f t="shared" si="38"/>
        <v>241.18285512887627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12.5</v>
      </c>
      <c r="BY55" s="12">
        <f>IF('Données projet'!$A$114&gt;35,BY54+BX55-CG54,IF(A55&lt;'Données projet'!$A$114,$BV$205^A55,IF(A55='Données projet'!$A$114,'Données projet'!$B$114,BY54+BX55-CG54)))</f>
        <v>298.99999999999989</v>
      </c>
      <c r="BZ55" s="13">
        <f>BY55*VLOOKUP('Données projet'!$B$12,Paramètres!$A$1:$I$89,3,0)*VLOOKUP('Données projet'!$B$12,Paramètres!$A$1:$I$89,5,0)</f>
        <v>171.02799999999993</v>
      </c>
      <c r="CA55" s="13">
        <f t="shared" si="39"/>
        <v>43.320180540366074</v>
      </c>
      <c r="CB55" s="20">
        <f t="shared" si="10"/>
        <v>373.32308110780406</v>
      </c>
      <c r="CC55" s="59">
        <f t="shared" si="11"/>
        <v>666.65641444113737</v>
      </c>
      <c r="CD55" s="59">
        <f ca="1">AVERAGE(OFFSET($CC$3,0,0,'Données projet'!$E$12+1,1))-AVERAGE(OFFSET($H$3,0,0,'Données projet'!$E$12+1,1))</f>
        <v>308.33000350259448</v>
      </c>
      <c r="CE55" s="59">
        <f t="shared" si="40"/>
        <v>282.64839194267171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33.057122136948102</v>
      </c>
      <c r="CL55" s="21">
        <f>EXP(-LN(2)/25)*CL54+(1-EXP(-LN(2)/25))/(LN(2)/25)*Calculateur!CG55*Calculateur!CI55*VLOOKUP('Données projet'!$B$12,Paramètres!$A$1:$I$89,3,0)*0.475*44/12</f>
        <v>17.446056584865499</v>
      </c>
      <c r="CM55" s="21">
        <f>EXP(-LN(2)/2)*CM54+(1-EXP(-LN(2)/2))/(LN(2)/2)*CG55*CJ55*VLOOKUP('Données projet'!$B$12,Paramètres!$A$1:$I$89,3,0)*0.475*44/12</f>
        <v>2.3998531212067085</v>
      </c>
      <c r="CN55" s="22">
        <f t="shared" si="12"/>
        <v>52.903031843020308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4.6000000000000014</v>
      </c>
      <c r="CT55" s="12">
        <f>IF('Données projet'!$A$140&gt;35,CT54+CS55-DB54,IF(A55&lt;'Données projet'!$A$140,$CQ$205^A55,IF(A55='Données projet'!$A$140,'Données projet'!$B$140,CT54+CS55-DB54)))</f>
        <v>92</v>
      </c>
      <c r="CU55" s="17">
        <f>CT55*VLOOKUP('Données projet'!$B$13,Paramètres!$A$1:$I$89,3,0)*VLOOKUP('Données projet'!$B$13,Paramètres!$A$1:$I$89,5,0)</f>
        <v>104.7696</v>
      </c>
      <c r="CV55" s="13">
        <f t="shared" si="41"/>
        <v>28.095189350897627</v>
      </c>
      <c r="CW55" s="20">
        <f t="shared" si="13"/>
        <v>231.40617478614672</v>
      </c>
      <c r="CX55" s="59">
        <f t="shared" si="14"/>
        <v>524.73950811947998</v>
      </c>
      <c r="CY55" s="59">
        <f ca="1">AVERAGE(OFFSET($CX$3,0,0,'Données projet'!$E$13+1,1))-AVERAGE(OFFSET($H$3,0,0,'Données projet'!$E$13+1,1))</f>
        <v>330.87173217110126</v>
      </c>
      <c r="CZ55" s="59">
        <f t="shared" si="42"/>
        <v>200.52697135436102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5.75</v>
      </c>
      <c r="N56" s="13">
        <f>IF('Données projet'!$A$36&gt;35,N55+M56-V55,IF(A56&lt;'Données projet'!$A$36,$K$205^A56,IF(A56='Données projet'!$A$36,'Données projet'!$B$36,N55+M56-V55)))</f>
        <v>120.75000000000001</v>
      </c>
      <c r="O56" s="13">
        <f>N56*VLOOKUP('Données projet'!$B$9,Paramètres!$A$1:$I$89,3,0)*VLOOKUP('Données projet'!$B$9,Paramètres!$A$1:$I$89,5,0)</f>
        <v>109.2546</v>
      </c>
      <c r="P56" s="13">
        <f t="shared" si="33"/>
        <v>29.15529308077269</v>
      </c>
      <c r="Q56" s="20">
        <f t="shared" si="53"/>
        <v>241.06389711567908</v>
      </c>
      <c r="R56" s="59">
        <f t="shared" si="0"/>
        <v>534.39723044901234</v>
      </c>
      <c r="S56" s="59">
        <f ca="1">AVERAGE(OFFSET($R$3,0,0,'Données projet'!$E$9+1,1))-AVERAGE(OFFSET($H$3,0,0,'Données projet'!$E$9+1,1))</f>
        <v>328.8796193543036</v>
      </c>
      <c r="T56" s="59">
        <f t="shared" si="34"/>
        <v>199.43308683696642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16.471899999999994</v>
      </c>
      <c r="AI56" s="13">
        <f>IF('Données projet'!$A$62&gt;35,AI55+AH56-AQ55,IF(A56&lt;'Données projet'!$A$62,$AF$205^A56,IF(A56='Données projet'!$A$62,'Données projet'!$B$62,AI55+AH56-AQ55)))</f>
        <v>435.57126944444445</v>
      </c>
      <c r="AJ56" s="13">
        <f>AI56*VLOOKUP('Données projet'!$B$10,Paramètres!$A$1:$I$89,3,0)*VLOOKUP('Données projet'!$B$10,Paramètres!$A$1:$I$89,5,0)</f>
        <v>339.74559016666666</v>
      </c>
      <c r="AK56" s="13">
        <f t="shared" si="35"/>
        <v>79.447381449782867</v>
      </c>
      <c r="AL56" s="20">
        <f t="shared" si="4"/>
        <v>730.09442556531621</v>
      </c>
      <c r="AM56" s="59">
        <f t="shared" si="5"/>
        <v>1023.4277588986495</v>
      </c>
      <c r="AN56" s="59">
        <f ca="1">AVERAGE(OFFSET($AM$3,0,0,'Données projet'!$E$10+1,1))-AVERAGE(OFFSET($H$3,0,0,'Données projet'!$E$10+1,1))</f>
        <v>351.77274930064431</v>
      </c>
      <c r="AO56" s="59">
        <f t="shared" si="36"/>
        <v>386.10758060007078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29.647772499630005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29.647772499630005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172.2396</v>
      </c>
      <c r="BF56" s="13">
        <f t="shared" si="37"/>
        <v>43.591236765546341</v>
      </c>
      <c r="BG56" s="20">
        <f t="shared" si="7"/>
        <v>375.9053740333265</v>
      </c>
      <c r="BH56" s="59">
        <f t="shared" si="8"/>
        <v>669.23870736665981</v>
      </c>
      <c r="BI56" s="59">
        <f ca="1">AVERAGE(OFFSET($BH$3,0,0,'Données projet'!$E$11+1,1))-AVERAGE(OFFSET($H$3,0,0,'Données projet'!$E$11+1,1))</f>
        <v>438.62466697107681</v>
      </c>
      <c r="BJ56" s="59">
        <f t="shared" si="38"/>
        <v>241.18285512887627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12.5</v>
      </c>
      <c r="BY56" s="12">
        <f>IF('Données projet'!$A$114&gt;35,BY55+BX56-CG55,IF(A56&lt;'Données projet'!$A$114,$BV$205^A56,IF(A56='Données projet'!$A$114,'Données projet'!$B$114,BY55+BX56-CG55)))</f>
        <v>311.49999999999989</v>
      </c>
      <c r="BZ56" s="13">
        <f>BY56*VLOOKUP('Données projet'!$B$12,Paramètres!$A$1:$I$89,3,0)*VLOOKUP('Données projet'!$B$12,Paramètres!$A$1:$I$89,5,0)</f>
        <v>178.17799999999994</v>
      </c>
      <c r="CA56" s="13">
        <f t="shared" si="39"/>
        <v>44.916585026719673</v>
      </c>
      <c r="CB56" s="20">
        <f t="shared" si="10"/>
        <v>388.55640225486997</v>
      </c>
      <c r="CC56" s="59">
        <f t="shared" si="11"/>
        <v>681.88973558820328</v>
      </c>
      <c r="CD56" s="59">
        <f ca="1">AVERAGE(OFFSET($CC$3,0,0,'Données projet'!$E$12+1,1))-AVERAGE(OFFSET($H$3,0,0,'Données projet'!$E$12+1,1))</f>
        <v>308.33000350259448</v>
      </c>
      <c r="CE56" s="59">
        <f t="shared" si="40"/>
        <v>282.64839194267171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32.408892134696138</v>
      </c>
      <c r="CL56" s="21">
        <f>EXP(-LN(2)/25)*CL55+(1-EXP(-LN(2)/25))/(LN(2)/25)*Calculateur!CG56*Calculateur!CI56*VLOOKUP('Données projet'!$B$12,Paramètres!$A$1:$I$89,3,0)*0.475*44/12</f>
        <v>16.968993250104109</v>
      </c>
      <c r="CM56" s="21">
        <f>EXP(-LN(2)/2)*CM55+(1-EXP(-LN(2)/2))/(LN(2)/2)*CG56*CJ56*VLOOKUP('Données projet'!$B$12,Paramètres!$A$1:$I$89,3,0)*0.475*44/12</f>
        <v>1.6969524158569653</v>
      </c>
      <c r="CN56" s="22">
        <f t="shared" si="12"/>
        <v>51.074837800657214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4.6000000000000014</v>
      </c>
      <c r="CT56" s="12">
        <f>IF('Données projet'!$A$140&gt;35,CT55+CS56-DB55,IF(A56&lt;'Données projet'!$A$140,$CQ$205^A56,IF(A56='Données projet'!$A$140,'Données projet'!$B$140,CT55+CS56-DB55)))</f>
        <v>96.6</v>
      </c>
      <c r="CU56" s="17">
        <f>CT56*VLOOKUP('Données projet'!$B$13,Paramètres!$A$1:$I$89,3,0)*VLOOKUP('Données projet'!$B$13,Paramètres!$A$1:$I$89,5,0)</f>
        <v>110.00808000000001</v>
      </c>
      <c r="CV56" s="13">
        <f t="shared" si="41"/>
        <v>29.33288827544246</v>
      </c>
      <c r="CW56" s="20">
        <f t="shared" si="13"/>
        <v>242.68551974639561</v>
      </c>
      <c r="CX56" s="59">
        <f t="shared" si="14"/>
        <v>536.01885307972896</v>
      </c>
      <c r="CY56" s="59">
        <f ca="1">AVERAGE(OFFSET($CX$3,0,0,'Données projet'!$E$13+1,1))-AVERAGE(OFFSET($H$3,0,0,'Données projet'!$E$13+1,1))</f>
        <v>330.87173217110126</v>
      </c>
      <c r="CZ56" s="59">
        <f t="shared" si="42"/>
        <v>200.52697135436102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5.75</v>
      </c>
      <c r="N57" s="13">
        <f>IF('Données projet'!$A$36&gt;35,N56+M57-V56,IF(A57&lt;'Données projet'!$A$36,$K$205^A57,IF(A57='Données projet'!$A$36,'Données projet'!$B$36,N56+M57-V56)))</f>
        <v>126.50000000000001</v>
      </c>
      <c r="O57" s="13">
        <f>N57*VLOOKUP('Données projet'!$B$9,Paramètres!$A$1:$I$89,3,0)*VLOOKUP('Données projet'!$B$9,Paramètres!$A$1:$I$89,5,0)</f>
        <v>114.45720000000001</v>
      </c>
      <c r="P57" s="13">
        <f t="shared" si="33"/>
        <v>30.378695686262596</v>
      </c>
      <c r="Q57" s="20">
        <f t="shared" si="53"/>
        <v>252.25585165357404</v>
      </c>
      <c r="R57" s="59">
        <f t="shared" si="0"/>
        <v>545.58918498690741</v>
      </c>
      <c r="S57" s="59">
        <f ca="1">AVERAGE(OFFSET($R$3,0,0,'Données projet'!$E$9+1,1))-AVERAGE(OFFSET($H$3,0,0,'Données projet'!$E$9+1,1))</f>
        <v>328.8796193543036</v>
      </c>
      <c r="T57" s="59">
        <f t="shared" si="34"/>
        <v>199.43308683696642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16.471899999999994</v>
      </c>
      <c r="AI57" s="13">
        <f>IF('Données projet'!$A$62&gt;35,AI56+AH57-AQ56,IF(A57&lt;'Données projet'!$A$62,$AF$205^A57,IF(A57='Données projet'!$A$62,'Données projet'!$B$62,AI56+AH57-AQ56)))</f>
        <v>452.04316944444446</v>
      </c>
      <c r="AJ57" s="13">
        <f>AI57*VLOOKUP('Données projet'!$B$10,Paramètres!$A$1:$I$89,3,0)*VLOOKUP('Données projet'!$B$10,Paramètres!$A$1:$I$89,5,0)</f>
        <v>352.59367216666669</v>
      </c>
      <c r="AK57" s="13">
        <f t="shared" si="35"/>
        <v>82.096345569695359</v>
      </c>
      <c r="AL57" s="20">
        <f t="shared" si="4"/>
        <v>757.08511422416393</v>
      </c>
      <c r="AM57" s="59">
        <f t="shared" si="5"/>
        <v>1050.4184475574973</v>
      </c>
      <c r="AN57" s="59">
        <f ca="1">AVERAGE(OFFSET($AM$3,0,0,'Données projet'!$E$10+1,1))-AVERAGE(OFFSET($H$3,0,0,'Données projet'!$E$10+1,1))</f>
        <v>351.77274930064431</v>
      </c>
      <c r="AO57" s="59">
        <f t="shared" si="36"/>
        <v>386.10758060007078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29.066397764267901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29.066397764267901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179.85239999999999</v>
      </c>
      <c r="BF57" s="13">
        <f t="shared" si="37"/>
        <v>45.289346318280131</v>
      </c>
      <c r="BG57" s="20">
        <f t="shared" si="7"/>
        <v>392.12187483767121</v>
      </c>
      <c r="BH57" s="59">
        <f t="shared" si="8"/>
        <v>685.45520817100453</v>
      </c>
      <c r="BI57" s="59">
        <f ca="1">AVERAGE(OFFSET($BH$3,0,0,'Données projet'!$E$11+1,1))-AVERAGE(OFFSET($H$3,0,0,'Données projet'!$E$11+1,1))</f>
        <v>438.62466697107681</v>
      </c>
      <c r="BJ57" s="59">
        <f t="shared" si="38"/>
        <v>241.18285512887627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12.5</v>
      </c>
      <c r="BY57" s="12">
        <f>IF('Données projet'!$A$114&gt;35,BY56+BX57-CG56,IF(A57&lt;'Données projet'!$A$114,$BV$205^A57,IF(A57='Données projet'!$A$114,'Données projet'!$B$114,BY56+BX57-CG56)))</f>
        <v>323.99999999999989</v>
      </c>
      <c r="BZ57" s="13">
        <f>BY57*VLOOKUP('Données projet'!$B$12,Paramètres!$A$1:$I$89,3,0)*VLOOKUP('Données projet'!$B$12,Paramètres!$A$1:$I$89,5,0)</f>
        <v>185.32799999999995</v>
      </c>
      <c r="CA57" s="13">
        <f t="shared" si="39"/>
        <v>46.505548070897582</v>
      </c>
      <c r="CB57" s="20">
        <f t="shared" si="10"/>
        <v>403.77676289014653</v>
      </c>
      <c r="CC57" s="59">
        <f t="shared" si="11"/>
        <v>697.11009622347979</v>
      </c>
      <c r="CD57" s="59">
        <f ca="1">AVERAGE(OFFSET($CC$3,0,0,'Données projet'!$E$12+1,1))-AVERAGE(OFFSET($H$3,0,0,'Données projet'!$E$12+1,1))</f>
        <v>308.33000350259448</v>
      </c>
      <c r="CE57" s="59">
        <f t="shared" si="40"/>
        <v>282.64839194267171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31.773373527407074</v>
      </c>
      <c r="CL57" s="21">
        <f>EXP(-LN(2)/25)*CL56+(1-EXP(-LN(2)/25))/(LN(2)/25)*Calculateur!CG57*Calculateur!CI57*VLOOKUP('Données projet'!$B$12,Paramètres!$A$1:$I$89,3,0)*0.475*44/12</f>
        <v>16.504975237319439</v>
      </c>
      <c r="CM57" s="21">
        <f>EXP(-LN(2)/2)*CM56+(1-EXP(-LN(2)/2))/(LN(2)/2)*CG57*CJ57*VLOOKUP('Données projet'!$B$12,Paramètres!$A$1:$I$89,3,0)*0.475*44/12</f>
        <v>1.1999265606033545</v>
      </c>
      <c r="CN57" s="22">
        <f t="shared" si="12"/>
        <v>49.478275325329868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4.6000000000000014</v>
      </c>
      <c r="CT57" s="12">
        <f>IF('Données projet'!$A$140&gt;35,CT56+CS57-DB56,IF(A57&lt;'Données projet'!$A$140,$CQ$205^A57,IF(A57='Données projet'!$A$140,'Données projet'!$B$140,CT56+CS57-DB56)))</f>
        <v>101.19999999999999</v>
      </c>
      <c r="CU57" s="17">
        <f>CT57*VLOOKUP('Données projet'!$B$13,Paramètres!$A$1:$I$89,3,0)*VLOOKUP('Données projet'!$B$13,Paramètres!$A$1:$I$89,5,0)</f>
        <v>115.24655999999999</v>
      </c>
      <c r="CV57" s="13">
        <f t="shared" si="41"/>
        <v>30.563743058596309</v>
      </c>
      <c r="CW57" s="20">
        <f t="shared" si="13"/>
        <v>253.9529444937219</v>
      </c>
      <c r="CX57" s="59">
        <f t="shared" si="14"/>
        <v>547.28627782705519</v>
      </c>
      <c r="CY57" s="59">
        <f ca="1">AVERAGE(OFFSET($CX$3,0,0,'Données projet'!$E$13+1,1))-AVERAGE(OFFSET($H$3,0,0,'Données projet'!$E$13+1,1))</f>
        <v>330.87173217110126</v>
      </c>
      <c r="CZ57" s="59">
        <f t="shared" si="42"/>
        <v>200.52697135436102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5.75</v>
      </c>
      <c r="N58" s="13">
        <f>IF('Données projet'!$A$36&gt;35,N57+M58-V57,IF(A58&lt;'Données projet'!$A$36,$K$205^A58,IF(A58='Données projet'!$A$36,'Données projet'!$B$36,N57+M58-V57)))</f>
        <v>132.25</v>
      </c>
      <c r="O58" s="13">
        <f>N58*VLOOKUP('Données projet'!$B$9,Paramètres!$A$1:$I$89,3,0)*VLOOKUP('Données projet'!$B$9,Paramètres!$A$1:$I$89,5,0)</f>
        <v>119.6598</v>
      </c>
      <c r="P58" s="13">
        <f t="shared" si="33"/>
        <v>31.595640125146211</v>
      </c>
      <c r="Q58" s="20">
        <f t="shared" si="53"/>
        <v>263.43655821796295</v>
      </c>
      <c r="R58" s="59">
        <f t="shared" si="0"/>
        <v>556.76989155129627</v>
      </c>
      <c r="S58" s="59">
        <f ca="1">AVERAGE(OFFSET($R$3,0,0,'Données projet'!$E$9+1,1))-AVERAGE(OFFSET($H$3,0,0,'Données projet'!$E$9+1,1))</f>
        <v>328.8796193543036</v>
      </c>
      <c r="T58" s="59">
        <f t="shared" si="34"/>
        <v>199.43308683696642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468.51506944444446</v>
      </c>
      <c r="AG58" s="12">
        <f>VLOOKUP(A58,'Données projet'!$A$61:$I$81,9,0)</f>
        <v>16.471899999999994</v>
      </c>
      <c r="AH58" s="12">
        <f t="array" ref="AH58">INDEX(AG:AG,MIN(IF(ISNUMBER(AG58:AG254),ROW(AG58:AG254),"")))</f>
        <v>16.471899999999994</v>
      </c>
      <c r="AI58" s="13">
        <f>IF('Données projet'!$A$62&gt;35,AI57+AH58-AQ57,IF(A58&lt;'Données projet'!$A$62,$AF$205^A58,IF(A58='Données projet'!$A$62,'Données projet'!$B$62,AI57+AH58-AQ57)))</f>
        <v>468.51506944444446</v>
      </c>
      <c r="AJ58" s="13">
        <f>AI58*VLOOKUP('Données projet'!$B$10,Paramètres!$A$1:$I$89,3,0)*VLOOKUP('Données projet'!$B$10,Paramètres!$A$1:$I$89,5,0)</f>
        <v>365.44175416666667</v>
      </c>
      <c r="AK58" s="13">
        <f t="shared" si="35"/>
        <v>84.734095350772407</v>
      </c>
      <c r="AL58" s="20">
        <f t="shared" si="4"/>
        <v>784.05627124287309</v>
      </c>
      <c r="AM58" s="59">
        <f t="shared" si="5"/>
        <v>1077.3896045762065</v>
      </c>
      <c r="AN58" s="59">
        <f ca="1">AVERAGE(OFFSET($AM$3,0,0,'Données projet'!$E$10+1,1))-AVERAGE(OFFSET($H$3,0,0,'Données projet'!$E$10+1,1))</f>
        <v>351.77274930064431</v>
      </c>
      <c r="AO58" s="59">
        <f t="shared" si="36"/>
        <v>386.10758060007078</v>
      </c>
      <c r="AP58" s="15" t="str">
        <f>IF(ISNA(VLOOKUP(A58,'Données projet'!$A$61:$I$81,3,0)),0,VLOOKUP(A58,'Données projet'!$A$61:$I$81,3,0))</f>
        <v>CR</v>
      </c>
      <c r="AQ58" s="15">
        <f>IF(ISNA(VLOOKUP(A58,'Données projet'!$A$61:$I$81,4,0)),0,VLOOKUP(A58,'Données projet'!$A$61:$I$81,4,0))</f>
        <v>468.51506944444446</v>
      </c>
      <c r="AR58" s="16">
        <f>IF(ISNA(VLOOKUP(A58,'Données projet'!$A$61:$I$81,5,0)),0%,VLOOKUP(A58,'Données projet'!$A$61:$I$81,5,0)*VLOOKUP('Données projet'!$B$10,Paramètres!$A$1:$I$89,7,0))</f>
        <v>0.38700000000000001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184.83863185240196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184.83863185240196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187.46520000000001</v>
      </c>
      <c r="BF58" s="13">
        <f t="shared" si="37"/>
        <v>46.979107256618605</v>
      </c>
      <c r="BG58" s="20">
        <f t="shared" si="7"/>
        <v>408.32383513861078</v>
      </c>
      <c r="BH58" s="59">
        <f t="shared" si="8"/>
        <v>701.65716847194403</v>
      </c>
      <c r="BI58" s="59">
        <f ca="1">AVERAGE(OFFSET($BH$3,0,0,'Données projet'!$E$11+1,1))-AVERAGE(OFFSET($H$3,0,0,'Données projet'!$E$11+1,1))</f>
        <v>438.62466697107681</v>
      </c>
      <c r="BJ58" s="59">
        <f t="shared" si="38"/>
        <v>241.18285512887627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12.5</v>
      </c>
      <c r="BY58" s="12">
        <f>IF('Données projet'!$A$114&gt;35,BY57+BX58-CG57,IF(A58&lt;'Données projet'!$A$114,$BV$205^A58,IF(A58='Données projet'!$A$114,'Données projet'!$B$114,BY57+BX58-CG57)))</f>
        <v>336.49999999999989</v>
      </c>
      <c r="BZ58" s="13">
        <f>BY58*VLOOKUP('Données projet'!$B$12,Paramètres!$A$1:$I$89,3,0)*VLOOKUP('Données projet'!$B$12,Paramètres!$A$1:$I$89,5,0)</f>
        <v>192.47799999999992</v>
      </c>
      <c r="CA58" s="13">
        <f t="shared" si="39"/>
        <v>48.087389626209038</v>
      </c>
      <c r="CB58" s="20">
        <f t="shared" si="10"/>
        <v>418.98472026564724</v>
      </c>
      <c r="CC58" s="59">
        <f t="shared" si="11"/>
        <v>712.31805359898055</v>
      </c>
      <c r="CD58" s="59">
        <f ca="1">AVERAGE(OFFSET($CC$3,0,0,'Données projet'!$E$12+1,1))-AVERAGE(OFFSET($H$3,0,0,'Données projet'!$E$12+1,1))</f>
        <v>308.33000350259448</v>
      </c>
      <c r="CE58" s="59">
        <f t="shared" si="40"/>
        <v>282.64839194267171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31.150317052378874</v>
      </c>
      <c r="CL58" s="21">
        <f>EXP(-LN(2)/25)*CL57+(1-EXP(-LN(2)/25))/(LN(2)/25)*Calculateur!CG58*Calculateur!CI58*VLOOKUP('Données projet'!$B$12,Paramètres!$A$1:$I$89,3,0)*0.475*44/12</f>
        <v>16.053645821496012</v>
      </c>
      <c r="CM58" s="21">
        <f>EXP(-LN(2)/2)*CM57+(1-EXP(-LN(2)/2))/(LN(2)/2)*CG58*CJ58*VLOOKUP('Données projet'!$B$12,Paramètres!$A$1:$I$89,3,0)*0.475*44/12</f>
        <v>0.84847620792848277</v>
      </c>
      <c r="CN58" s="22">
        <f t="shared" si="12"/>
        <v>48.052439081803371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4.6000000000000014</v>
      </c>
      <c r="CT58" s="12">
        <f>IF('Données projet'!$A$140&gt;35,CT57+CS58-DB57,IF(A58&lt;'Données projet'!$A$140,$CQ$205^A58,IF(A58='Données projet'!$A$140,'Données projet'!$B$140,CT57+CS58-DB57)))</f>
        <v>105.79999999999998</v>
      </c>
      <c r="CU58" s="17">
        <f>CT58*VLOOKUP('Données projet'!$B$13,Paramètres!$A$1:$I$89,3,0)*VLOOKUP('Données projet'!$B$13,Paramètres!$A$1:$I$89,5,0)</f>
        <v>120.48503999999997</v>
      </c>
      <c r="CV58" s="13">
        <f t="shared" si="41"/>
        <v>31.788100336168498</v>
      </c>
      <c r="CW58" s="20">
        <f t="shared" si="13"/>
        <v>265.20905275216006</v>
      </c>
      <c r="CX58" s="59">
        <f t="shared" si="14"/>
        <v>558.54238608549338</v>
      </c>
      <c r="CY58" s="59">
        <f ca="1">AVERAGE(OFFSET($CX$3,0,0,'Données projet'!$E$13+1,1))-AVERAGE(OFFSET($H$3,0,0,'Données projet'!$E$13+1,1))</f>
        <v>330.87173217110126</v>
      </c>
      <c r="CZ58" s="59">
        <f t="shared" si="42"/>
        <v>200.52697135436102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138</v>
      </c>
      <c r="L59" s="12">
        <f>VLOOKUP(A59,'Données projet'!$A$35:$I$55,9,0)</f>
        <v>5.75</v>
      </c>
      <c r="M59" s="12">
        <f t="array" ref="M59">INDEX(L:L,MIN(IF(ISNUMBER(L59:L255),ROW(L59:L255),"")))</f>
        <v>5.75</v>
      </c>
      <c r="N59" s="13">
        <f>IF('Données projet'!$A$36&gt;35,N58+M59-V58,IF(A59&lt;'Données projet'!$A$36,$K$205^A59,IF(A59='Données projet'!$A$36,'Données projet'!$B$36,N58+M59-V58)))</f>
        <v>138</v>
      </c>
      <c r="O59" s="13">
        <f>N59*VLOOKUP('Données projet'!$B$9,Paramètres!$A$1:$I$89,3,0)*VLOOKUP('Données projet'!$B$9,Paramètres!$A$1:$I$89,5,0)</f>
        <v>124.86239999999999</v>
      </c>
      <c r="P59" s="13">
        <f t="shared" si="33"/>
        <v>32.806439280561598</v>
      </c>
      <c r="Q59" s="20">
        <f t="shared" si="53"/>
        <v>274.60656174697812</v>
      </c>
      <c r="R59" s="59">
        <f t="shared" si="0"/>
        <v>567.93989508031143</v>
      </c>
      <c r="S59" s="59">
        <f ca="1">AVERAGE(OFFSET($R$3,0,0,'Données projet'!$E$9+1,1))-AVERAGE(OFFSET($H$3,0,0,'Données projet'!$E$9+1,1))</f>
        <v>328.8796193543036</v>
      </c>
      <c r="T59" s="59">
        <f t="shared" si="34"/>
        <v>199.43308683696642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36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351.77274930064431</v>
      </c>
      <c r="AO59" s="59">
        <f t="shared" si="36"/>
        <v>386.10758060007078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181.2140590222096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181.2140590222096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174.71376000000001</v>
      </c>
      <c r="BF59" s="13">
        <f t="shared" si="37"/>
        <v>44.144062647515817</v>
      </c>
      <c r="BG59" s="20">
        <f t="shared" si="7"/>
        <v>381.17737444442338</v>
      </c>
      <c r="BH59" s="59">
        <f t="shared" si="8"/>
        <v>674.51070777775669</v>
      </c>
      <c r="BI59" s="59">
        <f ca="1">AVERAGE(OFFSET($BH$3,0,0,'Données projet'!$E$11+1,1))-AVERAGE(OFFSET($H$3,0,0,'Données projet'!$E$11+1,1))</f>
        <v>438.62466697107681</v>
      </c>
      <c r="BJ59" s="59">
        <f t="shared" si="38"/>
        <v>241.18285512887627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12.5</v>
      </c>
      <c r="BY59" s="12">
        <f>IF('Données projet'!$A$114&gt;35,BY58+BX59-CG58,IF(A59&lt;'Données projet'!$A$114,$BV$205^A59,IF(A59='Données projet'!$A$114,'Données projet'!$B$114,BY58+BX59-CG58)))</f>
        <v>348.99999999999989</v>
      </c>
      <c r="BZ59" s="13">
        <f>BY59*VLOOKUP('Données projet'!$B$12,Paramètres!$A$1:$I$89,3,0)*VLOOKUP('Données projet'!$B$12,Paramètres!$A$1:$I$89,5,0)</f>
        <v>199.62799999999993</v>
      </c>
      <c r="CA59" s="13">
        <f t="shared" si="39"/>
        <v>49.662404528500517</v>
      </c>
      <c r="CB59" s="20">
        <f t="shared" si="10"/>
        <v>434.18078788713825</v>
      </c>
      <c r="CC59" s="59">
        <f t="shared" si="11"/>
        <v>727.51412122047157</v>
      </c>
      <c r="CD59" s="59">
        <f ca="1">AVERAGE(OFFSET($CC$3,0,0,'Données projet'!$E$12+1,1))-AVERAGE(OFFSET($H$3,0,0,'Données projet'!$E$12+1,1))</f>
        <v>308.33000350259448</v>
      </c>
      <c r="CE59" s="59">
        <f t="shared" si="40"/>
        <v>282.64839194267171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30.53947833479905</v>
      </c>
      <c r="CL59" s="21">
        <f>EXP(-LN(2)/25)*CL58+(1-EXP(-LN(2)/25))/(LN(2)/25)*Calculateur!CG59*Calculateur!CI59*VLOOKUP('Données projet'!$B$12,Paramètres!$A$1:$I$89,3,0)*0.475*44/12</f>
        <v>15.61465803228266</v>
      </c>
      <c r="CM59" s="21">
        <f>EXP(-LN(2)/2)*CM58+(1-EXP(-LN(2)/2))/(LN(2)/2)*CG59*CJ59*VLOOKUP('Données projet'!$B$12,Paramètres!$A$1:$I$89,3,0)*0.475*44/12</f>
        <v>0.59996328030167734</v>
      </c>
      <c r="CN59" s="22">
        <f t="shared" si="12"/>
        <v>46.754099647383391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>
        <f>VLOOKUP(A59,'Données projet'!$A$139:$I$159,2,0)</f>
        <v>110.4</v>
      </c>
      <c r="CR59" s="12">
        <f>VLOOKUP(A59,'Données projet'!$A$139:$I$159,9,0)</f>
        <v>4.6000000000000014</v>
      </c>
      <c r="CS59" s="12">
        <f t="array" ref="CS59">INDEX(CR:CR,MIN(IF(ISNUMBER(CR59:CR255),ROW(CR59:CR255),"")))</f>
        <v>4.6000000000000014</v>
      </c>
      <c r="CT59" s="12">
        <f>IF('Données projet'!$A$140&gt;35,CT58+CS59-DB58,IF(A59&lt;'Données projet'!$A$140,$CQ$205^A59,IF(A59='Données projet'!$A$140,'Données projet'!$B$140,CT58+CS59-DB58)))</f>
        <v>110.39999999999998</v>
      </c>
      <c r="CU59" s="17">
        <f>CT59*VLOOKUP('Données projet'!$B$13,Paramètres!$A$1:$I$89,3,0)*VLOOKUP('Données projet'!$B$13,Paramètres!$A$1:$I$89,5,0)</f>
        <v>125.72351999999998</v>
      </c>
      <c r="CV59" s="13">
        <f t="shared" si="41"/>
        <v>33.006274897178862</v>
      </c>
      <c r="CW59" s="20">
        <f t="shared" si="13"/>
        <v>276.45439277925311</v>
      </c>
      <c r="CX59" s="59">
        <f t="shared" si="14"/>
        <v>569.78772611258637</v>
      </c>
      <c r="CY59" s="59">
        <f ca="1">AVERAGE(OFFSET($CX$3,0,0,'Données projet'!$E$13+1,1))-AVERAGE(OFFSET($H$3,0,0,'Données projet'!$E$13+1,1))</f>
        <v>330.87173217110126</v>
      </c>
      <c r="CZ59" s="59">
        <f t="shared" si="42"/>
        <v>200.52697135436102</v>
      </c>
      <c r="DA59" s="15">
        <f>IF(ISNA(VLOOKUP(A59,'Données projet'!$A$139:$I$159,3,0)),0,VLOOKUP(A59,'Données projet'!$A$139:$I$159,3,0))</f>
        <v>3</v>
      </c>
      <c r="DB59" s="15">
        <f>IF(ISNA(VLOOKUP(A59,'Données projet'!$A$139:$I$159,4,0)),0,VLOOKUP(A59,'Données projet'!$A$139:$I$159,4,0))</f>
        <v>28.8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6.625</v>
      </c>
      <c r="N60" s="13">
        <f>IF('Données projet'!$A$36&gt;35,N59+M60-V59,IF(A60&lt;'Données projet'!$A$36,$K$205^A60,IF(A60='Données projet'!$A$36,'Données projet'!$B$36,N59+M60-V59)))</f>
        <v>108.625</v>
      </c>
      <c r="O60" s="13">
        <f>N60*VLOOKUP('Données projet'!$B$9,Paramètres!$A$1:$I$89,3,0)*VLOOKUP('Données projet'!$B$9,Paramètres!$A$1:$I$89,5,0)</f>
        <v>98.283900000000003</v>
      </c>
      <c r="P60" s="13">
        <f t="shared" si="33"/>
        <v>26.552749421787905</v>
      </c>
      <c r="Q60" s="20">
        <f t="shared" si="53"/>
        <v>217.42383107628061</v>
      </c>
      <c r="R60" s="59">
        <f t="shared" si="0"/>
        <v>510.75716440961389</v>
      </c>
      <c r="S60" s="59">
        <f ca="1">AVERAGE(OFFSET($R$3,0,0,'Données projet'!$E$9+1,1))-AVERAGE(OFFSET($H$3,0,0,'Données projet'!$E$9+1,1))</f>
        <v>328.8796193543036</v>
      </c>
      <c r="T60" s="59">
        <f t="shared" si="34"/>
        <v>199.43308683696642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351.77274930064431</v>
      </c>
      <c r="AO60" s="59">
        <f t="shared" si="36"/>
        <v>386.10758060007078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177.66056185444617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177.66056185444617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181.94592</v>
      </c>
      <c r="BF60" s="13">
        <f t="shared" si="37"/>
        <v>45.754846212632849</v>
      </c>
      <c r="BG60" s="20">
        <f t="shared" si="7"/>
        <v>396.57883448700221</v>
      </c>
      <c r="BH60" s="59">
        <f t="shared" si="8"/>
        <v>689.91216782033553</v>
      </c>
      <c r="BI60" s="59">
        <f ca="1">AVERAGE(OFFSET($BH$3,0,0,'Données projet'!$E$11+1,1))-AVERAGE(OFFSET($H$3,0,0,'Données projet'!$E$11+1,1))</f>
        <v>438.62466697107681</v>
      </c>
      <c r="BJ60" s="59">
        <f t="shared" si="38"/>
        <v>241.18285512887627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12.5</v>
      </c>
      <c r="BY60" s="12">
        <f>IF('Données projet'!$A$114&gt;35,BY59+BX60-CG59,IF(A60&lt;'Données projet'!$A$114,$BV$205^A60,IF(A60='Données projet'!$A$114,'Données projet'!$B$114,BY59+BX60-CG59)))</f>
        <v>361.49999999999989</v>
      </c>
      <c r="BZ60" s="13">
        <f>BY60*VLOOKUP('Données projet'!$B$12,Paramètres!$A$1:$I$89,3,0)*VLOOKUP('Données projet'!$B$12,Paramètres!$A$1:$I$89,5,0)</f>
        <v>206.77799999999993</v>
      </c>
      <c r="CA60" s="13">
        <f t="shared" si="39"/>
        <v>51.230865296361095</v>
      </c>
      <c r="CB60" s="20">
        <f t="shared" si="10"/>
        <v>449.36544039116211</v>
      </c>
      <c r="CC60" s="59">
        <f t="shared" si="11"/>
        <v>742.69877372449537</v>
      </c>
      <c r="CD60" s="59">
        <f ca="1">AVERAGE(OFFSET($CC$3,0,0,'Données projet'!$E$12+1,1))-AVERAGE(OFFSET($H$3,0,0,'Données projet'!$E$12+1,1))</f>
        <v>308.33000350259448</v>
      </c>
      <c r="CE60" s="59">
        <f t="shared" si="40"/>
        <v>282.64839194267171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29.940617791896138</v>
      </c>
      <c r="CL60" s="21">
        <f>EXP(-LN(2)/25)*CL59+(1-EXP(-LN(2)/25))/(LN(2)/25)*Calculateur!CG60*Calculateur!CI60*VLOOKUP('Données projet'!$B$12,Paramètres!$A$1:$I$89,3,0)*0.475*44/12</f>
        <v>15.187674387250713</v>
      </c>
      <c r="CM60" s="21">
        <f>EXP(-LN(2)/2)*CM59+(1-EXP(-LN(2)/2))/(LN(2)/2)*CG60*CJ60*VLOOKUP('Données projet'!$B$12,Paramètres!$A$1:$I$89,3,0)*0.475*44/12</f>
        <v>0.42423810396424144</v>
      </c>
      <c r="CN60" s="22">
        <f t="shared" si="12"/>
        <v>45.552530283111096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5.2999999999999989</v>
      </c>
      <c r="CT60" s="12">
        <f>IF('Données projet'!$A$140&gt;35,CT59+CS60-DB59,IF(A60&lt;'Données projet'!$A$140,$CQ$205^A60,IF(A60='Données projet'!$A$140,'Données projet'!$B$140,CT59+CS60-DB59)))</f>
        <v>86.899999999999977</v>
      </c>
      <c r="CU60" s="17">
        <f>CT60*VLOOKUP('Données projet'!$B$13,Paramètres!$A$1:$I$89,3,0)*VLOOKUP('Données projet'!$B$13,Paramètres!$A$1:$I$89,5,0)</f>
        <v>98.961719999999971</v>
      </c>
      <c r="CV60" s="13">
        <f t="shared" si="41"/>
        <v>26.714491603199573</v>
      </c>
      <c r="CW60" s="20">
        <f t="shared" si="13"/>
        <v>218.8860685422392</v>
      </c>
      <c r="CX60" s="59">
        <f t="shared" si="14"/>
        <v>512.21940187557254</v>
      </c>
      <c r="CY60" s="59">
        <f ca="1">AVERAGE(OFFSET($CX$3,0,0,'Données projet'!$E$13+1,1))-AVERAGE(OFFSET($H$3,0,0,'Données projet'!$E$13+1,1))</f>
        <v>330.87173217110126</v>
      </c>
      <c r="CZ60" s="59">
        <f t="shared" si="42"/>
        <v>200.52697135436102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6.625</v>
      </c>
      <c r="N61" s="13">
        <f>IF('Données projet'!$A$36&gt;35,N60+M61-V60,IF(A61&lt;'Données projet'!$A$36,$K$205^A61,IF(A61='Données projet'!$A$36,'Données projet'!$B$36,N60+M61-V60)))</f>
        <v>115.25</v>
      </c>
      <c r="O61" s="13">
        <f>N61*VLOOKUP('Données projet'!$B$9,Paramètres!$A$1:$I$89,3,0)*VLOOKUP('Données projet'!$B$9,Paramètres!$A$1:$I$89,5,0)</f>
        <v>104.2782</v>
      </c>
      <c r="P61" s="13">
        <f t="shared" si="33"/>
        <v>27.978721441571697</v>
      </c>
      <c r="Q61" s="20">
        <f t="shared" si="53"/>
        <v>230.34747151073736</v>
      </c>
      <c r="R61" s="59">
        <f t="shared" si="0"/>
        <v>523.68080484407074</v>
      </c>
      <c r="S61" s="59">
        <f ca="1">AVERAGE(OFFSET($R$3,0,0,'Données projet'!$E$9+1,1))-AVERAGE(OFFSET($H$3,0,0,'Données projet'!$E$9+1,1))</f>
        <v>328.8796193543036</v>
      </c>
      <c r="T61" s="59">
        <f t="shared" si="34"/>
        <v>199.43308683696642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351.77274930064431</v>
      </c>
      <c r="AO61" s="59">
        <f t="shared" si="36"/>
        <v>386.10758060007078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174.17674659872333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174.17674659872333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189.17807999999999</v>
      </c>
      <c r="BF61" s="13">
        <f t="shared" si="37"/>
        <v>47.358192185392497</v>
      </c>
      <c r="BG61" s="20">
        <f t="shared" si="7"/>
        <v>411.96734072289183</v>
      </c>
      <c r="BH61" s="59">
        <f t="shared" si="8"/>
        <v>705.30067405622515</v>
      </c>
      <c r="BI61" s="59">
        <f ca="1">AVERAGE(OFFSET($BH$3,0,0,'Données projet'!$E$11+1,1))-AVERAGE(OFFSET($H$3,0,0,'Données projet'!$E$11+1,1))</f>
        <v>438.62466697107681</v>
      </c>
      <c r="BJ61" s="59">
        <f t="shared" si="38"/>
        <v>241.18285512887627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374</v>
      </c>
      <c r="BW61" s="12">
        <f>VLOOKUP(A61,'Données projet'!$A$113:$I$133,9,0)</f>
        <v>12.5</v>
      </c>
      <c r="BX61" s="12">
        <f t="array" ref="BX61">INDEX(BW:BW,MIN(IF(ISNUMBER(BW61:BW257),ROW(BW61:BW257),"")))</f>
        <v>12.5</v>
      </c>
      <c r="BY61" s="12">
        <f>IF('Données projet'!$A$114&gt;35,BY60+BX61-CG60,IF(A61&lt;'Données projet'!$A$114,$BV$205^A61,IF(A61='Données projet'!$A$114,'Données projet'!$B$114,BY60+BX61-CG60)))</f>
        <v>373.99999999999989</v>
      </c>
      <c r="BZ61" s="13">
        <f>BY61*VLOOKUP('Données projet'!$B$12,Paramètres!$A$1:$I$89,3,0)*VLOOKUP('Données projet'!$B$12,Paramètres!$A$1:$I$89,5,0)</f>
        <v>213.92799999999994</v>
      </c>
      <c r="CA61" s="13">
        <f t="shared" si="39"/>
        <v>52.793024533142734</v>
      </c>
      <c r="CB61" s="20">
        <f t="shared" si="10"/>
        <v>464.53911772855685</v>
      </c>
      <c r="CC61" s="59">
        <f t="shared" si="11"/>
        <v>757.87245106189016</v>
      </c>
      <c r="CD61" s="59">
        <f ca="1">AVERAGE(OFFSET($CC$3,0,0,'Données projet'!$E$12+1,1))-AVERAGE(OFFSET($H$3,0,0,'Données projet'!$E$12+1,1))</f>
        <v>308.33000350259448</v>
      </c>
      <c r="CE61" s="59">
        <f t="shared" si="40"/>
        <v>282.64839194267171</v>
      </c>
      <c r="CF61" s="15">
        <f>IF(ISNA(VLOOKUP(A61,'Données projet'!$A$113:$I$133,3,0)),0,VLOOKUP(A61,'Données projet'!$A$113:$I$133,3,0))</f>
        <v>8</v>
      </c>
      <c r="CG61" s="15">
        <f>IF(ISNA(VLOOKUP(A61,'Données projet'!$A$113:$I$133,4,0)),0,VLOOKUP(A61,'Données projet'!$A$113:$I$133,4,0))</f>
        <v>50</v>
      </c>
      <c r="CH61" s="16">
        <f>IF(ISNA(VLOOKUP(A61,'Données projet'!$A$113:$I$133,5,0)),0%,VLOOKUP(A61,'Données projet'!$A$113:$I$133,5,0)*VLOOKUP('Données projet'!$B$12,Paramètres!$A$1:$I$89,7,0))</f>
        <v>0.315</v>
      </c>
      <c r="CI61" s="16">
        <f>IF(ISNA(VLOOKUP(A61,'Données projet'!$A$113:$I$133,6,0)),0%,VLOOKUP(A61,'Données projet'!$A$113:$I$133,6,0)*VLOOKUP('Données projet'!$B$12,Paramètres!$A$1:$I$89,7,0))</f>
        <v>7.5600000000000001E-2</v>
      </c>
      <c r="CJ61" s="16">
        <f>IF(ISNA(VLOOKUP(A61,'Données projet'!$A$113:$I$133,7,0)),0%,VLOOKUP(A61,'Données projet'!$A$113:$I$133,7,0))</f>
        <v>0.13200000000000001</v>
      </c>
      <c r="CK61" s="21">
        <f>EXP(-LN(2)/35)*CK60+(1-EXP(-LN(2)/35))/(LN(2)/35)*CG61*CH61*VLOOKUP('Données projet'!$B$12,Paramètres!$A$1:$I$89,3,0)*0.475*44/12</f>
        <v>41.304519718025503</v>
      </c>
      <c r="CL61" s="21">
        <f>EXP(-LN(2)/25)*CL60+(1-EXP(-LN(2)/25))/(LN(2)/25)*Calculateur!CG61*Calculateur!CI61*VLOOKUP('Données projet'!$B$12,Paramètres!$A$1:$I$89,3,0)*0.475*44/12</f>
        <v>17.629317863530634</v>
      </c>
      <c r="CM61" s="21">
        <f>EXP(-LN(2)/2)*CM60+(1-EXP(-LN(2)/2))/(LN(2)/2)*CG61*CJ61*VLOOKUP('Données projet'!$B$12,Paramètres!$A$1:$I$89,3,0)*0.475*44/12</f>
        <v>4.5743850097727528</v>
      </c>
      <c r="CN61" s="22">
        <f t="shared" si="12"/>
        <v>63.508222591328888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5.2999999999999989</v>
      </c>
      <c r="CT61" s="12">
        <f>IF('Données projet'!$A$140&gt;35,CT60+CS61-DB60,IF(A61&lt;'Données projet'!$A$140,$CQ$205^A61,IF(A61='Données projet'!$A$140,'Données projet'!$B$140,CT60+CS61-DB60)))</f>
        <v>92.199999999999974</v>
      </c>
      <c r="CU61" s="17">
        <f>CT61*VLOOKUP('Données projet'!$B$13,Paramètres!$A$1:$I$89,3,0)*VLOOKUP('Données projet'!$B$13,Paramètres!$A$1:$I$89,5,0)</f>
        <v>104.99735999999997</v>
      </c>
      <c r="CV61" s="13">
        <f t="shared" si="41"/>
        <v>28.149149722544941</v>
      </c>
      <c r="CW61" s="20">
        <f t="shared" si="13"/>
        <v>231.89683776676574</v>
      </c>
      <c r="CX61" s="59">
        <f t="shared" si="14"/>
        <v>525.23017110009903</v>
      </c>
      <c r="CY61" s="59">
        <f ca="1">AVERAGE(OFFSET($CX$3,0,0,'Données projet'!$E$13+1,1))-AVERAGE(OFFSET($H$3,0,0,'Données projet'!$E$13+1,1))</f>
        <v>330.87173217110126</v>
      </c>
      <c r="CZ61" s="59">
        <f t="shared" si="42"/>
        <v>200.52697135436102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6.625</v>
      </c>
      <c r="N62" s="13">
        <f>IF('Données projet'!$A$36&gt;35,N61+M62-V61,IF(A62&lt;'Données projet'!$A$36,$K$205^A62,IF(A62='Données projet'!$A$36,'Données projet'!$B$36,N61+M62-V61)))</f>
        <v>121.875</v>
      </c>
      <c r="O62" s="13">
        <f>N62*VLOOKUP('Données projet'!$B$9,Paramètres!$A$1:$I$89,3,0)*VLOOKUP('Données projet'!$B$9,Paramètres!$A$1:$I$89,5,0)</f>
        <v>110.27250000000001</v>
      </c>
      <c r="P62" s="13">
        <f t="shared" si="33"/>
        <v>29.395178449871299</v>
      </c>
      <c r="Q62" s="20">
        <f t="shared" si="53"/>
        <v>243.2545399668592</v>
      </c>
      <c r="R62" s="59">
        <f t="shared" si="0"/>
        <v>536.58787330019254</v>
      </c>
      <c r="S62" s="59">
        <f ca="1">AVERAGE(OFFSET($R$3,0,0,'Données projet'!$E$9+1,1))-AVERAGE(OFFSET($H$3,0,0,'Données projet'!$E$9+1,1))</f>
        <v>328.8796193543036</v>
      </c>
      <c r="T62" s="59">
        <f t="shared" si="34"/>
        <v>199.43308683696642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351.77274930064431</v>
      </c>
      <c r="AO62" s="59">
        <f t="shared" si="36"/>
        <v>386.10758060007078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170.76124683524773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170.76124683524773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196.41023999999999</v>
      </c>
      <c r="BF62" s="13">
        <f t="shared" si="37"/>
        <v>48.954417448783772</v>
      </c>
      <c r="BG62" s="20">
        <f t="shared" si="7"/>
        <v>427.34344505663171</v>
      </c>
      <c r="BH62" s="59">
        <f t="shared" si="8"/>
        <v>720.67677838996497</v>
      </c>
      <c r="BI62" s="59">
        <f ca="1">AVERAGE(OFFSET($BH$3,0,0,'Données projet'!$E$11+1,1))-AVERAGE(OFFSET($H$3,0,0,'Données projet'!$E$11+1,1))</f>
        <v>438.62466697107681</v>
      </c>
      <c r="BJ62" s="59">
        <f t="shared" si="38"/>
        <v>241.18285512887627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7.625</v>
      </c>
      <c r="BY62" s="12">
        <f>IF('Données projet'!$A$114&gt;35,BY61+BX62-CG61,IF(A62&lt;'Données projet'!$A$114,$BV$205^A62,IF(A62='Données projet'!$A$114,'Données projet'!$B$114,BY61+BX62-CG61)))</f>
        <v>331.62499999999989</v>
      </c>
      <c r="BZ62" s="13">
        <f>BY62*VLOOKUP('Données projet'!$B$12,Paramètres!$A$1:$I$89,3,0)*VLOOKUP('Données projet'!$B$12,Paramètres!$A$1:$I$89,5,0)</f>
        <v>189.68949999999995</v>
      </c>
      <c r="CA62" s="13">
        <f t="shared" si="39"/>
        <v>47.471299176697507</v>
      </c>
      <c r="CB62" s="20">
        <f t="shared" si="10"/>
        <v>413.05505856608141</v>
      </c>
      <c r="CC62" s="59">
        <f t="shared" si="11"/>
        <v>706.38839189941473</v>
      </c>
      <c r="CD62" s="59">
        <f ca="1">AVERAGE(OFFSET($CC$3,0,0,'Données projet'!$E$12+1,1))-AVERAGE(OFFSET($H$3,0,0,'Données projet'!$E$12+1,1))</f>
        <v>308.33000350259448</v>
      </c>
      <c r="CE62" s="59">
        <f t="shared" si="40"/>
        <v>282.64839194267171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40.494563279624423</v>
      </c>
      <c r="CL62" s="21">
        <f>EXP(-LN(2)/25)*CL61+(1-EXP(-LN(2)/25))/(LN(2)/25)*Calculateur!CG62*Calculateur!CI62*VLOOKUP('Données projet'!$B$12,Paramètres!$A$1:$I$89,3,0)*0.475*44/12</f>
        <v>17.147243239466853</v>
      </c>
      <c r="CM62" s="21">
        <f>EXP(-LN(2)/2)*CM61+(1-EXP(-LN(2)/2))/(LN(2)/2)*CG62*CJ62*VLOOKUP('Données projet'!$B$12,Paramètres!$A$1:$I$89,3,0)*0.475*44/12</f>
        <v>3.2345786601684052</v>
      </c>
      <c r="CN62" s="22">
        <f t="shared" si="12"/>
        <v>60.876385179259678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5.2999999999999989</v>
      </c>
      <c r="CT62" s="12">
        <f>IF('Données projet'!$A$140&gt;35,CT61+CS62-DB61,IF(A62&lt;'Données projet'!$A$140,$CQ$205^A62,IF(A62='Données projet'!$A$140,'Données projet'!$B$140,CT61+CS62-DB61)))</f>
        <v>97.499999999999972</v>
      </c>
      <c r="CU62" s="17">
        <f>CT62*VLOOKUP('Données projet'!$B$13,Paramètres!$A$1:$I$89,3,0)*VLOOKUP('Données projet'!$B$13,Paramètres!$A$1:$I$89,5,0)</f>
        <v>111.03299999999997</v>
      </c>
      <c r="CV62" s="13">
        <f t="shared" si="41"/>
        <v>29.574234871108271</v>
      </c>
      <c r="CW62" s="20">
        <f t="shared" si="13"/>
        <v>244.89093406718015</v>
      </c>
      <c r="CX62" s="59">
        <f t="shared" si="14"/>
        <v>538.22426740051344</v>
      </c>
      <c r="CY62" s="59">
        <f ca="1">AVERAGE(OFFSET($CX$3,0,0,'Données projet'!$E$13+1,1))-AVERAGE(OFFSET($H$3,0,0,'Données projet'!$E$13+1,1))</f>
        <v>330.87173217110126</v>
      </c>
      <c r="CZ62" s="59">
        <f t="shared" si="42"/>
        <v>200.52697135436102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6.625</v>
      </c>
      <c r="N63" s="13">
        <f>IF('Données projet'!$A$36&gt;35,N62+M63-V62,IF(A63&lt;'Données projet'!$A$36,$K$205^A63,IF(A63='Données projet'!$A$36,'Données projet'!$B$36,N62+M63-V62)))</f>
        <v>128.5</v>
      </c>
      <c r="O63" s="13">
        <f>N63*VLOOKUP('Données projet'!$B$9,Paramètres!$A$1:$I$89,3,0)*VLOOKUP('Données projet'!$B$9,Paramètres!$A$1:$I$89,5,0)</f>
        <v>116.2668</v>
      </c>
      <c r="P63" s="13">
        <f t="shared" si="33"/>
        <v>30.802696637636817</v>
      </c>
      <c r="Q63" s="20">
        <f t="shared" si="53"/>
        <v>256.14603997721747</v>
      </c>
      <c r="R63" s="59">
        <f t="shared" si="0"/>
        <v>549.47937331055073</v>
      </c>
      <c r="S63" s="59">
        <f ca="1">AVERAGE(OFFSET($R$3,0,0,'Données projet'!$E$9+1,1))-AVERAGE(OFFSET($H$3,0,0,'Données projet'!$E$9+1,1))</f>
        <v>328.8796193543036</v>
      </c>
      <c r="T63" s="59">
        <f t="shared" si="34"/>
        <v>199.43308683696642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351.77274930064431</v>
      </c>
      <c r="AO63" s="59">
        <f t="shared" si="36"/>
        <v>386.10758060007078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167.41272293888474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167.41272293888474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203.64239999999998</v>
      </c>
      <c r="BF63" s="13">
        <f t="shared" si="37"/>
        <v>50.543814227115405</v>
      </c>
      <c r="BG63" s="20">
        <f t="shared" si="7"/>
        <v>442.70765644555928</v>
      </c>
      <c r="BH63" s="59">
        <f t="shared" si="8"/>
        <v>736.04098977889259</v>
      </c>
      <c r="BI63" s="59">
        <f ca="1">AVERAGE(OFFSET($BH$3,0,0,'Données projet'!$E$11+1,1))-AVERAGE(OFFSET($H$3,0,0,'Données projet'!$E$11+1,1))</f>
        <v>438.62466697107681</v>
      </c>
      <c r="BJ63" s="59">
        <f t="shared" si="38"/>
        <v>241.18285512887627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7.625</v>
      </c>
      <c r="BY63" s="12">
        <f>IF('Données projet'!$A$114&gt;35,BY62+BX63-CG62,IF(A63&lt;'Données projet'!$A$114,$BV$205^A63,IF(A63='Données projet'!$A$114,'Données projet'!$B$114,BY62+BX63-CG62)))</f>
        <v>339.24999999999989</v>
      </c>
      <c r="BZ63" s="13">
        <f>BY63*VLOOKUP('Données projet'!$B$12,Paramètres!$A$1:$I$89,3,0)*VLOOKUP('Données projet'!$B$12,Paramètres!$A$1:$I$89,5,0)</f>
        <v>194.05099999999996</v>
      </c>
      <c r="CA63" s="13">
        <f t="shared" si="39"/>
        <v>48.434468794025683</v>
      </c>
      <c r="CB63" s="20">
        <f t="shared" si="10"/>
        <v>422.32885814959468</v>
      </c>
      <c r="CC63" s="59">
        <f t="shared" si="11"/>
        <v>715.66219148292794</v>
      </c>
      <c r="CD63" s="59">
        <f ca="1">AVERAGE(OFFSET($CC$3,0,0,'Données projet'!$E$12+1,1))-AVERAGE(OFFSET($H$3,0,0,'Données projet'!$E$12+1,1))</f>
        <v>308.33000350259448</v>
      </c>
      <c r="CE63" s="59">
        <f t="shared" si="40"/>
        <v>282.64839194267171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39.700489592955741</v>
      </c>
      <c r="CL63" s="21">
        <f>EXP(-LN(2)/25)*CL62+(1-EXP(-LN(2)/25))/(LN(2)/25)*Calculateur!CG63*Calculateur!CI63*VLOOKUP('Données projet'!$B$12,Paramètres!$A$1:$I$89,3,0)*0.475*44/12</f>
        <v>16.6783509713493</v>
      </c>
      <c r="CM63" s="21">
        <f>EXP(-LN(2)/2)*CM62+(1-EXP(-LN(2)/2))/(LN(2)/2)*CG63*CJ63*VLOOKUP('Données projet'!$B$12,Paramètres!$A$1:$I$89,3,0)*0.475*44/12</f>
        <v>2.2871925048863768</v>
      </c>
      <c r="CN63" s="22">
        <f t="shared" si="12"/>
        <v>58.666033069191414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5.2999999999999989</v>
      </c>
      <c r="CT63" s="12">
        <f>IF('Données projet'!$A$140&gt;35,CT62+CS63-DB62,IF(A63&lt;'Données projet'!$A$140,$CQ$205^A63,IF(A63='Données projet'!$A$140,'Données projet'!$B$140,CT62+CS63-DB62)))</f>
        <v>102.79999999999997</v>
      </c>
      <c r="CU63" s="17">
        <f>CT63*VLOOKUP('Données projet'!$B$13,Paramètres!$A$1:$I$89,3,0)*VLOOKUP('Données projet'!$B$13,Paramètres!$A$1:$I$89,5,0)</f>
        <v>117.06863999999996</v>
      </c>
      <c r="CV63" s="13">
        <f t="shared" si="41"/>
        <v>30.990326749622302</v>
      </c>
      <c r="CW63" s="20">
        <f t="shared" si="13"/>
        <v>257.86936708892546</v>
      </c>
      <c r="CX63" s="59">
        <f t="shared" si="14"/>
        <v>551.20270042225877</v>
      </c>
      <c r="CY63" s="59">
        <f ca="1">AVERAGE(OFFSET($CX$3,0,0,'Données projet'!$E$13+1,1))-AVERAGE(OFFSET($H$3,0,0,'Données projet'!$E$13+1,1))</f>
        <v>330.87173217110126</v>
      </c>
      <c r="CZ63" s="59">
        <f t="shared" si="42"/>
        <v>200.52697135436102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6.625</v>
      </c>
      <c r="N64" s="13">
        <f>IF('Données projet'!$A$36&gt;35,N63+M64-V63,IF(A64&lt;'Données projet'!$A$36,$K$205^A64,IF(A64='Données projet'!$A$36,'Données projet'!$B$36,N63+M64-V63)))</f>
        <v>135.125</v>
      </c>
      <c r="O64" s="13">
        <f>N64*VLOOKUP('Données projet'!$B$9,Paramètres!$A$1:$I$89,3,0)*VLOOKUP('Données projet'!$B$9,Paramètres!$A$1:$I$89,5,0)</f>
        <v>122.26109999999998</v>
      </c>
      <c r="P64" s="13">
        <f t="shared" si="33"/>
        <v>32.201789427344288</v>
      </c>
      <c r="Q64" s="20">
        <f t="shared" si="53"/>
        <v>269.02286575262457</v>
      </c>
      <c r="R64" s="59">
        <f t="shared" si="0"/>
        <v>562.35619908595788</v>
      </c>
      <c r="S64" s="59">
        <f ca="1">AVERAGE(OFFSET($R$3,0,0,'Données projet'!$E$9+1,1))-AVERAGE(OFFSET($H$3,0,0,'Données projet'!$E$9+1,1))</f>
        <v>328.8796193543036</v>
      </c>
      <c r="T64" s="59">
        <f t="shared" si="34"/>
        <v>199.43308683696642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351.77274930064431</v>
      </c>
      <c r="AO64" s="59">
        <f t="shared" si="36"/>
        <v>386.10758060007078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164.1298615537315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164.1298615537315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190.51031999999995</v>
      </c>
      <c r="BF64" s="13">
        <f t="shared" si="37"/>
        <v>47.652759738576151</v>
      </c>
      <c r="BG64" s="20">
        <f t="shared" si="7"/>
        <v>414.80069721135334</v>
      </c>
      <c r="BH64" s="59">
        <f t="shared" si="8"/>
        <v>708.13403054468665</v>
      </c>
      <c r="BI64" s="59">
        <f ca="1">AVERAGE(OFFSET($BH$3,0,0,'Données projet'!$E$11+1,1))-AVERAGE(OFFSET($H$3,0,0,'Données projet'!$E$11+1,1))</f>
        <v>438.62466697107681</v>
      </c>
      <c r="BJ64" s="59">
        <f t="shared" si="38"/>
        <v>241.18285512887627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7.625</v>
      </c>
      <c r="BY64" s="12">
        <f>IF('Données projet'!$A$114&gt;35,BY63+BX64-CG63,IF(A64&lt;'Données projet'!$A$114,$BV$205^A64,IF(A64='Données projet'!$A$114,'Données projet'!$B$114,BY63+BX64-CG63)))</f>
        <v>346.87499999999989</v>
      </c>
      <c r="BZ64" s="13">
        <f>BY64*VLOOKUP('Données projet'!$B$12,Paramètres!$A$1:$I$89,3,0)*VLOOKUP('Données projet'!$B$12,Paramètres!$A$1:$I$89,5,0)</f>
        <v>198.41249999999994</v>
      </c>
      <c r="CA64" s="13">
        <f t="shared" si="39"/>
        <v>49.395121624616223</v>
      </c>
      <c r="CB64" s="20">
        <f t="shared" si="10"/>
        <v>431.59827432953972</v>
      </c>
      <c r="CC64" s="59">
        <f t="shared" si="11"/>
        <v>724.93160766287303</v>
      </c>
      <c r="CD64" s="59">
        <f ca="1">AVERAGE(OFFSET($CC$3,0,0,'Données projet'!$E$12+1,1))-AVERAGE(OFFSET($H$3,0,0,'Données projet'!$E$12+1,1))</f>
        <v>308.33000350259448</v>
      </c>
      <c r="CE64" s="59">
        <f t="shared" si="40"/>
        <v>282.64839194267171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38.921987206945509</v>
      </c>
      <c r="CL64" s="21">
        <f>EXP(-LN(2)/25)*CL63+(1-EXP(-LN(2)/25))/(LN(2)/25)*Calculateur!CG64*Calculateur!CI64*VLOOKUP('Données projet'!$B$12,Paramètres!$A$1:$I$89,3,0)*0.475*44/12</f>
        <v>16.222280586961393</v>
      </c>
      <c r="CM64" s="21">
        <f>EXP(-LN(2)/2)*CM63+(1-EXP(-LN(2)/2))/(LN(2)/2)*CG64*CJ64*VLOOKUP('Données projet'!$B$12,Paramètres!$A$1:$I$89,3,0)*0.475*44/12</f>
        <v>1.6172893300842028</v>
      </c>
      <c r="CN64" s="22">
        <f t="shared" si="12"/>
        <v>56.761557123991111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5.2999999999999989</v>
      </c>
      <c r="CT64" s="12">
        <f>IF('Données projet'!$A$140&gt;35,CT63+CS64-DB63,IF(A64&lt;'Données projet'!$A$140,$CQ$205^A64,IF(A64='Données projet'!$A$140,'Données projet'!$B$140,CT63+CS64-DB63)))</f>
        <v>108.09999999999997</v>
      </c>
      <c r="CU64" s="17">
        <f>CT64*VLOOKUP('Données projet'!$B$13,Paramètres!$A$1:$I$89,3,0)*VLOOKUP('Données projet'!$B$13,Paramètres!$A$1:$I$89,5,0)</f>
        <v>123.10427999999996</v>
      </c>
      <c r="CV64" s="13">
        <f t="shared" si="41"/>
        <v>32.397941908000902</v>
      </c>
      <c r="CW64" s="20">
        <f t="shared" si="13"/>
        <v>270.83303648976818</v>
      </c>
      <c r="CX64" s="59">
        <f t="shared" si="14"/>
        <v>564.16636982310149</v>
      </c>
      <c r="CY64" s="59">
        <f ca="1">AVERAGE(OFFSET($CX$3,0,0,'Données projet'!$E$13+1,1))-AVERAGE(OFFSET($H$3,0,0,'Données projet'!$E$13+1,1))</f>
        <v>330.87173217110126</v>
      </c>
      <c r="CZ64" s="59">
        <f t="shared" si="42"/>
        <v>200.52697135436102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6.625</v>
      </c>
      <c r="N65" s="13">
        <f>IF('Données projet'!$A$36&gt;35,N64+M65-V64,IF(A65&lt;'Données projet'!$A$36,$K$205^A65,IF(A65='Données projet'!$A$36,'Données projet'!$B$36,N64+M65-V64)))</f>
        <v>141.75</v>
      </c>
      <c r="O65" s="13">
        <f>N65*VLOOKUP('Données projet'!$B$9,Paramètres!$A$1:$I$89,3,0)*VLOOKUP('Données projet'!$B$9,Paramètres!$A$1:$I$89,5,0)</f>
        <v>128.25539999999998</v>
      </c>
      <c r="P65" s="13">
        <f t="shared" si="33"/>
        <v>33.592917052375554</v>
      </c>
      <c r="Q65" s="20">
        <f t="shared" si="53"/>
        <v>281.88581886622069</v>
      </c>
      <c r="R65" s="59">
        <f t="shared" si="0"/>
        <v>575.21915219955395</v>
      </c>
      <c r="S65" s="59">
        <f ca="1">AVERAGE(OFFSET($R$3,0,0,'Données projet'!$E$9+1,1))-AVERAGE(OFFSET($H$3,0,0,'Données projet'!$E$9+1,1))</f>
        <v>328.8796193543036</v>
      </c>
      <c r="T65" s="59">
        <f t="shared" si="34"/>
        <v>199.43308683696642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351.77274930064431</v>
      </c>
      <c r="AO65" s="59">
        <f t="shared" si="36"/>
        <v>386.10758060007078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160.9113750779934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160.9113750779934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197.36183999999994</v>
      </c>
      <c r="BF65" s="13">
        <f t="shared" si="37"/>
        <v>49.163932700585988</v>
      </c>
      <c r="BG65" s="20">
        <f t="shared" si="7"/>
        <v>429.36572078685384</v>
      </c>
      <c r="BH65" s="59">
        <f t="shared" si="8"/>
        <v>722.69905412018716</v>
      </c>
      <c r="BI65" s="59">
        <f ca="1">AVERAGE(OFFSET($BH$3,0,0,'Données projet'!$E$11+1,1))-AVERAGE(OFFSET($H$3,0,0,'Données projet'!$E$11+1,1))</f>
        <v>438.62466697107681</v>
      </c>
      <c r="BJ65" s="59">
        <f t="shared" si="38"/>
        <v>241.18285512887627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7.625</v>
      </c>
      <c r="BY65" s="12">
        <f>IF('Données projet'!$A$114&gt;35,BY64+BX65-CG64,IF(A65&lt;'Données projet'!$A$114,$BV$205^A65,IF(A65='Données projet'!$A$114,'Données projet'!$B$114,BY64+BX65-CG64)))</f>
        <v>354.49999999999989</v>
      </c>
      <c r="BZ65" s="13">
        <f>BY65*VLOOKUP('Données projet'!$B$12,Paramètres!$A$1:$I$89,3,0)*VLOOKUP('Données projet'!$B$12,Paramètres!$A$1:$I$89,5,0)</f>
        <v>202.77399999999994</v>
      </c>
      <c r="CA65" s="13">
        <f t="shared" si="39"/>
        <v>50.35331936322595</v>
      </c>
      <c r="CB65" s="20">
        <f t="shared" si="10"/>
        <v>440.8634145576184</v>
      </c>
      <c r="CC65" s="59">
        <f t="shared" si="11"/>
        <v>734.19674789095166</v>
      </c>
      <c r="CD65" s="59">
        <f ca="1">AVERAGE(OFFSET($CC$3,0,0,'Données projet'!$E$12+1,1))-AVERAGE(OFFSET($H$3,0,0,'Données projet'!$E$12+1,1))</f>
        <v>308.33000350259448</v>
      </c>
      <c r="CE65" s="59">
        <f t="shared" si="40"/>
        <v>282.64839194267171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38.158750777885366</v>
      </c>
      <c r="CL65" s="21">
        <f>EXP(-LN(2)/25)*CL64+(1-EXP(-LN(2)/25))/(LN(2)/25)*Calculateur!CG65*Calculateur!CI65*VLOOKUP('Données projet'!$B$12,Paramètres!$A$1:$I$89,3,0)*0.475*44/12</f>
        <v>15.778681471218274</v>
      </c>
      <c r="CM65" s="21">
        <f>EXP(-LN(2)/2)*CM64+(1-EXP(-LN(2)/2))/(LN(2)/2)*CG65*CJ65*VLOOKUP('Données projet'!$B$12,Paramètres!$A$1:$I$89,3,0)*0.475*44/12</f>
        <v>1.1435962524431886</v>
      </c>
      <c r="CN65" s="22">
        <f t="shared" si="12"/>
        <v>55.081028501546825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5.2999999999999989</v>
      </c>
      <c r="CT65" s="12">
        <f>IF('Données projet'!$A$140&gt;35,CT64+CS65-DB64,IF(A65&lt;'Données projet'!$A$140,$CQ$205^A65,IF(A65='Données projet'!$A$140,'Données projet'!$B$140,CT64+CS65-DB64)))</f>
        <v>113.39999999999996</v>
      </c>
      <c r="CU65" s="17">
        <f>CT65*VLOOKUP('Données projet'!$B$13,Paramètres!$A$1:$I$89,3,0)*VLOOKUP('Données projet'!$B$13,Paramètres!$A$1:$I$89,5,0)</f>
        <v>129.13991999999996</v>
      </c>
      <c r="CV65" s="13">
        <f t="shared" si="41"/>
        <v>33.79754338307005</v>
      </c>
      <c r="CW65" s="20">
        <f t="shared" si="13"/>
        <v>283.78274872551356</v>
      </c>
      <c r="CX65" s="59">
        <f t="shared" si="14"/>
        <v>577.11608205884681</v>
      </c>
      <c r="CY65" s="59">
        <f ca="1">AVERAGE(OFFSET($CX$3,0,0,'Données projet'!$E$13+1,1))-AVERAGE(OFFSET($H$3,0,0,'Données projet'!$E$13+1,1))</f>
        <v>330.87173217110126</v>
      </c>
      <c r="CZ65" s="59">
        <f t="shared" si="42"/>
        <v>200.52697135436102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6.625</v>
      </c>
      <c r="N66" s="13">
        <f>IF('Données projet'!$A$36&gt;35,N65+M66-V65,IF(A66&lt;'Données projet'!$A$36,$K$205^A66,IF(A66='Données projet'!$A$36,'Données projet'!$B$36,N65+M66-V65)))</f>
        <v>148.375</v>
      </c>
      <c r="O66" s="13">
        <f>N66*VLOOKUP('Données projet'!$B$9,Paramètres!$A$1:$I$89,3,0)*VLOOKUP('Données projet'!$B$9,Paramètres!$A$1:$I$89,5,0)</f>
        <v>134.24969999999999</v>
      </c>
      <c r="P66" s="13">
        <f t="shared" si="33"/>
        <v>34.97649429485336</v>
      </c>
      <c r="Q66" s="20">
        <f t="shared" si="53"/>
        <v>294.73562173020292</v>
      </c>
      <c r="R66" s="59">
        <f t="shared" si="0"/>
        <v>588.06895506353624</v>
      </c>
      <c r="S66" s="59">
        <f ca="1">AVERAGE(OFFSET($R$3,0,0,'Données projet'!$E$9+1,1))-AVERAGE(OFFSET($H$3,0,0,'Données projet'!$E$9+1,1))</f>
        <v>328.8796193543036</v>
      </c>
      <c r="T66" s="59">
        <f t="shared" si="34"/>
        <v>199.43308683696642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351.77274930064431</v>
      </c>
      <c r="AO66" s="59">
        <f t="shared" si="36"/>
        <v>386.10758060007078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157.7560011589616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157.7560011589616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204.21335999999994</v>
      </c>
      <c r="BF66" s="13">
        <f t="shared" si="37"/>
        <v>50.669010210991836</v>
      </c>
      <c r="BG66" s="20">
        <f t="shared" si="7"/>
        <v>443.9201281174773</v>
      </c>
      <c r="BH66" s="59">
        <f t="shared" si="8"/>
        <v>737.25346145081062</v>
      </c>
      <c r="BI66" s="59">
        <f ca="1">AVERAGE(OFFSET($BH$3,0,0,'Données projet'!$E$11+1,1))-AVERAGE(OFFSET($H$3,0,0,'Données projet'!$E$11+1,1))</f>
        <v>438.62466697107681</v>
      </c>
      <c r="BJ66" s="59">
        <f t="shared" si="38"/>
        <v>241.18285512887627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7.625</v>
      </c>
      <c r="BY66" s="12">
        <f>IF('Données projet'!$A$114&gt;35,BY65+BX66-CG65,IF(A66&lt;'Données projet'!$A$114,$BV$205^A66,IF(A66='Données projet'!$A$114,'Données projet'!$B$114,BY65+BX66-CG65)))</f>
        <v>362.12499999999989</v>
      </c>
      <c r="BZ66" s="13">
        <f>BY66*VLOOKUP('Données projet'!$B$12,Paramètres!$A$1:$I$89,3,0)*VLOOKUP('Données projet'!$B$12,Paramètres!$A$1:$I$89,5,0)</f>
        <v>207.13549999999995</v>
      </c>
      <c r="CA66" s="13">
        <f t="shared" si="39"/>
        <v>51.309120899005727</v>
      </c>
      <c r="CB66" s="20">
        <f t="shared" si="10"/>
        <v>450.12438139910142</v>
      </c>
      <c r="CC66" s="59">
        <f t="shared" si="11"/>
        <v>743.45771473243474</v>
      </c>
      <c r="CD66" s="59">
        <f ca="1">AVERAGE(OFFSET($CC$3,0,0,'Données projet'!$E$12+1,1))-AVERAGE(OFFSET($H$3,0,0,'Données projet'!$E$12+1,1))</f>
        <v>308.33000350259448</v>
      </c>
      <c r="CE66" s="59">
        <f t="shared" si="40"/>
        <v>282.64839194267171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37.410480949670841</v>
      </c>
      <c r="CL66" s="21">
        <f>EXP(-LN(2)/25)*CL65+(1-EXP(-LN(2)/25))/(LN(2)/25)*Calculateur!CG66*Calculateur!CI66*VLOOKUP('Données projet'!$B$12,Paramètres!$A$1:$I$89,3,0)*0.475*44/12</f>
        <v>15.347212596623015</v>
      </c>
      <c r="CM66" s="21">
        <f>EXP(-LN(2)/2)*CM65+(1-EXP(-LN(2)/2))/(LN(2)/2)*CG66*CJ66*VLOOKUP('Données projet'!$B$12,Paramètres!$A$1:$I$89,3,0)*0.475*44/12</f>
        <v>0.80864466504210164</v>
      </c>
      <c r="CN66" s="22">
        <f t="shared" si="12"/>
        <v>53.56633821133596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5.2999999999999989</v>
      </c>
      <c r="CT66" s="12">
        <f>IF('Données projet'!$A$140&gt;35,CT65+CS66-DB65,IF(A66&lt;'Données projet'!$A$140,$CQ$205^A66,IF(A66='Données projet'!$A$140,'Données projet'!$B$140,CT65+CS66-DB65)))</f>
        <v>118.69999999999996</v>
      </c>
      <c r="CU66" s="17">
        <f>CT66*VLOOKUP('Données projet'!$B$13,Paramètres!$A$1:$I$89,3,0)*VLOOKUP('Données projet'!$B$13,Paramètres!$A$1:$I$89,5,0)</f>
        <v>135.17555999999996</v>
      </c>
      <c r="CV66" s="13">
        <f t="shared" si="41"/>
        <v>35.189548483537095</v>
      </c>
      <c r="CW66" s="20">
        <f t="shared" si="13"/>
        <v>296.71923060882705</v>
      </c>
      <c r="CX66" s="59">
        <f t="shared" si="14"/>
        <v>590.0525639421603</v>
      </c>
      <c r="CY66" s="59">
        <f ca="1">AVERAGE(OFFSET($CX$3,0,0,'Données projet'!$E$13+1,1))-AVERAGE(OFFSET($H$3,0,0,'Données projet'!$E$13+1,1))</f>
        <v>330.87173217110126</v>
      </c>
      <c r="CZ66" s="59">
        <f t="shared" si="42"/>
        <v>200.52697135436102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>
        <f>VLOOKUP(A67,'Données projet'!$A$35:$I$55,2,0)</f>
        <v>155</v>
      </c>
      <c r="L67" s="12">
        <f>VLOOKUP(A67,'Données projet'!$A$35:$I$55,9,0)</f>
        <v>6.625</v>
      </c>
      <c r="M67" s="12">
        <f t="array" ref="M67">INDEX(L:L,MIN(IF(ISNUMBER(L67:L263),ROW(L67:L263),"")))</f>
        <v>6.625</v>
      </c>
      <c r="N67" s="13">
        <f>IF('Données projet'!$A$36&gt;35,N66+M67-V66,IF(A67&lt;'Données projet'!$A$36,$K$205^A67,IF(A67='Données projet'!$A$36,'Données projet'!$B$36,N66+M67-V66)))</f>
        <v>155</v>
      </c>
      <c r="O67" s="13">
        <f>N67*VLOOKUP('Données projet'!$B$9,Paramètres!$A$1:$I$89,3,0)*VLOOKUP('Données projet'!$B$9,Paramètres!$A$1:$I$89,5,0)</f>
        <v>140.244</v>
      </c>
      <c r="P67" s="13">
        <f t="shared" si="33"/>
        <v>36.352896802451752</v>
      </c>
      <c r="Q67" s="20">
        <f t="shared" ref="Q67:Q98" si="54">(O67+P67)*0.475*44/12</f>
        <v>307.57292859760338</v>
      </c>
      <c r="R67" s="59">
        <f t="shared" ref="R67:R130" si="55">Q67+(I67+J67)*44/12</f>
        <v>600.90626193093669</v>
      </c>
      <c r="S67" s="59">
        <f ca="1">AVERAGE(OFFSET($R$3,0,0,'Données projet'!$E$9+1,1))-AVERAGE(OFFSET($H$3,0,0,'Données projet'!$E$9+1,1))</f>
        <v>328.8796193543036</v>
      </c>
      <c r="T67" s="59">
        <f t="shared" si="34"/>
        <v>199.43308683696642</v>
      </c>
      <c r="U67" s="15">
        <f>IF(ISNA(VLOOKUP(A67,'Données projet'!$A$35:$I$55,3,0)),0,VLOOKUP(A67,'Données projet'!$A$35:$I$55,3,0))</f>
        <v>4</v>
      </c>
      <c r="V67" s="15">
        <f>IF(ISNA(VLOOKUP(A67,'Données projet'!$A$35:$I$55,4,0)),0,VLOOKUP(A67,'Données projet'!$A$35:$I$55,4,0))</f>
        <v>41</v>
      </c>
      <c r="W67" s="16">
        <f>IF(ISNA(VLOOKUP(A67,'Données projet'!$A$35:$I$55,5,0)),0%,VLOOKUP(A67,'Données projet'!$A$35:$I$55,5,0)*VLOOKUP('Données projet'!$B$9,Paramètres!$A$1:$I$89,7,0))</f>
        <v>0.30099999999999999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12.343833486212839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12.343833486212839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351.77274930064431</v>
      </c>
      <c r="AO67" s="59">
        <f t="shared" si="36"/>
        <v>386.10758060007078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154.66250219789396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154.66250219789396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211.06487999999993</v>
      </c>
      <c r="BF67" s="13">
        <f t="shared" si="37"/>
        <v>52.168220223304395</v>
      </c>
      <c r="BG67" s="20">
        <f t="shared" si="7"/>
        <v>458.46431622225504</v>
      </c>
      <c r="BH67" s="59">
        <f t="shared" si="8"/>
        <v>751.79764955558835</v>
      </c>
      <c r="BI67" s="59">
        <f ca="1">AVERAGE(OFFSET($BH$3,0,0,'Données projet'!$E$11+1,1))-AVERAGE(OFFSET($H$3,0,0,'Données projet'!$E$11+1,1))</f>
        <v>438.62466697107681</v>
      </c>
      <c r="BJ67" s="59">
        <f t="shared" si="38"/>
        <v>241.18285512887627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7.625</v>
      </c>
      <c r="BY67" s="12">
        <f>IF('Données projet'!$A$114&gt;35,BY66+BX67-CG66,IF(A67&lt;'Données projet'!$A$114,$BV$205^A67,IF(A67='Données projet'!$A$114,'Données projet'!$B$114,BY66+BX67-CG66)))</f>
        <v>369.74999999999989</v>
      </c>
      <c r="BZ67" s="13">
        <f>BY67*VLOOKUP('Données projet'!$B$12,Paramètres!$A$1:$I$89,3,0)*VLOOKUP('Données projet'!$B$12,Paramètres!$A$1:$I$89,5,0)</f>
        <v>211.49699999999993</v>
      </c>
      <c r="CA67" s="13">
        <f t="shared" si="39"/>
        <v>52.262582499432582</v>
      </c>
      <c r="CB67" s="20">
        <f t="shared" si="10"/>
        <v>459.38127285317825</v>
      </c>
      <c r="CC67" s="59">
        <f t="shared" si="11"/>
        <v>752.71460618651156</v>
      </c>
      <c r="CD67" s="59">
        <f ca="1">AVERAGE(OFFSET($CC$3,0,0,'Données projet'!$E$12+1,1))-AVERAGE(OFFSET($H$3,0,0,'Données projet'!$E$12+1,1))</f>
        <v>308.33000350259448</v>
      </c>
      <c r="CE67" s="59">
        <f t="shared" si="40"/>
        <v>282.64839194267171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36.676884236388069</v>
      </c>
      <c r="CL67" s="21">
        <f>EXP(-LN(2)/25)*CL66+(1-EXP(-LN(2)/25))/(LN(2)/25)*Calculateur!CG67*Calculateur!CI67*VLOOKUP('Données projet'!$B$12,Paramètres!$A$1:$I$89,3,0)*0.475*44/12</f>
        <v>14.927542261093524</v>
      </c>
      <c r="CM67" s="21">
        <f>EXP(-LN(2)/2)*CM66+(1-EXP(-LN(2)/2))/(LN(2)/2)*CG67*CJ67*VLOOKUP('Données projet'!$B$12,Paramètres!$A$1:$I$89,3,0)*0.475*44/12</f>
        <v>0.57179812622159443</v>
      </c>
      <c r="CN67" s="22">
        <f t="shared" si="12"/>
        <v>52.176224623703192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>
        <f>VLOOKUP(A67,'Données projet'!$A$139:$I$159,2,0)</f>
        <v>124</v>
      </c>
      <c r="CR67" s="12">
        <f>VLOOKUP(A67,'Données projet'!$A$139:$I$159,9,0)</f>
        <v>5.2999999999999989</v>
      </c>
      <c r="CS67" s="12">
        <f t="array" ref="CS67">INDEX(CR:CR,MIN(IF(ISNUMBER(CR67:CR263),ROW(CR67:CR263),"")))</f>
        <v>5.2999999999999989</v>
      </c>
      <c r="CT67" s="12">
        <f>IF('Données projet'!$A$140&gt;35,CT66+CS67-DB66,IF(A67&lt;'Données projet'!$A$140,$CQ$205^A67,IF(A67='Données projet'!$A$140,'Données projet'!$B$140,CT66+CS67-DB66)))</f>
        <v>123.99999999999996</v>
      </c>
      <c r="CU67" s="17">
        <f>CT67*VLOOKUP('Données projet'!$B$13,Paramètres!$A$1:$I$89,3,0)*VLOOKUP('Données projet'!$B$13,Paramètres!$A$1:$I$89,5,0)</f>
        <v>141.21119999999996</v>
      </c>
      <c r="CV67" s="13">
        <f t="shared" si="41"/>
        <v>36.574335145278738</v>
      </c>
      <c r="CW67" s="20">
        <f t="shared" si="13"/>
        <v>309.64314037802706</v>
      </c>
      <c r="CX67" s="59">
        <f t="shared" si="14"/>
        <v>602.97647371136031</v>
      </c>
      <c r="CY67" s="59">
        <f ca="1">AVERAGE(OFFSET($CX$3,0,0,'Données projet'!$E$13+1,1))-AVERAGE(OFFSET($H$3,0,0,'Données projet'!$E$13+1,1))</f>
        <v>330.87173217110126</v>
      </c>
      <c r="CZ67" s="59">
        <f t="shared" si="42"/>
        <v>200.52697135436102</v>
      </c>
      <c r="DA67" s="15">
        <f>IF(ISNA(VLOOKUP(A67,'Données projet'!$A$139:$I$159,3,0)),0,VLOOKUP(A67,'Données projet'!$A$139:$I$159,3,0))</f>
        <v>4</v>
      </c>
      <c r="DB67" s="15">
        <f>IF(ISNA(VLOOKUP(A67,'Données projet'!$A$139:$I$159,4,0)),0,VLOOKUP(A67,'Données projet'!$A$139:$I$159,4,0))</f>
        <v>32.800000000000004</v>
      </c>
      <c r="DC67" s="16">
        <f>IF(ISNA(VLOOKUP(A67,'Données projet'!$A$139:$I$159,5,0)),0%,VLOOKUP(A67,'Données projet'!$A$139:$I$159,5,0)*VLOOKUP('Données projet'!$B$13,Paramètres!$A$1:$I$89,7,0))</f>
        <v>0.30099999999999999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12.428963372324654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12.428963372324654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5.75</v>
      </c>
      <c r="N68" s="13">
        <f>IF('Données projet'!$A$36&gt;35,N67+M68-V67,IF(A68&lt;'Données projet'!$A$36,$K$205^A68,IF(A68='Données projet'!$A$36,'Données projet'!$B$36,N67+M68-V67)))</f>
        <v>119.75</v>
      </c>
      <c r="O68" s="13">
        <f>N68*VLOOKUP('Données projet'!$B$9,Paramètres!$A$1:$I$89,3,0)*VLOOKUP('Données projet'!$B$9,Paramètres!$A$1:$I$89,5,0)</f>
        <v>108.3498</v>
      </c>
      <c r="P68" s="13">
        <f t="shared" si="33"/>
        <v>28.941843207640417</v>
      </c>
      <c r="Q68" s="20">
        <f t="shared" si="54"/>
        <v>239.11627858664042</v>
      </c>
      <c r="R68" s="59">
        <f t="shared" si="55"/>
        <v>532.44961191997368</v>
      </c>
      <c r="S68" s="59">
        <f ca="1">AVERAGE(OFFSET($R$3,0,0,'Données projet'!$E$9+1,1))-AVERAGE(OFFSET($H$3,0,0,'Données projet'!$E$9+1,1))</f>
        <v>328.8796193543036</v>
      </c>
      <c r="T68" s="59">
        <f t="shared" si="34"/>
        <v>199.43308683696642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12.101778440543205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12.101778440543205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351.77274930064431</v>
      </c>
      <c r="AO68" s="59">
        <f t="shared" si="36"/>
        <v>386.10758060007078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151.62966486460482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151.62966486460482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217.91639999999992</v>
      </c>
      <c r="BF68" s="13">
        <f t="shared" si="37"/>
        <v>53.661775051402536</v>
      </c>
      <c r="BG68" s="20">
        <f t="shared" ref="BG68:BG131" si="61">(BE68+BF68)*0.475*44/12</f>
        <v>472.99865488119258</v>
      </c>
      <c r="BH68" s="59">
        <f t="shared" ref="BH68:BH131" si="62">BG68+(AY68+AZ68)*44/12</f>
        <v>766.33198821452584</v>
      </c>
      <c r="BI68" s="59">
        <f ca="1">AVERAGE(OFFSET($BH$3,0,0,'Données projet'!$E$11+1,1))-AVERAGE(OFFSET($H$3,0,0,'Données projet'!$E$11+1,1))</f>
        <v>438.62466697107681</v>
      </c>
      <c r="BJ68" s="59">
        <f t="shared" si="38"/>
        <v>241.18285512887627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7.625</v>
      </c>
      <c r="BY68" s="12">
        <f>IF('Données projet'!$A$114&gt;35,BY67+BX68-CG67,IF(A68&lt;'Données projet'!$A$114,$BV$205^A68,IF(A68='Données projet'!$A$114,'Données projet'!$B$114,BY67+BX68-CG67)))</f>
        <v>377.37499999999989</v>
      </c>
      <c r="BZ68" s="13">
        <f>BY68*VLOOKUP('Données projet'!$B$12,Paramètres!$A$1:$I$89,3,0)*VLOOKUP('Données projet'!$B$12,Paramètres!$A$1:$I$89,5,0)</f>
        <v>215.85849999999996</v>
      </c>
      <c r="CA68" s="13">
        <f t="shared" si="39"/>
        <v>53.213757978641425</v>
      </c>
      <c r="CB68" s="20">
        <f t="shared" ref="CB68:CB131" si="64">(BZ68+CA68)*0.475*44/12</f>
        <v>468.63418264613375</v>
      </c>
      <c r="CC68" s="59">
        <f t="shared" ref="CC68:CC131" si="65">CB68+(BT68+BU68)*44/12</f>
        <v>761.96751597946707</v>
      </c>
      <c r="CD68" s="59">
        <f ca="1">AVERAGE(OFFSET($CC$3,0,0,'Données projet'!$E$12+1,1))-AVERAGE(OFFSET($H$3,0,0,'Données projet'!$E$12+1,1))</f>
        <v>308.33000350259448</v>
      </c>
      <c r="CE68" s="59">
        <f t="shared" si="40"/>
        <v>282.64839194267171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35.957672907202962</v>
      </c>
      <c r="CL68" s="21">
        <f>EXP(-LN(2)/25)*CL67+(1-EXP(-LN(2)/25))/(LN(2)/25)*Calculateur!CG68*Calculateur!CI68*VLOOKUP('Données projet'!$B$12,Paramètres!$A$1:$I$89,3,0)*0.475*44/12</f>
        <v>14.519347832958593</v>
      </c>
      <c r="CM68" s="21">
        <f>EXP(-LN(2)/2)*CM67+(1-EXP(-LN(2)/2))/(LN(2)/2)*CG68*CJ68*VLOOKUP('Données projet'!$B$12,Paramètres!$A$1:$I$89,3,0)*0.475*44/12</f>
        <v>0.40432233252105088</v>
      </c>
      <c r="CN68" s="22">
        <f t="shared" ref="CN68:CN131" si="66">SUM(CK68:CM68)</f>
        <v>50.881343072682604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4.6000000000000014</v>
      </c>
      <c r="CT68" s="12">
        <f>IF('Données projet'!$A$140&gt;35,CT67+CS68-DB67,IF(A68&lt;'Données projet'!$A$140,$CQ$205^A68,IF(A68='Données projet'!$A$140,'Données projet'!$B$140,CT67+CS68-DB67)))</f>
        <v>95.799999999999955</v>
      </c>
      <c r="CU68" s="17">
        <f>CT68*VLOOKUP('Données projet'!$B$13,Paramètres!$A$1:$I$89,3,0)*VLOOKUP('Données projet'!$B$13,Paramètres!$A$1:$I$89,5,0)</f>
        <v>109.09703999999995</v>
      </c>
      <c r="CV68" s="13">
        <f t="shared" si="41"/>
        <v>29.11813820369218</v>
      </c>
      <c r="CW68" s="20">
        <f t="shared" ref="CW68:CW131" si="67">(CU68+CV68)*0.475*44/12</f>
        <v>240.72476870476373</v>
      </c>
      <c r="CX68" s="59">
        <f t="shared" ref="CX68:CX131" si="68">CW68+(CO68+CP68)*44/12</f>
        <v>534.0581020380971</v>
      </c>
      <c r="CY68" s="59">
        <f ca="1">AVERAGE(OFFSET($CX$3,0,0,'Données projet'!$E$13+1,1))-AVERAGE(OFFSET($H$3,0,0,'Données projet'!$E$13+1,1))</f>
        <v>330.87173217110126</v>
      </c>
      <c r="CZ68" s="59">
        <f t="shared" si="42"/>
        <v>200.52697135436102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12.185238981512471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12.185238981512471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5.75</v>
      </c>
      <c r="N69" s="13">
        <f>IF('Données projet'!$A$36&gt;35,N68+M69-V68,IF(A69&lt;'Données projet'!$A$36,$K$205^A69,IF(A69='Données projet'!$A$36,'Données projet'!$B$36,N68+M69-V68)))</f>
        <v>125.5</v>
      </c>
      <c r="O69" s="13">
        <f>N69*VLOOKUP('Données projet'!$B$9,Paramètres!$A$1:$I$89,3,0)*VLOOKUP('Données projet'!$B$9,Paramètres!$A$1:$I$89,5,0)</f>
        <v>113.55239999999999</v>
      </c>
      <c r="P69" s="13">
        <f t="shared" ref="P69:P132" si="87">EXP(-1.0587+0.8836*LN(O69)+0.284)</f>
        <v>30.166403182577518</v>
      </c>
      <c r="Q69" s="20">
        <f t="shared" si="54"/>
        <v>250.3102488763225</v>
      </c>
      <c r="R69" s="59">
        <f t="shared" si="55"/>
        <v>543.64358220965585</v>
      </c>
      <c r="S69" s="59">
        <f ca="1">AVERAGE(OFFSET($R$3,0,0,'Données projet'!$E$9+1,1))-AVERAGE(OFFSET($H$3,0,0,'Données projet'!$E$9+1,1))</f>
        <v>328.8796193543036</v>
      </c>
      <c r="T69" s="59">
        <f t="shared" ref="T69:T132" si="88">$T$3</f>
        <v>199.43308683696642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11.864469946680153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11.864469946680153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351.77274930064431</v>
      </c>
      <c r="AO69" s="59">
        <f t="shared" ref="AO69:AO132" si="90">$AO$3</f>
        <v>386.10758060007078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148.65629962157337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148.65629962157337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204.40367999999995</v>
      </c>
      <c r="BF69" s="13">
        <f t="shared" ref="BF69:BF132" si="91">EXP(-1.0587+0.8836*LN(BE69)+0.284)</f>
        <v>50.710733146553501</v>
      </c>
      <c r="BG69" s="20">
        <f t="shared" si="61"/>
        <v>444.32426956358057</v>
      </c>
      <c r="BH69" s="59">
        <f t="shared" si="62"/>
        <v>737.65760289691389</v>
      </c>
      <c r="BI69" s="59">
        <f ca="1">AVERAGE(OFFSET($BH$3,0,0,'Données projet'!$E$11+1,1))-AVERAGE(OFFSET($H$3,0,0,'Données projet'!$E$11+1,1))</f>
        <v>438.62466697107681</v>
      </c>
      <c r="BJ69" s="59">
        <f t="shared" ref="BJ69:BJ132" si="92">$BJ$3</f>
        <v>241.18285512887627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385</v>
      </c>
      <c r="BW69" s="12">
        <f>VLOOKUP(A69,'Données projet'!$A$113:$I$133,9,0)</f>
        <v>7.625</v>
      </c>
      <c r="BX69" s="12">
        <f t="array" ref="BX69">INDEX(BW:BW,MIN(IF(ISNUMBER(BW69:BW265),ROW(BW69:BW265),"")))</f>
        <v>7.625</v>
      </c>
      <c r="BY69" s="12">
        <f>IF('Données projet'!$A$114&gt;35,BY68+BX69-CG68,IF(A69&lt;'Données projet'!$A$114,$BV$205^A69,IF(A69='Données projet'!$A$114,'Données projet'!$B$114,BY68+BX69-CG68)))</f>
        <v>384.99999999999989</v>
      </c>
      <c r="BZ69" s="13">
        <f>BY69*VLOOKUP('Données projet'!$B$12,Paramètres!$A$1:$I$89,3,0)*VLOOKUP('Données projet'!$B$12,Paramètres!$A$1:$I$89,5,0)</f>
        <v>220.21999999999994</v>
      </c>
      <c r="CA69" s="13">
        <f t="shared" ref="CA69:CA132" si="93">EXP(-1.0587+0.8836*LN(BZ69)+0.284)</f>
        <v>54.162698851767615</v>
      </c>
      <c r="CB69" s="20">
        <f t="shared" si="64"/>
        <v>477.88320050016182</v>
      </c>
      <c r="CC69" s="59">
        <f t="shared" si="65"/>
        <v>771.21653383349508</v>
      </c>
      <c r="CD69" s="59">
        <f ca="1">AVERAGE(OFFSET($CC$3,0,0,'Données projet'!$E$12+1,1))-AVERAGE(OFFSET($H$3,0,0,'Données projet'!$E$12+1,1))</f>
        <v>308.33000350259448</v>
      </c>
      <c r="CE69" s="59">
        <f t="shared" ref="CE69:CE132" si="94">$CE$3</f>
        <v>282.64839194267171</v>
      </c>
      <c r="CF69" s="15">
        <f>IF(ISNA(VLOOKUP(A69,'Données projet'!$A$113:$I$133,3,0)),0,VLOOKUP(A69,'Données projet'!$A$113:$I$133,3,0))</f>
        <v>9</v>
      </c>
      <c r="CG69" s="15">
        <f>IF(ISNA(VLOOKUP(A69,'Données projet'!$A$113:$I$133,4,0)),0,VLOOKUP(A69,'Données projet'!$A$113:$I$133,4,0))</f>
        <v>20</v>
      </c>
      <c r="CH69" s="16">
        <f>IF(ISNA(VLOOKUP(A69,'Données projet'!$A$113:$I$133,5,0)),0%,VLOOKUP(A69,'Données projet'!$A$113:$I$133,5,0)*VLOOKUP('Données projet'!$B$12,Paramètres!$A$1:$I$89,7,0))</f>
        <v>0.315</v>
      </c>
      <c r="CI69" s="16">
        <f>IF(ISNA(VLOOKUP(A69,'Données projet'!$A$113:$I$133,6,0)),0%,VLOOKUP(A69,'Données projet'!$A$113:$I$133,6,0)*VLOOKUP('Données projet'!$B$12,Paramètres!$A$1:$I$89,7,0))</f>
        <v>7.5600000000000001E-2</v>
      </c>
      <c r="CJ69" s="16">
        <f>IF(ISNA(VLOOKUP(A69,'Données projet'!$A$113:$I$133,7,0)),0%,VLOOKUP(A69,'Données projet'!$A$113:$I$133,7,0))</f>
        <v>0.13200000000000001</v>
      </c>
      <c r="CK69" s="21">
        <f>EXP(-LN(2)/35)*CK68+(1-EXP(-LN(2)/35))/(LN(2)/35)*CG69*CH69*VLOOKUP('Données projet'!$B$12,Paramètres!$A$1:$I$89,3,0)*0.475*44/12</f>
        <v>40.03297254512951</v>
      </c>
      <c r="CL69" s="21">
        <f>EXP(-LN(2)/25)*CL68+(1-EXP(-LN(2)/25))/(LN(2)/25)*Calculateur!CG69*Calculateur!CI69*VLOOKUP('Données projet'!$B$12,Paramètres!$A$1:$I$89,3,0)*0.475*44/12</f>
        <v>15.265095995360772</v>
      </c>
      <c r="CM69" s="21">
        <f>EXP(-LN(2)/2)*CM68+(1-EXP(-LN(2)/2))/(LN(2)/2)*CG69*CJ69*VLOOKUP('Données projet'!$B$12,Paramètres!$A$1:$I$89,3,0)*0.475*44/12</f>
        <v>1.9956604109595633</v>
      </c>
      <c r="CN69" s="22">
        <f t="shared" si="66"/>
        <v>57.29372895144985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4.6000000000000014</v>
      </c>
      <c r="CT69" s="12">
        <f>IF('Données projet'!$A$140&gt;35,CT68+CS69-DB68,IF(A69&lt;'Données projet'!$A$140,$CQ$205^A69,IF(A69='Données projet'!$A$140,'Données projet'!$B$140,CT68+CS69-DB68)))</f>
        <v>100.39999999999995</v>
      </c>
      <c r="CU69" s="17">
        <f>CT69*VLOOKUP('Données projet'!$B$13,Paramètres!$A$1:$I$89,3,0)*VLOOKUP('Données projet'!$B$13,Paramètres!$A$1:$I$89,5,0)</f>
        <v>114.33551999999995</v>
      </c>
      <c r="CV69" s="13">
        <f t="shared" ref="CV69:CV132" si="95">EXP(-1.0587+0.8836*LN(CU69)+0.284)</f>
        <v>30.350157406239557</v>
      </c>
      <c r="CW69" s="20">
        <f t="shared" si="67"/>
        <v>251.99422148253382</v>
      </c>
      <c r="CX69" s="59">
        <f t="shared" si="68"/>
        <v>545.32755481586719</v>
      </c>
      <c r="CY69" s="59">
        <f ca="1">AVERAGE(OFFSET($CX$3,0,0,'Données projet'!$E$13+1,1))-AVERAGE(OFFSET($H$3,0,0,'Données projet'!$E$13+1,1))</f>
        <v>330.87173217110126</v>
      </c>
      <c r="CZ69" s="59">
        <f t="shared" ref="CZ69:CZ132" si="96">$CZ$3</f>
        <v>200.52697135436102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11.946293877346916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11.946293877346916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5.75</v>
      </c>
      <c r="N70" s="13">
        <f>IF('Données projet'!$A$36&gt;35,N69+M70-V69,IF(A70&lt;'Données projet'!$A$36,$K$205^A70,IF(A70='Données projet'!$A$36,'Données projet'!$B$36,N69+M70-V69)))</f>
        <v>131.25</v>
      </c>
      <c r="O70" s="13">
        <f>N70*VLOOKUP('Données projet'!$B$9,Paramètres!$A$1:$I$89,3,0)*VLOOKUP('Données projet'!$B$9,Paramètres!$A$1:$I$89,5,0)</f>
        <v>118.75500000000001</v>
      </c>
      <c r="P70" s="13">
        <f t="shared" si="87"/>
        <v>31.384447472481</v>
      </c>
      <c r="Q70" s="20">
        <f t="shared" si="54"/>
        <v>261.49287101457111</v>
      </c>
      <c r="R70" s="59">
        <f t="shared" si="55"/>
        <v>554.82620434790442</v>
      </c>
      <c r="S70" s="59">
        <f ca="1">AVERAGE(OFFSET($R$3,0,0,'Données projet'!$E$9+1,1))-AVERAGE(OFFSET($H$3,0,0,'Données projet'!$E$9+1,1))</f>
        <v>328.8796193543036</v>
      </c>
      <c r="T70" s="59">
        <f t="shared" si="88"/>
        <v>199.43308683696642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11.631814927637866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11.631814927637866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351.77274930064431</v>
      </c>
      <c r="AO70" s="59">
        <f t="shared" si="90"/>
        <v>386.10758060007078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145.74124025738402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145.74124025738402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210.87455999999995</v>
      </c>
      <c r="BF70" s="13">
        <f t="shared" si="91"/>
        <v>52.126652811854591</v>
      </c>
      <c r="BG70" s="20">
        <f t="shared" si="61"/>
        <v>458.06044564731332</v>
      </c>
      <c r="BH70" s="59">
        <f t="shared" si="62"/>
        <v>751.39377898064663</v>
      </c>
      <c r="BI70" s="59">
        <f ca="1">AVERAGE(OFFSET($BH$3,0,0,'Données projet'!$E$11+1,1))-AVERAGE(OFFSET($H$3,0,0,'Données projet'!$E$11+1,1))</f>
        <v>438.62466697107681</v>
      </c>
      <c r="BJ70" s="59">
        <f t="shared" si="92"/>
        <v>241.18285512887627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6.375</v>
      </c>
      <c r="BY70" s="12">
        <f>IF('Données projet'!$A$114&gt;35,BY69+BX70-CG69,IF(A70&lt;'Données projet'!$A$114,$BV$205^A70,IF(A70='Données projet'!$A$114,'Données projet'!$B$114,BY69+BX70-CG69)))</f>
        <v>371.37499999999989</v>
      </c>
      <c r="BZ70" s="13">
        <f>BY70*VLOOKUP('Données projet'!$B$12,Paramètres!$A$1:$I$89,3,0)*VLOOKUP('Données projet'!$B$12,Paramètres!$A$1:$I$89,5,0)</f>
        <v>212.42649999999995</v>
      </c>
      <c r="CA70" s="13">
        <f t="shared" si="93"/>
        <v>52.465481934956344</v>
      </c>
      <c r="CB70" s="20">
        <f t="shared" si="64"/>
        <v>461.35353520338214</v>
      </c>
      <c r="CC70" s="59">
        <f t="shared" si="65"/>
        <v>754.68686853671545</v>
      </c>
      <c r="CD70" s="59">
        <f ca="1">AVERAGE(OFFSET($CC$3,0,0,'Données projet'!$E$12+1,1))-AVERAGE(OFFSET($H$3,0,0,'Données projet'!$E$12+1,1))</f>
        <v>308.33000350259448</v>
      </c>
      <c r="CE70" s="59">
        <f t="shared" si="94"/>
        <v>282.64839194267171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39.247950371221727</v>
      </c>
      <c r="CL70" s="21">
        <f>EXP(-LN(2)/25)*CL69+(1-EXP(-LN(2)/25))/(LN(2)/25)*Calculateur!CG70*Calculateur!CI70*VLOOKUP('Données projet'!$B$12,Paramètres!$A$1:$I$89,3,0)*0.475*44/12</f>
        <v>14.847671142611123</v>
      </c>
      <c r="CM70" s="21">
        <f>EXP(-LN(2)/2)*CM69+(1-EXP(-LN(2)/2))/(LN(2)/2)*CG70*CJ70*VLOOKUP('Données projet'!$B$12,Paramètres!$A$1:$I$89,3,0)*0.475*44/12</f>
        <v>1.4111450095350395</v>
      </c>
      <c r="CN70" s="22">
        <f t="shared" si="66"/>
        <v>55.506766523367894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4.6000000000000014</v>
      </c>
      <c r="CT70" s="12">
        <f>IF('Données projet'!$A$140&gt;35,CT69+CS70-DB69,IF(A70&lt;'Données projet'!$A$140,$CQ$205^A70,IF(A70='Données projet'!$A$140,'Données projet'!$B$140,CT69+CS70-DB69)))</f>
        <v>104.99999999999994</v>
      </c>
      <c r="CU70" s="17">
        <f>CT70*VLOOKUP('Données projet'!$B$13,Paramètres!$A$1:$I$89,3,0)*VLOOKUP('Données projet'!$B$13,Paramètres!$A$1:$I$89,5,0)</f>
        <v>119.57399999999994</v>
      </c>
      <c r="CV70" s="13">
        <f t="shared" si="95"/>
        <v>31.575621234412871</v>
      </c>
      <c r="CW70" s="20">
        <f t="shared" si="67"/>
        <v>263.25225698326898</v>
      </c>
      <c r="CX70" s="59">
        <f t="shared" si="68"/>
        <v>556.58559031660229</v>
      </c>
      <c r="CY70" s="59">
        <f ca="1">AVERAGE(OFFSET($CX$3,0,0,'Données projet'!$E$13+1,1))-AVERAGE(OFFSET($H$3,0,0,'Données projet'!$E$13+1,1))</f>
        <v>330.87173217110126</v>
      </c>
      <c r="CZ70" s="59">
        <f t="shared" si="96"/>
        <v>200.52697135436102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11.712034340931924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11.712034340931924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5.75</v>
      </c>
      <c r="N71" s="13">
        <f>IF('Données projet'!$A$36&gt;35,N70+M71-V70,IF(A71&lt;'Données projet'!$A$36,$K$205^A71,IF(A71='Données projet'!$A$36,'Données projet'!$B$36,N70+M71-V70)))</f>
        <v>137</v>
      </c>
      <c r="O71" s="13">
        <f>N71*VLOOKUP('Données projet'!$B$9,Paramètres!$A$1:$I$89,3,0)*VLOOKUP('Données projet'!$B$9,Paramètres!$A$1:$I$89,5,0)</f>
        <v>123.9576</v>
      </c>
      <c r="P71" s="13">
        <f t="shared" si="87"/>
        <v>32.59629414926458</v>
      </c>
      <c r="Q71" s="20">
        <f t="shared" si="54"/>
        <v>272.6646989766358</v>
      </c>
      <c r="R71" s="59">
        <f t="shared" si="55"/>
        <v>565.99803230996918</v>
      </c>
      <c r="S71" s="59">
        <f ca="1">AVERAGE(OFFSET($R$3,0,0,'Données projet'!$E$9+1,1))-AVERAGE(OFFSET($H$3,0,0,'Données projet'!$E$9+1,1))</f>
        <v>328.8796193543036</v>
      </c>
      <c r="T71" s="59">
        <f t="shared" si="88"/>
        <v>199.43308683696642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11.403722131613449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11.403722131613449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351.77274930064431</v>
      </c>
      <c r="AO71" s="59">
        <f t="shared" si="90"/>
        <v>386.10758060007078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142.88334342931577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142.88334342931577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217.34543999999994</v>
      </c>
      <c r="BF71" s="13">
        <f t="shared" si="91"/>
        <v>53.537523221233471</v>
      </c>
      <c r="BG71" s="20">
        <f t="shared" si="61"/>
        <v>471.78782761031488</v>
      </c>
      <c r="BH71" s="59">
        <f t="shared" si="62"/>
        <v>765.12116094364819</v>
      </c>
      <c r="BI71" s="59">
        <f ca="1">AVERAGE(OFFSET($BH$3,0,0,'Données projet'!$E$11+1,1))-AVERAGE(OFFSET($H$3,0,0,'Données projet'!$E$11+1,1))</f>
        <v>438.62466697107681</v>
      </c>
      <c r="BJ71" s="59">
        <f t="shared" si="92"/>
        <v>241.18285512887627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6.375</v>
      </c>
      <c r="BY71" s="12">
        <f>IF('Données projet'!$A$114&gt;35,BY70+BX71-CG70,IF(A71&lt;'Données projet'!$A$114,$BV$205^A71,IF(A71='Données projet'!$A$114,'Données projet'!$B$114,BY70+BX71-CG70)))</f>
        <v>377.74999999999989</v>
      </c>
      <c r="BZ71" s="13">
        <f>BY71*VLOOKUP('Données projet'!$B$12,Paramètres!$A$1:$I$89,3,0)*VLOOKUP('Données projet'!$B$12,Paramètres!$A$1:$I$89,5,0)</f>
        <v>216.07299999999995</v>
      </c>
      <c r="CA71" s="13">
        <f t="shared" si="93"/>
        <v>53.260479036838397</v>
      </c>
      <c r="CB71" s="20">
        <f t="shared" si="64"/>
        <v>469.08914265582683</v>
      </c>
      <c r="CC71" s="59">
        <f t="shared" si="65"/>
        <v>762.42247598916015</v>
      </c>
      <c r="CD71" s="59">
        <f ca="1">AVERAGE(OFFSET($CC$3,0,0,'Données projet'!$E$12+1,1))-AVERAGE(OFFSET($H$3,0,0,'Données projet'!$E$12+1,1))</f>
        <v>308.33000350259448</v>
      </c>
      <c r="CE71" s="59">
        <f t="shared" si="94"/>
        <v>282.64839194267171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38.478322003328024</v>
      </c>
      <c r="CL71" s="21">
        <f>EXP(-LN(2)/25)*CL70+(1-EXP(-LN(2)/25))/(LN(2)/25)*Calculateur!CG71*Calculateur!CI71*VLOOKUP('Données projet'!$B$12,Paramètres!$A$1:$I$89,3,0)*0.475*44/12</f>
        <v>14.441660794411332</v>
      </c>
      <c r="CM71" s="21">
        <f>EXP(-LN(2)/2)*CM70+(1-EXP(-LN(2)/2))/(LN(2)/2)*CG71*CJ71*VLOOKUP('Données projet'!$B$12,Paramètres!$A$1:$I$89,3,0)*0.475*44/12</f>
        <v>0.99783020547978174</v>
      </c>
      <c r="CN71" s="22">
        <f t="shared" si="66"/>
        <v>53.917813003219138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4.6000000000000014</v>
      </c>
      <c r="CT71" s="12">
        <f>IF('Données projet'!$A$140&gt;35,CT70+CS71-DB70,IF(A71&lt;'Données projet'!$A$140,$CQ$205^A71,IF(A71='Données projet'!$A$140,'Données projet'!$B$140,CT70+CS71-DB70)))</f>
        <v>109.59999999999994</v>
      </c>
      <c r="CU71" s="17">
        <f>CT71*VLOOKUP('Données projet'!$B$13,Paramètres!$A$1:$I$89,3,0)*VLOOKUP('Données projet'!$B$13,Paramètres!$A$1:$I$89,5,0)</f>
        <v>124.81247999999994</v>
      </c>
      <c r="CV71" s="13">
        <f t="shared" si="95"/>
        <v>32.794849697614367</v>
      </c>
      <c r="CW71" s="20">
        <f t="shared" si="67"/>
        <v>274.4994325566783</v>
      </c>
      <c r="CX71" s="59">
        <f t="shared" si="68"/>
        <v>567.83276589001161</v>
      </c>
      <c r="CY71" s="59">
        <f ca="1">AVERAGE(OFFSET($CX$3,0,0,'Données projet'!$E$13+1,1))-AVERAGE(OFFSET($H$3,0,0,'Données projet'!$E$13+1,1))</f>
        <v>330.87173217110126</v>
      </c>
      <c r="CZ71" s="59">
        <f t="shared" si="96"/>
        <v>200.52697135436102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11.482368491141822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11.482368491141822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5.75</v>
      </c>
      <c r="N72" s="13">
        <f>IF('Données projet'!$A$36&gt;35,N71+M72-V71,IF(A72&lt;'Données projet'!$A$36,$K$205^A72,IF(A72='Données projet'!$A$36,'Données projet'!$B$36,N71+M72-V71)))</f>
        <v>142.75</v>
      </c>
      <c r="O72" s="13">
        <f>N72*VLOOKUP('Données projet'!$B$9,Paramètres!$A$1:$I$89,3,0)*VLOOKUP('Données projet'!$B$9,Paramètres!$A$1:$I$89,5,0)</f>
        <v>129.16019999999997</v>
      </c>
      <c r="P72" s="13">
        <f t="shared" si="87"/>
        <v>33.80223307495099</v>
      </c>
      <c r="Q72" s="20">
        <f t="shared" si="54"/>
        <v>283.82623760553963</v>
      </c>
      <c r="R72" s="59">
        <f t="shared" si="55"/>
        <v>577.159570938873</v>
      </c>
      <c r="S72" s="59">
        <f ca="1">AVERAGE(OFFSET($R$3,0,0,'Données projet'!$E$9+1,1))-AVERAGE(OFFSET($H$3,0,0,'Données projet'!$E$9+1,1))</f>
        <v>328.8796193543036</v>
      </c>
      <c r="T72" s="59">
        <f t="shared" si="88"/>
        <v>199.43308683696642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11.180102096196203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11.180102096196203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351.77274930064431</v>
      </c>
      <c r="AO72" s="59">
        <f t="shared" si="90"/>
        <v>386.10758060007078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140.08148821490101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140.08148821490101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223.81631999999999</v>
      </c>
      <c r="BF72" s="13">
        <f t="shared" si="91"/>
        <v>54.94351196072666</v>
      </c>
      <c r="BG72" s="20">
        <f t="shared" si="61"/>
        <v>485.50670733159899</v>
      </c>
      <c r="BH72" s="59">
        <f t="shared" si="62"/>
        <v>778.8400406649323</v>
      </c>
      <c r="BI72" s="59">
        <f ca="1">AVERAGE(OFFSET($BH$3,0,0,'Données projet'!$E$11+1,1))-AVERAGE(OFFSET($H$3,0,0,'Données projet'!$E$11+1,1))</f>
        <v>438.62466697107681</v>
      </c>
      <c r="BJ72" s="59">
        <f t="shared" si="92"/>
        <v>241.18285512887627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6.375</v>
      </c>
      <c r="BY72" s="12">
        <f>IF('Données projet'!$A$114&gt;35,BY71+BX72-CG71,IF(A72&lt;'Données projet'!$A$114,$BV$205^A72,IF(A72='Données projet'!$A$114,'Données projet'!$B$114,BY71+BX72-CG71)))</f>
        <v>384.12499999999989</v>
      </c>
      <c r="BZ72" s="13">
        <f>BY72*VLOOKUP('Données projet'!$B$12,Paramètres!$A$1:$I$89,3,0)*VLOOKUP('Données projet'!$B$12,Paramètres!$A$1:$I$89,5,0)</f>
        <v>219.71949999999995</v>
      </c>
      <c r="CA72" s="13">
        <f t="shared" si="93"/>
        <v>54.05391590541484</v>
      </c>
      <c r="CB72" s="20">
        <f t="shared" si="64"/>
        <v>476.82203270193077</v>
      </c>
      <c r="CC72" s="59">
        <f t="shared" si="65"/>
        <v>770.15536603526402</v>
      </c>
      <c r="CD72" s="59">
        <f ca="1">AVERAGE(OFFSET($CC$3,0,0,'Données projet'!$E$12+1,1))-AVERAGE(OFFSET($H$3,0,0,'Données projet'!$E$12+1,1))</f>
        <v>308.33000350259448</v>
      </c>
      <c r="CE72" s="59">
        <f t="shared" si="94"/>
        <v>282.64839194267171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37.723785578301765</v>
      </c>
      <c r="CL72" s="21">
        <f>EXP(-LN(2)/25)*CL71+(1-EXP(-LN(2)/25))/(LN(2)/25)*Calculateur!CG72*Calculateur!CI72*VLOOKUP('Données projet'!$B$12,Paramètres!$A$1:$I$89,3,0)*0.475*44/12</f>
        <v>14.04675282053422</v>
      </c>
      <c r="CM72" s="21">
        <f>EXP(-LN(2)/2)*CM71+(1-EXP(-LN(2)/2))/(LN(2)/2)*CG72*CJ72*VLOOKUP('Données projet'!$B$12,Paramètres!$A$1:$I$89,3,0)*0.475*44/12</f>
        <v>0.70557250476751987</v>
      </c>
      <c r="CN72" s="22">
        <f t="shared" si="66"/>
        <v>52.476110903603498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4.6000000000000014</v>
      </c>
      <c r="CT72" s="12">
        <f>IF('Données projet'!$A$140&gt;35,CT71+CS72-DB71,IF(A72&lt;'Données projet'!$A$140,$CQ$205^A72,IF(A72='Données projet'!$A$140,'Données projet'!$B$140,CT71+CS72-DB71)))</f>
        <v>114.19999999999993</v>
      </c>
      <c r="CU72" s="17">
        <f>CT72*VLOOKUP('Données projet'!$B$13,Paramètres!$A$1:$I$89,3,0)*VLOOKUP('Données projet'!$B$13,Paramètres!$A$1:$I$89,5,0)</f>
        <v>130.05095999999992</v>
      </c>
      <c r="CV72" s="13">
        <f t="shared" si="95"/>
        <v>34.008134423518733</v>
      </c>
      <c r="CW72" s="20">
        <f t="shared" si="67"/>
        <v>285.73625612096163</v>
      </c>
      <c r="CX72" s="59">
        <f t="shared" si="68"/>
        <v>579.06958945429494</v>
      </c>
      <c r="CY72" s="59">
        <f ca="1">AVERAGE(OFFSET($CX$3,0,0,'Données projet'!$E$13+1,1))-AVERAGE(OFFSET($H$3,0,0,'Données projet'!$E$13+1,1))</f>
        <v>330.87173217110126</v>
      </c>
      <c r="CZ72" s="59">
        <f t="shared" si="96"/>
        <v>200.52697135436102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11.257206248583767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11.257206248583767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5.75</v>
      </c>
      <c r="N73" s="13">
        <f>IF('Données projet'!$A$36&gt;35,N72+M73-V72,IF(A73&lt;'Données projet'!$A$36,$K$205^A73,IF(A73='Données projet'!$A$36,'Données projet'!$B$36,N72+M73-V72)))</f>
        <v>148.5</v>
      </c>
      <c r="O73" s="13">
        <f>N73*VLOOKUP('Données projet'!$B$9,Paramètres!$A$1:$I$89,3,0)*VLOOKUP('Données projet'!$B$9,Paramètres!$A$1:$I$89,5,0)</f>
        <v>134.36279999999999</v>
      </c>
      <c r="P73" s="13">
        <f t="shared" si="87"/>
        <v>35.002529438504695</v>
      </c>
      <c r="Q73" s="20">
        <f t="shared" si="54"/>
        <v>294.97794877206235</v>
      </c>
      <c r="R73" s="59">
        <f t="shared" si="55"/>
        <v>588.31128210539566</v>
      </c>
      <c r="S73" s="59">
        <f ca="1">AVERAGE(OFFSET($R$3,0,0,'Données projet'!$E$9+1,1))-AVERAGE(OFFSET($H$3,0,0,'Données projet'!$E$9+1,1))</f>
        <v>328.8796193543036</v>
      </c>
      <c r="T73" s="59">
        <f t="shared" si="88"/>
        <v>199.43308683696642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10.960867113278734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10.960867113278734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351.77274930064431</v>
      </c>
      <c r="AO73" s="59">
        <f t="shared" si="90"/>
        <v>386.10758060007078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137.33457567227799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137.33457567227799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230.28719999999998</v>
      </c>
      <c r="BF73" s="13">
        <f t="shared" si="91"/>
        <v>56.344776374959956</v>
      </c>
      <c r="BG73" s="20">
        <f t="shared" si="61"/>
        <v>499.2173588530552</v>
      </c>
      <c r="BH73" s="59">
        <f t="shared" si="62"/>
        <v>792.55069218638846</v>
      </c>
      <c r="BI73" s="59">
        <f ca="1">AVERAGE(OFFSET($BH$3,0,0,'Données projet'!$E$11+1,1))-AVERAGE(OFFSET($H$3,0,0,'Données projet'!$E$11+1,1))</f>
        <v>438.62466697107681</v>
      </c>
      <c r="BJ73" s="59">
        <f t="shared" si="92"/>
        <v>241.18285512887627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6.375</v>
      </c>
      <c r="BY73" s="12">
        <f>IF('Données projet'!$A$114&gt;35,BY72+BX73-CG72,IF(A73&lt;'Données projet'!$A$114,$BV$205^A73,IF(A73='Données projet'!$A$114,'Données projet'!$B$114,BY72+BX73-CG72)))</f>
        <v>390.49999999999989</v>
      </c>
      <c r="BZ73" s="13">
        <f>BY73*VLOOKUP('Données projet'!$B$12,Paramètres!$A$1:$I$89,3,0)*VLOOKUP('Données projet'!$B$12,Paramètres!$A$1:$I$89,5,0)</f>
        <v>223.36599999999996</v>
      </c>
      <c r="CA73" s="13">
        <f t="shared" si="93"/>
        <v>54.845821423382894</v>
      </c>
      <c r="CB73" s="20">
        <f t="shared" si="64"/>
        <v>484.5522556457251</v>
      </c>
      <c r="CC73" s="59">
        <f t="shared" si="65"/>
        <v>777.88558897905841</v>
      </c>
      <c r="CD73" s="59">
        <f ca="1">AVERAGE(OFFSET($CC$3,0,0,'Données projet'!$E$12+1,1))-AVERAGE(OFFSET($H$3,0,0,'Données projet'!$E$12+1,1))</f>
        <v>308.33000350259448</v>
      </c>
      <c r="CE73" s="59">
        <f t="shared" si="94"/>
        <v>282.64839194267171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36.9840451523485</v>
      </c>
      <c r="CL73" s="21">
        <f>EXP(-LN(2)/25)*CL72+(1-EXP(-LN(2)/25))/(LN(2)/25)*Calculateur!CG73*Calculateur!CI73*VLOOKUP('Données projet'!$B$12,Paramètres!$A$1:$I$89,3,0)*0.475*44/12</f>
        <v>13.662643625970086</v>
      </c>
      <c r="CM73" s="21">
        <f>EXP(-LN(2)/2)*CM72+(1-EXP(-LN(2)/2))/(LN(2)/2)*CG73*CJ73*VLOOKUP('Données projet'!$B$12,Paramètres!$A$1:$I$89,3,0)*0.475*44/12</f>
        <v>0.49891510273989098</v>
      </c>
      <c r="CN73" s="22">
        <f t="shared" si="66"/>
        <v>51.145603881058477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4.6000000000000014</v>
      </c>
      <c r="CT73" s="12">
        <f>IF('Données projet'!$A$140&gt;35,CT72+CS73-DB72,IF(A73&lt;'Données projet'!$A$140,$CQ$205^A73,IF(A73='Données projet'!$A$140,'Données projet'!$B$140,CT72+CS73-DB72)))</f>
        <v>118.79999999999993</v>
      </c>
      <c r="CU73" s="17">
        <f>CT73*VLOOKUP('Données projet'!$B$13,Paramètres!$A$1:$I$89,3,0)*VLOOKUP('Données projet'!$B$13,Paramètres!$A$1:$I$89,5,0)</f>
        <v>135.28943999999993</v>
      </c>
      <c r="CV73" s="13">
        <f t="shared" si="95"/>
        <v>35.215742216450153</v>
      </c>
      <c r="CW73" s="20">
        <f t="shared" si="67"/>
        <v>296.96319236031718</v>
      </c>
      <c r="CX73" s="59">
        <f t="shared" si="68"/>
        <v>590.29652569365044</v>
      </c>
      <c r="CY73" s="59">
        <f ca="1">AVERAGE(OFFSET($CX$3,0,0,'Données projet'!$E$13+1,1))-AVERAGE(OFFSET($H$3,0,0,'Données projet'!$E$13+1,1))</f>
        <v>330.87173217110126</v>
      </c>
      <c r="CZ73" s="59">
        <f t="shared" si="96"/>
        <v>200.52697135436102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11.036459300266868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11.036459300266868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5.75</v>
      </c>
      <c r="N74" s="13">
        <f>IF('Données projet'!$A$36&gt;35,N73+M74-V73,IF(A74&lt;'Données projet'!$A$36,$K$205^A74,IF(A74='Données projet'!$A$36,'Données projet'!$B$36,N73+M74-V73)))</f>
        <v>154.25</v>
      </c>
      <c r="O74" s="13">
        <f>N74*VLOOKUP('Données projet'!$B$9,Paramètres!$A$1:$I$89,3,0)*VLOOKUP('Données projet'!$B$9,Paramètres!$A$1:$I$89,5,0)</f>
        <v>139.56539999999998</v>
      </c>
      <c r="P74" s="13">
        <f t="shared" si="87"/>
        <v>36.197426729463054</v>
      </c>
      <c r="Q74" s="20">
        <f t="shared" si="54"/>
        <v>306.12025655381473</v>
      </c>
      <c r="R74" s="59">
        <f t="shared" si="55"/>
        <v>599.45358988714804</v>
      </c>
      <c r="S74" s="59">
        <f ca="1">AVERAGE(OFFSET($R$3,0,0,'Données projet'!$E$9+1,1))-AVERAGE(OFFSET($H$3,0,0,'Données projet'!$E$9+1,1))</f>
        <v>328.8796193543036</v>
      </c>
      <c r="T74" s="59">
        <f t="shared" si="88"/>
        <v>199.43308683696642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10.745931194656142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10.745931194656142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351.77274930064431</v>
      </c>
      <c r="AO74" s="59">
        <f t="shared" si="90"/>
        <v>386.10758060007078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134.64152840916461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134.64152840916461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216.20351999999997</v>
      </c>
      <c r="BF74" s="13">
        <f t="shared" si="91"/>
        <v>53.288905450648613</v>
      </c>
      <c r="BG74" s="20">
        <f t="shared" si="61"/>
        <v>469.36597432654622</v>
      </c>
      <c r="BH74" s="59">
        <f t="shared" si="62"/>
        <v>762.69930765987954</v>
      </c>
      <c r="BI74" s="59">
        <f ca="1">AVERAGE(OFFSET($BH$3,0,0,'Données projet'!$E$11+1,1))-AVERAGE(OFFSET($H$3,0,0,'Données projet'!$E$11+1,1))</f>
        <v>438.62466697107681</v>
      </c>
      <c r="BJ74" s="59">
        <f t="shared" si="92"/>
        <v>241.18285512887627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6.375</v>
      </c>
      <c r="BY74" s="12">
        <f>IF('Données projet'!$A$114&gt;35,BY73+BX74-CG73,IF(A74&lt;'Données projet'!$A$114,$BV$205^A74,IF(A74='Données projet'!$A$114,'Données projet'!$B$114,BY73+BX74-CG73)))</f>
        <v>396.87499999999989</v>
      </c>
      <c r="BZ74" s="13">
        <f>BY74*VLOOKUP('Données projet'!$B$12,Paramètres!$A$1:$I$89,3,0)*VLOOKUP('Données projet'!$B$12,Paramètres!$A$1:$I$89,5,0)</f>
        <v>227.01249999999993</v>
      </c>
      <c r="CA74" s="13">
        <f t="shared" si="93"/>
        <v>55.636223476337349</v>
      </c>
      <c r="CB74" s="20">
        <f t="shared" si="64"/>
        <v>492.27986005462077</v>
      </c>
      <c r="CC74" s="59">
        <f t="shared" si="65"/>
        <v>785.61319338795408</v>
      </c>
      <c r="CD74" s="59">
        <f ca="1">AVERAGE(OFFSET($CC$3,0,0,'Données projet'!$E$12+1,1))-AVERAGE(OFFSET($H$3,0,0,'Données projet'!$E$12+1,1))</f>
        <v>308.33000350259448</v>
      </c>
      <c r="CE74" s="59">
        <f t="shared" si="94"/>
        <v>282.64839194267171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36.258810584951064</v>
      </c>
      <c r="CL74" s="21">
        <f>EXP(-LN(2)/25)*CL73+(1-EXP(-LN(2)/25))/(LN(2)/25)*Calculateur!CG74*Calculateur!CI74*VLOOKUP('Données projet'!$B$12,Paramètres!$A$1:$I$89,3,0)*0.475*44/12</f>
        <v>13.289037917530731</v>
      </c>
      <c r="CM74" s="21">
        <f>EXP(-LN(2)/2)*CM73+(1-EXP(-LN(2)/2))/(LN(2)/2)*CG74*CJ74*VLOOKUP('Données projet'!$B$12,Paramètres!$A$1:$I$89,3,0)*0.475*44/12</f>
        <v>0.35278625238375999</v>
      </c>
      <c r="CN74" s="22">
        <f t="shared" si="66"/>
        <v>49.900634754865557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4.6000000000000014</v>
      </c>
      <c r="CT74" s="12">
        <f>IF('Données projet'!$A$140&gt;35,CT73+CS74-DB73,IF(A74&lt;'Données projet'!$A$140,$CQ$205^A74,IF(A74='Données projet'!$A$140,'Données projet'!$B$140,CT73+CS74-DB73)))</f>
        <v>123.39999999999992</v>
      </c>
      <c r="CU74" s="17">
        <f>CT74*VLOOKUP('Données projet'!$B$13,Paramètres!$A$1:$I$89,3,0)*VLOOKUP('Données projet'!$B$13,Paramètres!$A$1:$I$89,5,0)</f>
        <v>140.52791999999991</v>
      </c>
      <c r="CV74" s="13">
        <f t="shared" si="95"/>
        <v>36.417918049126826</v>
      </c>
      <c r="CW74" s="20">
        <f t="shared" si="67"/>
        <v>308.18066793556244</v>
      </c>
      <c r="CX74" s="59">
        <f t="shared" si="68"/>
        <v>601.51400126889575</v>
      </c>
      <c r="CY74" s="59">
        <f ca="1">AVERAGE(OFFSET($CX$3,0,0,'Données projet'!$E$13+1,1))-AVERAGE(OFFSET($H$3,0,0,'Données projet'!$E$13+1,1))</f>
        <v>330.87173217110126</v>
      </c>
      <c r="CZ74" s="59">
        <f t="shared" si="96"/>
        <v>200.52697135436102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10.820041064964119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10.820041064964119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>
        <f>VLOOKUP(A75,'Données projet'!$A$35:$I$55,2,0)</f>
        <v>160</v>
      </c>
      <c r="L75" s="12">
        <f>VLOOKUP(A75,'Données projet'!$A$35:$I$55,9,0)</f>
        <v>5.75</v>
      </c>
      <c r="M75" s="12">
        <f t="array" ref="M75">INDEX(L:L,MIN(IF(ISNUMBER(L75:L271),ROW(L75:L271),"")))</f>
        <v>5.75</v>
      </c>
      <c r="N75" s="13">
        <f>IF('Données projet'!$A$36&gt;35,N74+M75-V74,IF(A75&lt;'Données projet'!$A$36,$K$205^A75,IF(A75='Données projet'!$A$36,'Données projet'!$B$36,N74+M75-V74)))</f>
        <v>160</v>
      </c>
      <c r="O75" s="13">
        <f>N75*VLOOKUP('Données projet'!$B$9,Paramètres!$A$1:$I$89,3,0)*VLOOKUP('Données projet'!$B$9,Paramètres!$A$1:$I$89,5,0)</f>
        <v>144.768</v>
      </c>
      <c r="P75" s="13">
        <f t="shared" si="87"/>
        <v>37.387149255707826</v>
      </c>
      <c r="Q75" s="20">
        <f t="shared" si="54"/>
        <v>317.25355162035777</v>
      </c>
      <c r="R75" s="59">
        <f t="shared" si="55"/>
        <v>610.58688495369108</v>
      </c>
      <c r="S75" s="59">
        <f ca="1">AVERAGE(OFFSET($R$3,0,0,'Données projet'!$E$9+1,1))-AVERAGE(OFFSET($H$3,0,0,'Données projet'!$E$9+1,1))</f>
        <v>328.8796193543036</v>
      </c>
      <c r="T75" s="59">
        <f t="shared" si="88"/>
        <v>199.43308683696642</v>
      </c>
      <c r="U75" s="15">
        <f>IF(ISNA(VLOOKUP(A75,'Données projet'!$A$35:$I$55,3,0)),0,VLOOKUP(A75,'Données projet'!$A$35:$I$55,3,0))</f>
        <v>5</v>
      </c>
      <c r="V75" s="15">
        <f>IF(ISNA(VLOOKUP(A75,'Données projet'!$A$35:$I$55,4,0)),0,VLOOKUP(A75,'Données projet'!$A$35:$I$55,4,0))</f>
        <v>32</v>
      </c>
      <c r="W75" s="16">
        <f>IF(ISNA(VLOOKUP(A75,'Données projet'!$A$35:$I$55,5,0)),0%,VLOOKUP(A75,'Données projet'!$A$35:$I$55,5,0)*VLOOKUP('Données projet'!$B$9,Paramètres!$A$1:$I$89,7,0))</f>
        <v>0.30099999999999999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20.169421539734184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20.169421539734184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351.77274930064431</v>
      </c>
      <c r="AO75" s="59">
        <f t="shared" si="90"/>
        <v>386.10758060007078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132.00129016028421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132.00129016028421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222.10343999999995</v>
      </c>
      <c r="BF75" s="13">
        <f t="shared" si="91"/>
        <v>54.571804516465022</v>
      </c>
      <c r="BG75" s="20">
        <f t="shared" si="61"/>
        <v>481.87605086617651</v>
      </c>
      <c r="BH75" s="59">
        <f t="shared" si="62"/>
        <v>775.20938419950983</v>
      </c>
      <c r="BI75" s="59">
        <f ca="1">AVERAGE(OFFSET($BH$3,0,0,'Données projet'!$E$11+1,1))-AVERAGE(OFFSET($H$3,0,0,'Données projet'!$E$11+1,1))</f>
        <v>438.62466697107681</v>
      </c>
      <c r="BJ75" s="59">
        <f t="shared" si="92"/>
        <v>241.18285512887627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6.375</v>
      </c>
      <c r="BY75" s="12">
        <f>IF('Données projet'!$A$114&gt;35,BY74+BX75-CG74,IF(A75&lt;'Données projet'!$A$114,$BV$205^A75,IF(A75='Données projet'!$A$114,'Données projet'!$B$114,BY74+BX75-CG74)))</f>
        <v>403.24999999999989</v>
      </c>
      <c r="BZ75" s="13">
        <f>BY75*VLOOKUP('Données projet'!$B$12,Paramètres!$A$1:$I$89,3,0)*VLOOKUP('Données projet'!$B$12,Paramètres!$A$1:$I$89,5,0)</f>
        <v>230.65899999999993</v>
      </c>
      <c r="CA75" s="13">
        <f t="shared" si="93"/>
        <v>56.425149002646286</v>
      </c>
      <c r="CB75" s="20">
        <f t="shared" si="64"/>
        <v>500.00489284627542</v>
      </c>
      <c r="CC75" s="59">
        <f t="shared" si="65"/>
        <v>793.33822617960868</v>
      </c>
      <c r="CD75" s="59">
        <f ca="1">AVERAGE(OFFSET($CC$3,0,0,'Données projet'!$E$12+1,1))-AVERAGE(OFFSET($H$3,0,0,'Données projet'!$E$12+1,1))</f>
        <v>308.33000350259448</v>
      </c>
      <c r="CE75" s="59">
        <f t="shared" si="94"/>
        <v>282.64839194267171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35.54779742507089</v>
      </c>
      <c r="CL75" s="21">
        <f>EXP(-LN(2)/25)*CL74+(1-EXP(-LN(2)/25))/(LN(2)/25)*Calculateur!CG75*Calculateur!CI75*VLOOKUP('Données projet'!$B$12,Paramètres!$A$1:$I$89,3,0)*0.475*44/12</f>
        <v>12.925648476835722</v>
      </c>
      <c r="CM75" s="21">
        <f>EXP(-LN(2)/2)*CM74+(1-EXP(-LN(2)/2))/(LN(2)/2)*CG75*CJ75*VLOOKUP('Données projet'!$B$12,Paramètres!$A$1:$I$89,3,0)*0.475*44/12</f>
        <v>0.24945755136994552</v>
      </c>
      <c r="CN75" s="22">
        <f t="shared" si="66"/>
        <v>48.722903453276558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>
        <f>VLOOKUP(A75,'Données projet'!$A$139:$I$159,2,0)</f>
        <v>128</v>
      </c>
      <c r="CR75" s="12">
        <f>VLOOKUP(A75,'Données projet'!$A$139:$I$159,9,0)</f>
        <v>4.6000000000000014</v>
      </c>
      <c r="CS75" s="12">
        <f t="array" ref="CS75">INDEX(CR:CR,MIN(IF(ISNUMBER(CR75:CR271),ROW(CR75:CR271),"")))</f>
        <v>4.6000000000000014</v>
      </c>
      <c r="CT75" s="12">
        <f>IF('Données projet'!$A$140&gt;35,CT74+CS75-DB74,IF(A75&lt;'Données projet'!$A$140,$CQ$205^A75,IF(A75='Données projet'!$A$140,'Données projet'!$B$140,CT74+CS75-DB74)))</f>
        <v>127.99999999999991</v>
      </c>
      <c r="CU75" s="17">
        <f>CT75*VLOOKUP('Données projet'!$B$13,Paramètres!$A$1:$I$89,3,0)*VLOOKUP('Données projet'!$B$13,Paramètres!$A$1:$I$89,5,0)</f>
        <v>145.76639999999992</v>
      </c>
      <c r="CV75" s="13">
        <f t="shared" si="95"/>
        <v>37.614887595769098</v>
      </c>
      <c r="CW75" s="20">
        <f t="shared" si="67"/>
        <v>319.38907589596437</v>
      </c>
      <c r="CX75" s="59">
        <f t="shared" si="68"/>
        <v>612.72240922929768</v>
      </c>
      <c r="CY75" s="59">
        <f ca="1">AVERAGE(OFFSET($CX$3,0,0,'Données projet'!$E$13+1,1))-AVERAGE(OFFSET($H$3,0,0,'Données projet'!$E$13+1,1))</f>
        <v>330.87173217110126</v>
      </c>
      <c r="CZ75" s="59">
        <f t="shared" si="96"/>
        <v>200.52697135436102</v>
      </c>
      <c r="DA75" s="15">
        <f>IF(ISNA(VLOOKUP(A75,'Données projet'!$A$139:$I$159,3,0)),0,VLOOKUP(A75,'Données projet'!$A$139:$I$159,3,0))</f>
        <v>5</v>
      </c>
      <c r="DB75" s="15">
        <f>IF(ISNA(VLOOKUP(A75,'Données projet'!$A$139:$I$159,4,0)),0,VLOOKUP(A75,'Données projet'!$A$139:$I$159,4,0))</f>
        <v>25.6</v>
      </c>
      <c r="DC75" s="16">
        <f>IF(ISNA(VLOOKUP(A75,'Données projet'!$A$139:$I$159,5,0)),0%,VLOOKUP(A75,'Données projet'!$A$139:$I$159,5,0)*VLOOKUP('Données projet'!$B$13,Paramètres!$A$1:$I$89,7,0))</f>
        <v>0.30099999999999999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20.308520998628907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20.308520998628907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4.8888888888888893</v>
      </c>
      <c r="N76" s="13">
        <f>IF('Données projet'!$A$36&gt;35,N75+M76-V75,IF(A76&lt;'Données projet'!$A$36,$K$205^A76,IF(A76='Données projet'!$A$36,'Données projet'!$B$36,N75+M76-V75)))</f>
        <v>132.88888888888889</v>
      </c>
      <c r="O76" s="13">
        <f>N76*VLOOKUP('Données projet'!$B$9,Paramètres!$A$1:$I$89,3,0)*VLOOKUP('Données projet'!$B$9,Paramètres!$A$1:$I$89,5,0)</f>
        <v>120.23786666666666</v>
      </c>
      <c r="P76" s="13">
        <f t="shared" si="87"/>
        <v>31.730471392330248</v>
      </c>
      <c r="Q76" s="20">
        <f t="shared" si="54"/>
        <v>264.67818878608631</v>
      </c>
      <c r="R76" s="59">
        <f t="shared" si="55"/>
        <v>558.01152211941962</v>
      </c>
      <c r="S76" s="59">
        <f ca="1">AVERAGE(OFFSET($R$3,0,0,'Données projet'!$E$9+1,1))-AVERAGE(OFFSET($H$3,0,0,'Données projet'!$E$9+1,1))</f>
        <v>328.8796193543036</v>
      </c>
      <c r="T76" s="59">
        <f t="shared" si="88"/>
        <v>199.43308683696642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19.7739114854724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19.7739114854724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351.77274930064431</v>
      </c>
      <c r="AO76" s="59">
        <f t="shared" si="90"/>
        <v>386.10758060007078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129.41282537307805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129.41282537307805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228.00335999999993</v>
      </c>
      <c r="BF76" s="13">
        <f t="shared" si="91"/>
        <v>55.850742452867522</v>
      </c>
      <c r="BG76" s="20">
        <f t="shared" si="61"/>
        <v>494.37922843874412</v>
      </c>
      <c r="BH76" s="59">
        <f t="shared" si="62"/>
        <v>787.71256177207738</v>
      </c>
      <c r="BI76" s="59">
        <f ca="1">AVERAGE(OFFSET($BH$3,0,0,'Données projet'!$E$11+1,1))-AVERAGE(OFFSET($H$3,0,0,'Données projet'!$E$11+1,1))</f>
        <v>438.62466697107681</v>
      </c>
      <c r="BJ76" s="59">
        <f t="shared" si="92"/>
        <v>241.18285512887627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6.375</v>
      </c>
      <c r="BY76" s="12">
        <f>IF('Données projet'!$A$114&gt;35,BY75+BX76-CG75,IF(A76&lt;'Données projet'!$A$114,$BV$205^A76,IF(A76='Données projet'!$A$114,'Données projet'!$B$114,BY75+BX76-CG75)))</f>
        <v>409.62499999999989</v>
      </c>
      <c r="BZ76" s="13">
        <f>BY76*VLOOKUP('Données projet'!$B$12,Paramètres!$A$1:$I$89,3,0)*VLOOKUP('Données projet'!$B$12,Paramètres!$A$1:$I$89,5,0)</f>
        <v>234.30549999999994</v>
      </c>
      <c r="CA76" s="13">
        <f t="shared" si="93"/>
        <v>57.212624040083121</v>
      </c>
      <c r="CB76" s="20">
        <f t="shared" si="64"/>
        <v>507.72739936981134</v>
      </c>
      <c r="CC76" s="59">
        <f t="shared" si="65"/>
        <v>801.06073270314459</v>
      </c>
      <c r="CD76" s="59">
        <f ca="1">AVERAGE(OFFSET($CC$3,0,0,'Données projet'!$E$12+1,1))-AVERAGE(OFFSET($H$3,0,0,'Données projet'!$E$12+1,1))</f>
        <v>308.33000350259448</v>
      </c>
      <c r="CE76" s="59">
        <f t="shared" si="94"/>
        <v>282.64839194267171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34.850726799580755</v>
      </c>
      <c r="CL76" s="21">
        <f>EXP(-LN(2)/25)*CL75+(1-EXP(-LN(2)/25))/(LN(2)/25)*Calculateur!CG76*Calculateur!CI76*VLOOKUP('Données projet'!$B$12,Paramètres!$A$1:$I$89,3,0)*0.475*44/12</f>
        <v>12.572195939506338</v>
      </c>
      <c r="CM76" s="21">
        <f>EXP(-LN(2)/2)*CM75+(1-EXP(-LN(2)/2))/(LN(2)/2)*CG76*CJ76*VLOOKUP('Données projet'!$B$12,Paramètres!$A$1:$I$89,3,0)*0.475*44/12</f>
        <v>0.17639312619188002</v>
      </c>
      <c r="CN76" s="22">
        <f t="shared" si="66"/>
        <v>47.599315865278975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3.9111111111111097</v>
      </c>
      <c r="CT76" s="12">
        <f>IF('Données projet'!$A$140&gt;35,CT75+CS76-DB75,IF(A76&lt;'Données projet'!$A$140,$CQ$205^A76,IF(A76='Données projet'!$A$140,'Données projet'!$B$140,CT75+CS76-DB75)))</f>
        <v>106.31111111111102</v>
      </c>
      <c r="CU76" s="17">
        <f>CT76*VLOOKUP('Données projet'!$B$13,Paramètres!$A$1:$I$89,3,0)*VLOOKUP('Données projet'!$B$13,Paramètres!$A$1:$I$89,5,0)</f>
        <v>121.06709333333322</v>
      </c>
      <c r="CV76" s="13">
        <f t="shared" si="95"/>
        <v>31.923752908255047</v>
      </c>
      <c r="CW76" s="20">
        <f t="shared" si="67"/>
        <v>266.45905720409951</v>
      </c>
      <c r="CX76" s="59">
        <f t="shared" si="68"/>
        <v>559.79239053743277</v>
      </c>
      <c r="CY76" s="59">
        <f ca="1">AVERAGE(OFFSET($CX$3,0,0,'Données projet'!$E$13+1,1))-AVERAGE(OFFSET($H$3,0,0,'Données projet'!$E$13+1,1))</f>
        <v>330.87173217110126</v>
      </c>
      <c r="CZ76" s="59">
        <f t="shared" si="96"/>
        <v>200.52697135436102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19.910283288820491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19.910283288820491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4.8888888888888893</v>
      </c>
      <c r="N77" s="13">
        <f>IF('Données projet'!$A$36&gt;35,N76+M77-V76,IF(A77&lt;'Données projet'!$A$36,$K$205^A77,IF(A77='Données projet'!$A$36,'Données projet'!$B$36,N76+M77-V76)))</f>
        <v>137.77777777777777</v>
      </c>
      <c r="O77" s="13">
        <f>N77*VLOOKUP('Données projet'!$B$9,Paramètres!$A$1:$I$89,3,0)*VLOOKUP('Données projet'!$B$9,Paramètres!$A$1:$I$89,5,0)</f>
        <v>124.66133333333332</v>
      </c>
      <c r="P77" s="13">
        <f t="shared" si="87"/>
        <v>32.759755724835557</v>
      </c>
      <c r="Q77" s="20">
        <f t="shared" si="54"/>
        <v>274.17506344297743</v>
      </c>
      <c r="R77" s="59">
        <f t="shared" si="55"/>
        <v>567.50839677631075</v>
      </c>
      <c r="S77" s="59">
        <f ca="1">AVERAGE(OFFSET($R$3,0,0,'Données projet'!$E$9+1,1))-AVERAGE(OFFSET($H$3,0,0,'Données projet'!$E$9+1,1))</f>
        <v>328.8796193543036</v>
      </c>
      <c r="T77" s="59">
        <f t="shared" si="88"/>
        <v>199.43308683696642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19.386157142137378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19.386157142137378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351.77274930064431</v>
      </c>
      <c r="AO77" s="59">
        <f t="shared" si="90"/>
        <v>386.10758060007078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126.87511880154138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126.87511880154138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233.90327999999994</v>
      </c>
      <c r="BF77" s="13">
        <f t="shared" si="91"/>
        <v>57.125833544518095</v>
      </c>
      <c r="BG77" s="20">
        <f t="shared" si="61"/>
        <v>506.87570609003552</v>
      </c>
      <c r="BH77" s="59">
        <f t="shared" si="62"/>
        <v>800.20903942336884</v>
      </c>
      <c r="BI77" s="59">
        <f ca="1">AVERAGE(OFFSET($BH$3,0,0,'Données projet'!$E$11+1,1))-AVERAGE(OFFSET($H$3,0,0,'Données projet'!$E$11+1,1))</f>
        <v>438.62466697107681</v>
      </c>
      <c r="BJ77" s="59">
        <f t="shared" si="92"/>
        <v>241.18285512887627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416</v>
      </c>
      <c r="BW77" s="12">
        <f>VLOOKUP(A77,'Données projet'!$A$113:$I$133,9,0)</f>
        <v>6.375</v>
      </c>
      <c r="BX77" s="12">
        <f t="array" ref="BX77">INDEX(BW:BW,MIN(IF(ISNUMBER(BW77:BW273),ROW(BW77:BW273),"")))</f>
        <v>6.375</v>
      </c>
      <c r="BY77" s="12">
        <f>IF('Données projet'!$A$114&gt;35,BY76+BX77-CG76,IF(A77&lt;'Données projet'!$A$114,$BV$205^A77,IF(A77='Données projet'!$A$114,'Données projet'!$B$114,BY76+BX77-CG76)))</f>
        <v>415.99999999999989</v>
      </c>
      <c r="BZ77" s="13">
        <f>BY77*VLOOKUP('Données projet'!$B$12,Paramètres!$A$1:$I$89,3,0)*VLOOKUP('Données projet'!$B$12,Paramètres!$A$1:$I$89,5,0)</f>
        <v>237.95199999999997</v>
      </c>
      <c r="CA77" s="13">
        <f t="shared" si="93"/>
        <v>57.99867376947342</v>
      </c>
      <c r="CB77" s="20">
        <f t="shared" si="64"/>
        <v>515.44742348183274</v>
      </c>
      <c r="CC77" s="59">
        <f t="shared" si="65"/>
        <v>808.78075681516611</v>
      </c>
      <c r="CD77" s="59">
        <f ca="1">AVERAGE(OFFSET($CC$3,0,0,'Données projet'!$E$12+1,1))-AVERAGE(OFFSET($H$3,0,0,'Données projet'!$E$12+1,1))</f>
        <v>308.33000350259448</v>
      </c>
      <c r="CE77" s="59">
        <f t="shared" si="94"/>
        <v>282.64839194267171</v>
      </c>
      <c r="CF77" s="15">
        <f>IF(ISNA(VLOOKUP(A77,'Données projet'!$A$113:$I$133,3,0)),0,VLOOKUP(A77,'Données projet'!$A$113:$I$133,3,0))</f>
        <v>10</v>
      </c>
      <c r="CG77" s="15">
        <f>IF(ISNA(VLOOKUP(A77,'Données projet'!$A$113:$I$133,4,0)),0,VLOOKUP(A77,'Données projet'!$A$113:$I$133,4,0))</f>
        <v>17</v>
      </c>
      <c r="CH77" s="16">
        <f>IF(ISNA(VLOOKUP(A77,'Données projet'!$A$113:$I$133,5,0)),0%,VLOOKUP(A77,'Données projet'!$A$113:$I$133,5,0)*VLOOKUP('Données projet'!$B$12,Paramètres!$A$1:$I$89,7,0))</f>
        <v>0.315</v>
      </c>
      <c r="CI77" s="16">
        <f>IF(ISNA(VLOOKUP(A77,'Données projet'!$A$113:$I$133,6,0)),0%,VLOOKUP(A77,'Données projet'!$A$113:$I$133,6,0)*VLOOKUP('Données projet'!$B$12,Paramètres!$A$1:$I$89,7,0))</f>
        <v>7.5600000000000001E-2</v>
      </c>
      <c r="CJ77" s="16">
        <f>IF(ISNA(VLOOKUP(A77,'Données projet'!$A$113:$I$133,7,0)),0%,VLOOKUP(A77,'Données projet'!$A$113:$I$133,7,0))</f>
        <v>0.13200000000000001</v>
      </c>
      <c r="CK77" s="21">
        <f>EXP(-LN(2)/35)*CK76+(1-EXP(-LN(2)/35))/(LN(2)/35)*CG77*CH77*VLOOKUP('Données projet'!$B$12,Paramètres!$A$1:$I$89,3,0)*0.475*44/12</f>
        <v>38.230671824764023</v>
      </c>
      <c r="CL77" s="21">
        <f>EXP(-LN(2)/25)*CL76+(1-EXP(-LN(2)/25))/(LN(2)/25)*Calculateur!CG77*Calculateur!CI77*VLOOKUP('Données projet'!$B$12,Paramètres!$A$1:$I$89,3,0)*0.475*44/12</f>
        <v>13.199771998966174</v>
      </c>
      <c r="CM77" s="21">
        <f>EXP(-LN(2)/2)*CM76+(1-EXP(-LN(2)/2))/(LN(2)/2)*CG77*CJ77*VLOOKUP('Données projet'!$B$12,Paramètres!$A$1:$I$89,3,0)*0.475*44/12</f>
        <v>1.5780259213564236</v>
      </c>
      <c r="CN77" s="22">
        <f t="shared" si="66"/>
        <v>53.008469745086622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3.9111111111111097</v>
      </c>
      <c r="CT77" s="12">
        <f>IF('Données projet'!$A$140&gt;35,CT76+CS77-DB76,IF(A77&lt;'Données projet'!$A$140,$CQ$205^A77,IF(A77='Données projet'!$A$140,'Données projet'!$B$140,CT76+CS77-DB76)))</f>
        <v>110.22222222222213</v>
      </c>
      <c r="CU77" s="17">
        <f>CT77*VLOOKUP('Données projet'!$B$13,Paramètres!$A$1:$I$89,3,0)*VLOOKUP('Données projet'!$B$13,Paramètres!$A$1:$I$89,5,0)</f>
        <v>125.52106666666656</v>
      </c>
      <c r="CV77" s="13">
        <f t="shared" si="95"/>
        <v>32.959306975415274</v>
      </c>
      <c r="CW77" s="20">
        <f t="shared" si="67"/>
        <v>276.01998409329246</v>
      </c>
      <c r="CX77" s="59">
        <f t="shared" si="68"/>
        <v>569.35331742662584</v>
      </c>
      <c r="CY77" s="59">
        <f ca="1">AVERAGE(OFFSET($CX$3,0,0,'Données projet'!$E$13+1,1))-AVERAGE(OFFSET($H$3,0,0,'Données projet'!$E$13+1,1))</f>
        <v>330.87173217110126</v>
      </c>
      <c r="CZ77" s="59">
        <f t="shared" si="96"/>
        <v>200.52697135436102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19.519854777600401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19.519854777600401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4.8888888888888893</v>
      </c>
      <c r="N78" s="13">
        <f>IF('Données projet'!$A$36&gt;35,N77+M78-V77,IF(A78&lt;'Données projet'!$A$36,$K$205^A78,IF(A78='Données projet'!$A$36,'Données projet'!$B$36,N77+M78-V77)))</f>
        <v>142.66666666666666</v>
      </c>
      <c r="O78" s="13">
        <f>N78*VLOOKUP('Données projet'!$B$9,Paramètres!$A$1:$I$89,3,0)*VLOOKUP('Données projet'!$B$9,Paramètres!$A$1:$I$89,5,0)</f>
        <v>129.08479999999997</v>
      </c>
      <c r="P78" s="13">
        <f t="shared" si="87"/>
        <v>33.784796607856173</v>
      </c>
      <c r="Q78" s="20">
        <f t="shared" si="54"/>
        <v>283.66454742534944</v>
      </c>
      <c r="R78" s="59">
        <f t="shared" si="55"/>
        <v>576.99788075868275</v>
      </c>
      <c r="S78" s="59">
        <f ca="1">AVERAGE(OFFSET($R$3,0,0,'Données projet'!$E$9+1,1))-AVERAGE(OFFSET($H$3,0,0,'Données projet'!$E$9+1,1))</f>
        <v>328.8796193543036</v>
      </c>
      <c r="T78" s="59">
        <f t="shared" si="88"/>
        <v>199.43308683696642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19.006006424968358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19.006006424968358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351.77274930064431</v>
      </c>
      <c r="AO78" s="59">
        <f t="shared" si="90"/>
        <v>386.10758060007078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124.38717510802437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124.38717510802437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239.80319999999992</v>
      </c>
      <c r="BF78" s="13">
        <f t="shared" si="91"/>
        <v>58.397185982155214</v>
      </c>
      <c r="BG78" s="20">
        <f t="shared" si="61"/>
        <v>519.36567225225349</v>
      </c>
      <c r="BH78" s="59">
        <f t="shared" si="62"/>
        <v>812.69900558558675</v>
      </c>
      <c r="BI78" s="59">
        <f ca="1">AVERAGE(OFFSET($BH$3,0,0,'Données projet'!$E$11+1,1))-AVERAGE(OFFSET($H$3,0,0,'Données projet'!$E$11+1,1))</f>
        <v>438.62466697107681</v>
      </c>
      <c r="BJ78" s="59">
        <f t="shared" si="92"/>
        <v>241.18285512887627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3.5</v>
      </c>
      <c r="BY78" s="12">
        <f>IF('Données projet'!$A$114&gt;35,BY77+BX78-CG77,IF(A78&lt;'Données projet'!$A$114,$BV$205^A78,IF(A78='Données projet'!$A$114,'Données projet'!$B$114,BY77+BX78-CG77)))</f>
        <v>402.49999999999989</v>
      </c>
      <c r="BZ78" s="13">
        <f>BY78*VLOOKUP('Données projet'!$B$12,Paramètres!$A$1:$I$89,3,0)*VLOOKUP('Données projet'!$B$12,Paramètres!$A$1:$I$89,5,0)</f>
        <v>230.22999999999993</v>
      </c>
      <c r="CA78" s="13">
        <f t="shared" si="93"/>
        <v>56.33241001525225</v>
      </c>
      <c r="CB78" s="20">
        <f t="shared" si="64"/>
        <v>499.09619744323089</v>
      </c>
      <c r="CC78" s="59">
        <f t="shared" si="65"/>
        <v>792.42953077656421</v>
      </c>
      <c r="CD78" s="59">
        <f ca="1">AVERAGE(OFFSET($CC$3,0,0,'Données projet'!$E$12+1,1))-AVERAGE(OFFSET($H$3,0,0,'Données projet'!$E$12+1,1))</f>
        <v>308.33000350259448</v>
      </c>
      <c r="CE78" s="59">
        <f t="shared" si="94"/>
        <v>282.64839194267171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37.480991668687714</v>
      </c>
      <c r="CL78" s="21">
        <f>EXP(-LN(2)/25)*CL77+(1-EXP(-LN(2)/25))/(LN(2)/25)*Calculateur!CG78*Calculateur!CI78*VLOOKUP('Données projet'!$B$12,Paramètres!$A$1:$I$89,3,0)*0.475*44/12</f>
        <v>12.838823539508603</v>
      </c>
      <c r="CM78" s="21">
        <f>EXP(-LN(2)/2)*CM77+(1-EXP(-LN(2)/2))/(LN(2)/2)*CG78*CJ78*VLOOKUP('Données projet'!$B$12,Paramètres!$A$1:$I$89,3,0)*0.475*44/12</f>
        <v>1.1158328298792768</v>
      </c>
      <c r="CN78" s="22">
        <f t="shared" si="66"/>
        <v>51.435648038075591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3.9111111111111097</v>
      </c>
      <c r="CT78" s="12">
        <f>IF('Données projet'!$A$140&gt;35,CT77+CS78-DB77,IF(A78&lt;'Données projet'!$A$140,$CQ$205^A78,IF(A78='Données projet'!$A$140,'Données projet'!$B$140,CT77+CS78-DB77)))</f>
        <v>114.13333333333324</v>
      </c>
      <c r="CU78" s="17">
        <f>CT78*VLOOKUP('Données projet'!$B$13,Paramètres!$A$1:$I$89,3,0)*VLOOKUP('Données projet'!$B$13,Paramètres!$A$1:$I$89,5,0)</f>
        <v>129.97503999999989</v>
      </c>
      <c r="CV78" s="13">
        <f t="shared" si="95"/>
        <v>33.990591744740172</v>
      </c>
      <c r="CW78" s="20">
        <f t="shared" si="67"/>
        <v>285.57347528875556</v>
      </c>
      <c r="CX78" s="59">
        <f t="shared" si="68"/>
        <v>578.90680862208887</v>
      </c>
      <c r="CY78" s="59">
        <f ca="1">AVERAGE(OFFSET($CX$3,0,0,'Données projet'!$E$13+1,1))-AVERAGE(OFFSET($H$3,0,0,'Données projet'!$E$13+1,1))</f>
        <v>330.87173217110126</v>
      </c>
      <c r="CZ78" s="59">
        <f t="shared" si="96"/>
        <v>200.52697135436102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19.137082331347457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19.137082331347457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4.8888888888888893</v>
      </c>
      <c r="N79" s="13">
        <f>IF('Données projet'!$A$36&gt;35,N78+M79-V78,IF(A79&lt;'Données projet'!$A$36,$K$205^A79,IF(A79='Données projet'!$A$36,'Données projet'!$B$36,N78+M79-V78)))</f>
        <v>147.55555555555554</v>
      </c>
      <c r="O79" s="13">
        <f>N79*VLOOKUP('Données projet'!$B$9,Paramètres!$A$1:$I$89,3,0)*VLOOKUP('Données projet'!$B$9,Paramètres!$A$1:$I$89,5,0)</f>
        <v>133.50826666666666</v>
      </c>
      <c r="P79" s="13">
        <f t="shared" si="87"/>
        <v>34.80575612287776</v>
      </c>
      <c r="Q79" s="20">
        <f t="shared" si="54"/>
        <v>293.14692302512321</v>
      </c>
      <c r="R79" s="59">
        <f t="shared" si="55"/>
        <v>586.48025635845647</v>
      </c>
      <c r="S79" s="59">
        <f ca="1">AVERAGE(OFFSET($R$3,0,0,'Données projet'!$E$9+1,1))-AVERAGE(OFFSET($H$3,0,0,'Données projet'!$E$9+1,1))</f>
        <v>328.8796193543036</v>
      </c>
      <c r="T79" s="59">
        <f t="shared" si="88"/>
        <v>199.43308683696642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18.633310231493983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18.633310231493983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351.77274930064431</v>
      </c>
      <c r="AO79" s="59">
        <f t="shared" si="90"/>
        <v>386.10758060007078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121.94801847284141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121.94801847284141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225.52919999999992</v>
      </c>
      <c r="BF79" s="13">
        <f t="shared" si="91"/>
        <v>55.314888425951921</v>
      </c>
      <c r="BG79" s="20">
        <f t="shared" si="61"/>
        <v>489.13678734186618</v>
      </c>
      <c r="BH79" s="59">
        <f t="shared" si="62"/>
        <v>782.4701206751995</v>
      </c>
      <c r="BI79" s="59">
        <f ca="1">AVERAGE(OFFSET($BH$3,0,0,'Données projet'!$E$11+1,1))-AVERAGE(OFFSET($H$3,0,0,'Données projet'!$E$11+1,1))</f>
        <v>438.62466697107681</v>
      </c>
      <c r="BJ79" s="59">
        <f t="shared" si="92"/>
        <v>241.18285512887627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3.5</v>
      </c>
      <c r="BY79" s="12">
        <f>IF('Données projet'!$A$114&gt;35,BY78+BX79-CG78,IF(A79&lt;'Données projet'!$A$114,$BV$205^A79,IF(A79='Données projet'!$A$114,'Données projet'!$B$114,BY78+BX79-CG78)))</f>
        <v>405.99999999999989</v>
      </c>
      <c r="BZ79" s="13">
        <f>BY79*VLOOKUP('Données projet'!$B$12,Paramètres!$A$1:$I$89,3,0)*VLOOKUP('Données projet'!$B$12,Paramètres!$A$1:$I$89,5,0)</f>
        <v>232.23199999999994</v>
      </c>
      <c r="CA79" s="13">
        <f t="shared" si="93"/>
        <v>56.765020519538929</v>
      </c>
      <c r="CB79" s="20">
        <f t="shared" si="64"/>
        <v>503.3364774048635</v>
      </c>
      <c r="CC79" s="59">
        <f t="shared" si="65"/>
        <v>796.66981073819682</v>
      </c>
      <c r="CD79" s="59">
        <f ca="1">AVERAGE(OFFSET($CC$3,0,0,'Données projet'!$E$12+1,1))-AVERAGE(OFFSET($H$3,0,0,'Données projet'!$E$12+1,1))</f>
        <v>308.33000350259448</v>
      </c>
      <c r="CE79" s="59">
        <f t="shared" si="94"/>
        <v>282.64839194267171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36.746012283212316</v>
      </c>
      <c r="CL79" s="21">
        <f>EXP(-LN(2)/25)*CL78+(1-EXP(-LN(2)/25))/(LN(2)/25)*Calculateur!CG79*Calculateur!CI79*VLOOKUP('Données projet'!$B$12,Paramètres!$A$1:$I$89,3,0)*0.475*44/12</f>
        <v>12.487745234656353</v>
      </c>
      <c r="CM79" s="21">
        <f>EXP(-LN(2)/2)*CM78+(1-EXP(-LN(2)/2))/(LN(2)/2)*CG79*CJ79*VLOOKUP('Données projet'!$B$12,Paramètres!$A$1:$I$89,3,0)*0.475*44/12</f>
        <v>0.78901296067821192</v>
      </c>
      <c r="CN79" s="22">
        <f t="shared" si="66"/>
        <v>50.022770478546882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3.9111111111111097</v>
      </c>
      <c r="CT79" s="12">
        <f>IF('Données projet'!$A$140&gt;35,CT78+CS79-DB78,IF(A79&lt;'Données projet'!$A$140,$CQ$205^A79,IF(A79='Données projet'!$A$140,'Données projet'!$B$140,CT78+CS79-DB78)))</f>
        <v>118.04444444444435</v>
      </c>
      <c r="CU79" s="17">
        <f>CT79*VLOOKUP('Données projet'!$B$13,Paramètres!$A$1:$I$89,3,0)*VLOOKUP('Données projet'!$B$13,Paramètres!$A$1:$I$89,5,0)</f>
        <v>134.42901333333324</v>
      </c>
      <c r="CV79" s="13">
        <f t="shared" si="95"/>
        <v>35.017770285011032</v>
      </c>
      <c r="CW79" s="20">
        <f t="shared" si="67"/>
        <v>295.11981480194959</v>
      </c>
      <c r="CX79" s="59">
        <f t="shared" si="68"/>
        <v>588.45314813528285</v>
      </c>
      <c r="CY79" s="59">
        <f ca="1">AVERAGE(OFFSET($CX$3,0,0,'Données projet'!$E$13+1,1))-AVERAGE(OFFSET($H$3,0,0,'Données projet'!$E$13+1,1))</f>
        <v>330.87173217110126</v>
      </c>
      <c r="CZ79" s="59">
        <f t="shared" si="96"/>
        <v>200.52697135436102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18.761815819297397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18.761815819297397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4.8888888888888893</v>
      </c>
      <c r="N80" s="13">
        <f>IF('Données projet'!$A$36&gt;35,N79+M80-V79,IF(A80&lt;'Données projet'!$A$36,$K$205^A80,IF(A80='Données projet'!$A$36,'Données projet'!$B$36,N79+M80-V79)))</f>
        <v>152.44444444444443</v>
      </c>
      <c r="O80" s="13">
        <f>N80*VLOOKUP('Données projet'!$B$9,Paramètres!$A$1:$I$89,3,0)*VLOOKUP('Données projet'!$B$9,Paramètres!$A$1:$I$89,5,0)</f>
        <v>137.93173333333331</v>
      </c>
      <c r="P80" s="13">
        <f t="shared" si="87"/>
        <v>35.822785001533674</v>
      </c>
      <c r="Q80" s="20">
        <f t="shared" si="54"/>
        <v>302.62245276656</v>
      </c>
      <c r="R80" s="59">
        <f t="shared" si="55"/>
        <v>595.95578609989332</v>
      </c>
      <c r="S80" s="59">
        <f ca="1">AVERAGE(OFFSET($R$3,0,0,'Données projet'!$E$9+1,1))-AVERAGE(OFFSET($H$3,0,0,'Données projet'!$E$9+1,1))</f>
        <v>328.8796193543036</v>
      </c>
      <c r="T80" s="59">
        <f t="shared" si="88"/>
        <v>199.43308683696642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18.267922383051406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18.267922383051406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351.77274930064431</v>
      </c>
      <c r="AO80" s="59">
        <f t="shared" si="90"/>
        <v>386.10758060007078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119.55669221153575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119.55669221153575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231.23879999999991</v>
      </c>
      <c r="BF80" s="13">
        <f t="shared" si="91"/>
        <v>56.55045525673966</v>
      </c>
      <c r="BG80" s="20">
        <f t="shared" si="61"/>
        <v>501.23295290548805</v>
      </c>
      <c r="BH80" s="59">
        <f t="shared" si="62"/>
        <v>794.56628623882136</v>
      </c>
      <c r="BI80" s="59">
        <f ca="1">AVERAGE(OFFSET($BH$3,0,0,'Données projet'!$E$11+1,1))-AVERAGE(OFFSET($H$3,0,0,'Données projet'!$E$11+1,1))</f>
        <v>438.62466697107681</v>
      </c>
      <c r="BJ80" s="59">
        <f t="shared" si="92"/>
        <v>241.18285512887627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3.5</v>
      </c>
      <c r="BY80" s="12">
        <f>IF('Données projet'!$A$114&gt;35,BY79+BX80-CG79,IF(A80&lt;'Données projet'!$A$114,$BV$205^A80,IF(A80='Données projet'!$A$114,'Données projet'!$B$114,BY79+BX80-CG79)))</f>
        <v>409.49999999999989</v>
      </c>
      <c r="BZ80" s="13">
        <f>BY80*VLOOKUP('Données projet'!$B$12,Paramètres!$A$1:$I$89,3,0)*VLOOKUP('Données projet'!$B$12,Paramètres!$A$1:$I$89,5,0)</f>
        <v>234.23399999999995</v>
      </c>
      <c r="CA80" s="13">
        <f t="shared" si="93"/>
        <v>57.197197133603439</v>
      </c>
      <c r="CB80" s="20">
        <f t="shared" si="64"/>
        <v>507.57600167435913</v>
      </c>
      <c r="CC80" s="59">
        <f t="shared" si="65"/>
        <v>800.90933500769245</v>
      </c>
      <c r="CD80" s="59">
        <f ca="1">AVERAGE(OFFSET($CC$3,0,0,'Données projet'!$E$12+1,1))-AVERAGE(OFFSET($H$3,0,0,'Données projet'!$E$12+1,1))</f>
        <v>308.33000350259448</v>
      </c>
      <c r="CE80" s="59">
        <f t="shared" si="94"/>
        <v>282.64839194267171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36.025445395192932</v>
      </c>
      <c r="CL80" s="21">
        <f>EXP(-LN(2)/25)*CL79+(1-EXP(-LN(2)/25))/(LN(2)/25)*Calculateur!CG80*Calculateur!CI80*VLOOKUP('Données projet'!$B$12,Paramètres!$A$1:$I$89,3,0)*0.475*44/12</f>
        <v>12.146267184512695</v>
      </c>
      <c r="CM80" s="21">
        <f>EXP(-LN(2)/2)*CM79+(1-EXP(-LN(2)/2))/(LN(2)/2)*CG80*CJ80*VLOOKUP('Données projet'!$B$12,Paramètres!$A$1:$I$89,3,0)*0.475*44/12</f>
        <v>0.55791641493963851</v>
      </c>
      <c r="CN80" s="22">
        <f t="shared" si="66"/>
        <v>48.729628994645267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3.9111111111111097</v>
      </c>
      <c r="CT80" s="12">
        <f>IF('Données projet'!$A$140&gt;35,CT79+CS80-DB79,IF(A80&lt;'Données projet'!$A$140,$CQ$205^A80,IF(A80='Données projet'!$A$140,'Données projet'!$B$140,CT79+CS80-DB79)))</f>
        <v>121.95555555555546</v>
      </c>
      <c r="CU80" s="17">
        <f>CT80*VLOOKUP('Données projet'!$B$13,Paramètres!$A$1:$I$89,3,0)*VLOOKUP('Données projet'!$B$13,Paramètres!$A$1:$I$89,5,0)</f>
        <v>138.88298666666657</v>
      </c>
      <c r="CV80" s="13">
        <f t="shared" si="95"/>
        <v>36.040994246020958</v>
      </c>
      <c r="CW80" s="20">
        <f t="shared" si="67"/>
        <v>304.65926675626412</v>
      </c>
      <c r="CX80" s="59">
        <f t="shared" si="68"/>
        <v>597.99260008959743</v>
      </c>
      <c r="CY80" s="59">
        <f ca="1">AVERAGE(OFFSET($CX$3,0,0,'Données projet'!$E$13+1,1))-AVERAGE(OFFSET($H$3,0,0,'Données projet'!$E$13+1,1))</f>
        <v>330.87173217110126</v>
      </c>
      <c r="CZ80" s="59">
        <f t="shared" si="96"/>
        <v>200.52697135436102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18.393908054658667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18.393908054658667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4.8888888888888893</v>
      </c>
      <c r="N81" s="13">
        <f>IF('Données projet'!$A$36&gt;35,N80+M81-V80,IF(A81&lt;'Données projet'!$A$36,$K$205^A81,IF(A81='Données projet'!$A$36,'Données projet'!$B$36,N80+M81-V80)))</f>
        <v>157.33333333333331</v>
      </c>
      <c r="O81" s="13">
        <f>N81*VLOOKUP('Données projet'!$B$9,Paramètres!$A$1:$I$89,3,0)*VLOOKUP('Données projet'!$B$9,Paramètres!$A$1:$I$89,5,0)</f>
        <v>142.35519999999997</v>
      </c>
      <c r="P81" s="13">
        <f t="shared" si="87"/>
        <v>36.836023758619369</v>
      </c>
      <c r="Q81" s="20">
        <f t="shared" si="54"/>
        <v>312.09138137959536</v>
      </c>
      <c r="R81" s="59">
        <f t="shared" si="55"/>
        <v>605.42471471292868</v>
      </c>
      <c r="S81" s="59">
        <f ca="1">AVERAGE(OFFSET($R$3,0,0,'Données projet'!$E$9+1,1))-AVERAGE(OFFSET($H$3,0,0,'Données projet'!$E$9+1,1))</f>
        <v>328.8796193543036</v>
      </c>
      <c r="T81" s="59">
        <f t="shared" si="88"/>
        <v>199.43308683696642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17.909699567452208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17.909699567452208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351.77274930064431</v>
      </c>
      <c r="AO81" s="59">
        <f t="shared" si="90"/>
        <v>386.10758060007078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117.21225839964929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117.21225839964929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236.94839999999991</v>
      </c>
      <c r="BF81" s="13">
        <f t="shared" si="91"/>
        <v>57.782475694292401</v>
      </c>
      <c r="BG81" s="20">
        <f t="shared" si="61"/>
        <v>513.32294183422573</v>
      </c>
      <c r="BH81" s="59">
        <f t="shared" si="62"/>
        <v>806.65627516755899</v>
      </c>
      <c r="BI81" s="59">
        <f ca="1">AVERAGE(OFFSET($BH$3,0,0,'Données projet'!$E$11+1,1))-AVERAGE(OFFSET($H$3,0,0,'Données projet'!$E$11+1,1))</f>
        <v>438.62466697107681</v>
      </c>
      <c r="BJ81" s="59">
        <f t="shared" si="92"/>
        <v>241.18285512887627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3.5</v>
      </c>
      <c r="BY81" s="12">
        <f>IF('Données projet'!$A$114&gt;35,BY80+BX81-CG80,IF(A81&lt;'Données projet'!$A$114,$BV$205^A81,IF(A81='Données projet'!$A$114,'Données projet'!$B$114,BY80+BX81-CG80)))</f>
        <v>412.99999999999989</v>
      </c>
      <c r="BZ81" s="13">
        <f>BY81*VLOOKUP('Données projet'!$B$12,Paramètres!$A$1:$I$89,3,0)*VLOOKUP('Données projet'!$B$12,Paramètres!$A$1:$I$89,5,0)</f>
        <v>236.23599999999993</v>
      </c>
      <c r="CA81" s="13">
        <f t="shared" si="93"/>
        <v>57.628943995616872</v>
      </c>
      <c r="CB81" s="20">
        <f t="shared" si="64"/>
        <v>511.81477745903254</v>
      </c>
      <c r="CC81" s="59">
        <f t="shared" si="65"/>
        <v>805.14811079236586</v>
      </c>
      <c r="CD81" s="59">
        <f ca="1">AVERAGE(OFFSET($CC$3,0,0,'Données projet'!$E$12+1,1))-AVERAGE(OFFSET($H$3,0,0,'Données projet'!$E$12+1,1))</f>
        <v>308.33000350259448</v>
      </c>
      <c r="CE81" s="59">
        <f t="shared" si="94"/>
        <v>282.64839194267171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35.319008384345203</v>
      </c>
      <c r="CL81" s="21">
        <f>EXP(-LN(2)/25)*CL80+(1-EXP(-LN(2)/25))/(LN(2)/25)*Calculateur!CG81*Calculateur!CI81*VLOOKUP('Données projet'!$B$12,Paramètres!$A$1:$I$89,3,0)*0.475*44/12</f>
        <v>11.814126869607765</v>
      </c>
      <c r="CM81" s="21">
        <f>EXP(-LN(2)/2)*CM80+(1-EXP(-LN(2)/2))/(LN(2)/2)*CG81*CJ81*VLOOKUP('Données projet'!$B$12,Paramètres!$A$1:$I$89,3,0)*0.475*44/12</f>
        <v>0.39450648033910607</v>
      </c>
      <c r="CN81" s="22">
        <f t="shared" si="66"/>
        <v>47.527641734292075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3.9111111111111097</v>
      </c>
      <c r="CT81" s="12">
        <f>IF('Données projet'!$A$140&gt;35,CT80+CS81-DB80,IF(A81&lt;'Données projet'!$A$140,$CQ$205^A81,IF(A81='Données projet'!$A$140,'Données projet'!$B$140,CT80+CS81-DB80)))</f>
        <v>125.86666666666657</v>
      </c>
      <c r="CU81" s="17">
        <f>CT81*VLOOKUP('Données projet'!$B$13,Paramètres!$A$1:$I$89,3,0)*VLOOKUP('Données projet'!$B$13,Paramètres!$A$1:$I$89,5,0)</f>
        <v>143.33695999999989</v>
      </c>
      <c r="CV81" s="13">
        <f t="shared" si="95"/>
        <v>37.060404998490576</v>
      </c>
      <c r="CW81" s="20">
        <f t="shared" si="67"/>
        <v>314.19207737237087</v>
      </c>
      <c r="CX81" s="59">
        <f t="shared" si="68"/>
        <v>607.52541070570419</v>
      </c>
      <c r="CY81" s="59">
        <f ca="1">AVERAGE(OFFSET($CX$3,0,0,'Données projet'!$E$13+1,1))-AVERAGE(OFFSET($H$3,0,0,'Données projet'!$E$13+1,1))</f>
        <v>330.87173217110126</v>
      </c>
      <c r="CZ81" s="59">
        <f t="shared" si="96"/>
        <v>200.52697135436102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18.033214736882922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18.033214736882922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4.8888888888888893</v>
      </c>
      <c r="N82" s="13">
        <f>IF('Données projet'!$A$36&gt;35,N81+M82-V81,IF(A82&lt;'Données projet'!$A$36,$K$205^A82,IF(A82='Données projet'!$A$36,'Données projet'!$B$36,N81+M82-V81)))</f>
        <v>162.2222222222222</v>
      </c>
      <c r="O82" s="13">
        <f>N82*VLOOKUP('Données projet'!$B$9,Paramètres!$A$1:$I$89,3,0)*VLOOKUP('Données projet'!$B$9,Paramètres!$A$1:$I$89,5,0)</f>
        <v>146.77866666666665</v>
      </c>
      <c r="P82" s="13">
        <f t="shared" si="87"/>
        <v>37.845603680323713</v>
      </c>
      <c r="Q82" s="20">
        <f t="shared" si="54"/>
        <v>321.55393752100821</v>
      </c>
      <c r="R82" s="59">
        <f t="shared" si="55"/>
        <v>614.88727085434152</v>
      </c>
      <c r="S82" s="59">
        <f ca="1">AVERAGE(OFFSET($R$3,0,0,'Données projet'!$E$9+1,1))-AVERAGE(OFFSET($H$3,0,0,'Données projet'!$E$9+1,1))</f>
        <v>328.8796193543036</v>
      </c>
      <c r="T82" s="59">
        <f t="shared" si="88"/>
        <v>199.43308683696642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17.558501282772568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17.558501282772568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351.77274930064431</v>
      </c>
      <c r="AO82" s="59">
        <f t="shared" si="90"/>
        <v>386.10758060007078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114.91379750485049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114.91379750485049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242.6579999999999</v>
      </c>
      <c r="BF82" s="13">
        <f t="shared" si="91"/>
        <v>59.011045025839607</v>
      </c>
      <c r="BG82" s="20">
        <f t="shared" si="61"/>
        <v>525.40692008667054</v>
      </c>
      <c r="BH82" s="59">
        <f t="shared" si="62"/>
        <v>818.74025342000391</v>
      </c>
      <c r="BI82" s="59">
        <f ca="1">AVERAGE(OFFSET($BH$3,0,0,'Données projet'!$E$11+1,1))-AVERAGE(OFFSET($H$3,0,0,'Données projet'!$E$11+1,1))</f>
        <v>438.62466697107681</v>
      </c>
      <c r="BJ82" s="59">
        <f t="shared" si="92"/>
        <v>241.18285512887627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3.5</v>
      </c>
      <c r="BY82" s="12">
        <f>IF('Données projet'!$A$114&gt;35,BY81+BX82-CG81,IF(A82&lt;'Données projet'!$A$114,$BV$205^A82,IF(A82='Données projet'!$A$114,'Données projet'!$B$114,BY81+BX82-CG81)))</f>
        <v>416.49999999999989</v>
      </c>
      <c r="BZ82" s="13">
        <f>BY82*VLOOKUP('Données projet'!$B$12,Paramètres!$A$1:$I$89,3,0)*VLOOKUP('Données projet'!$B$12,Paramètres!$A$1:$I$89,5,0)</f>
        <v>238.23799999999997</v>
      </c>
      <c r="CA82" s="13">
        <f t="shared" si="93"/>
        <v>58.060265169563522</v>
      </c>
      <c r="CB82" s="20">
        <f t="shared" si="64"/>
        <v>516.05281183698969</v>
      </c>
      <c r="CC82" s="59">
        <f t="shared" si="65"/>
        <v>809.38614517032306</v>
      </c>
      <c r="CD82" s="59">
        <f ca="1">AVERAGE(OFFSET($CC$3,0,0,'Données projet'!$E$12+1,1))-AVERAGE(OFFSET($H$3,0,0,'Données projet'!$E$12+1,1))</f>
        <v>308.33000350259448</v>
      </c>
      <c r="CE82" s="59">
        <f t="shared" si="94"/>
        <v>282.64839194267171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34.626424172396163</v>
      </c>
      <c r="CL82" s="21">
        <f>EXP(-LN(2)/25)*CL81+(1-EXP(-LN(2)/25))/(LN(2)/25)*Calculateur!CG82*Calculateur!CI82*VLOOKUP('Données projet'!$B$12,Paramètres!$A$1:$I$89,3,0)*0.475*44/12</f>
        <v>11.491068949080411</v>
      </c>
      <c r="CM82" s="21">
        <f>EXP(-LN(2)/2)*CM81+(1-EXP(-LN(2)/2))/(LN(2)/2)*CG82*CJ82*VLOOKUP('Données projet'!$B$12,Paramètres!$A$1:$I$89,3,0)*0.475*44/12</f>
        <v>0.27895820746981931</v>
      </c>
      <c r="CN82" s="22">
        <f t="shared" si="66"/>
        <v>46.396451328946391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3.9111111111111097</v>
      </c>
      <c r="CT82" s="12">
        <f>IF('Données projet'!$A$140&gt;35,CT81+CS82-DB81,IF(A82&lt;'Données projet'!$A$140,$CQ$205^A82,IF(A82='Données projet'!$A$140,'Données projet'!$B$140,CT81+CS82-DB81)))</f>
        <v>129.77777777777769</v>
      </c>
      <c r="CU82" s="17">
        <f>CT82*VLOOKUP('Données projet'!$B$13,Paramètres!$A$1:$I$89,3,0)*VLOOKUP('Données projet'!$B$13,Paramètres!$A$1:$I$89,5,0)</f>
        <v>147.79093333333324</v>
      </c>
      <c r="CV82" s="13">
        <f t="shared" si="95"/>
        <v>38.076134628319345</v>
      </c>
      <c r="CW82" s="20">
        <f t="shared" si="67"/>
        <v>323.71847669987824</v>
      </c>
      <c r="CX82" s="59">
        <f t="shared" si="68"/>
        <v>617.0518100332115</v>
      </c>
      <c r="CY82" s="59">
        <f ca="1">AVERAGE(OFFSET($CX$3,0,0,'Données projet'!$E$13+1,1))-AVERAGE(OFFSET($H$3,0,0,'Données projet'!$E$13+1,1))</f>
        <v>330.87173217110126</v>
      </c>
      <c r="CZ82" s="59">
        <f t="shared" si="96"/>
        <v>200.52697135436102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17.679594395067561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17.679594395067561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4.8888888888888893</v>
      </c>
      <c r="N83" s="13">
        <f>IF('Données projet'!$A$36&gt;35,N82+M83-V82,IF(A83&lt;'Données projet'!$A$36,$K$205^A83,IF(A83='Données projet'!$A$36,'Données projet'!$B$36,N82+M83-V82)))</f>
        <v>167.11111111111109</v>
      </c>
      <c r="O83" s="13">
        <f>N83*VLOOKUP('Données projet'!$B$9,Paramètres!$A$1:$I$89,3,0)*VLOOKUP('Données projet'!$B$9,Paramètres!$A$1:$I$89,5,0)</f>
        <v>151.20213333333331</v>
      </c>
      <c r="P83" s="13">
        <f t="shared" si="87"/>
        <v>38.851647689984162</v>
      </c>
      <c r="Q83" s="20">
        <f t="shared" si="54"/>
        <v>331.01033528227794</v>
      </c>
      <c r="R83" s="59">
        <f t="shared" si="55"/>
        <v>624.34366861561125</v>
      </c>
      <c r="S83" s="59">
        <f ca="1">AVERAGE(OFFSET($R$3,0,0,'Données projet'!$E$9+1,1))-AVERAGE(OFFSET($H$3,0,0,'Données projet'!$E$9+1,1))</f>
        <v>328.8796193543036</v>
      </c>
      <c r="T83" s="59">
        <f t="shared" si="88"/>
        <v>199.43308683696642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17.214189782245693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17.214189782245693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351.77274930064431</v>
      </c>
      <c r="AO83" s="59">
        <f t="shared" si="90"/>
        <v>386.10758060007078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112.66040802627599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112.66040802627599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248.3675999999999</v>
      </c>
      <c r="BF83" s="13">
        <f t="shared" si="91"/>
        <v>60.236253798706286</v>
      </c>
      <c r="BG83" s="20">
        <f t="shared" si="61"/>
        <v>537.48504536607982</v>
      </c>
      <c r="BH83" s="59">
        <f t="shared" si="62"/>
        <v>830.81837869941319</v>
      </c>
      <c r="BI83" s="59">
        <f ca="1">AVERAGE(OFFSET($BH$3,0,0,'Données projet'!$E$11+1,1))-AVERAGE(OFFSET($H$3,0,0,'Données projet'!$E$11+1,1))</f>
        <v>438.62466697107681</v>
      </c>
      <c r="BJ83" s="59">
        <f t="shared" si="92"/>
        <v>241.18285512887627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3.5</v>
      </c>
      <c r="BY83" s="12">
        <f>IF('Données projet'!$A$114&gt;35,BY82+BX83-CG82,IF(A83&lt;'Données projet'!$A$114,$BV$205^A83,IF(A83='Données projet'!$A$114,'Données projet'!$B$114,BY82+BX83-CG82)))</f>
        <v>419.99999999999989</v>
      </c>
      <c r="BZ83" s="13">
        <f>BY83*VLOOKUP('Données projet'!$B$12,Paramètres!$A$1:$I$89,3,0)*VLOOKUP('Données projet'!$B$12,Paramètres!$A$1:$I$89,5,0)</f>
        <v>240.23999999999995</v>
      </c>
      <c r="CA83" s="13">
        <f t="shared" si="93"/>
        <v>58.491164647183133</v>
      </c>
      <c r="CB83" s="20">
        <f t="shared" si="64"/>
        <v>520.29011176051051</v>
      </c>
      <c r="CC83" s="59">
        <f t="shared" si="65"/>
        <v>813.62344509384388</v>
      </c>
      <c r="CD83" s="59">
        <f ca="1">AVERAGE(OFFSET($CC$3,0,0,'Données projet'!$E$12+1,1))-AVERAGE(OFFSET($H$3,0,0,'Données projet'!$E$12+1,1))</f>
        <v>308.33000350259448</v>
      </c>
      <c r="CE83" s="59">
        <f t="shared" si="94"/>
        <v>282.64839194267171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33.94742111440879</v>
      </c>
      <c r="CL83" s="21">
        <f>EXP(-LN(2)/25)*CL82+(1-EXP(-LN(2)/25))/(LN(2)/25)*Calculateur!CG83*Calculateur!CI83*VLOOKUP('Données projet'!$B$12,Paramètres!$A$1:$I$89,3,0)*0.475*44/12</f>
        <v>11.176845064378755</v>
      </c>
      <c r="CM83" s="21">
        <f>EXP(-LN(2)/2)*CM82+(1-EXP(-LN(2)/2))/(LN(2)/2)*CG83*CJ83*VLOOKUP('Données projet'!$B$12,Paramètres!$A$1:$I$89,3,0)*0.475*44/12</f>
        <v>0.19725324016955306</v>
      </c>
      <c r="CN83" s="22">
        <f t="shared" si="66"/>
        <v>45.321519418957095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3.9111111111111097</v>
      </c>
      <c r="CT83" s="12">
        <f>IF('Données projet'!$A$140&gt;35,CT82+CS83-DB82,IF(A83&lt;'Données projet'!$A$140,$CQ$205^A83,IF(A83='Données projet'!$A$140,'Données projet'!$B$140,CT82+CS83-DB82)))</f>
        <v>133.68888888888878</v>
      </c>
      <c r="CU83" s="17">
        <f>CT83*VLOOKUP('Données projet'!$B$13,Paramètres!$A$1:$I$89,3,0)*VLOOKUP('Données projet'!$B$13,Paramètres!$A$1:$I$89,5,0)</f>
        <v>152.24490666666654</v>
      </c>
      <c r="CV83" s="13">
        <f t="shared" si="95"/>
        <v>39.088306807614309</v>
      </c>
      <c r="CW83" s="20">
        <f t="shared" si="67"/>
        <v>333.23868013437249</v>
      </c>
      <c r="CX83" s="59">
        <f t="shared" si="68"/>
        <v>626.5720134677058</v>
      </c>
      <c r="CY83" s="59">
        <f ca="1">AVERAGE(OFFSET($CX$3,0,0,'Données projet'!$E$13+1,1))-AVERAGE(OFFSET($H$3,0,0,'Données projet'!$E$13+1,1))</f>
        <v>330.87173217110126</v>
      </c>
      <c r="CZ83" s="59">
        <f t="shared" si="96"/>
        <v>200.52697135436102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17.332908332468087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17.332908332468087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>
        <f>VLOOKUP(A84,'Données projet'!$A$35:$I$55,2,0)</f>
        <v>172</v>
      </c>
      <c r="L84" s="12">
        <f>VLOOKUP(A84,'Données projet'!$A$35:$I$55,9,0)</f>
        <v>4.8888888888888893</v>
      </c>
      <c r="M84" s="12">
        <f t="array" ref="M84">INDEX(L:L,MIN(IF(ISNUMBER(L84:L280),ROW(L84:L280),"")))</f>
        <v>4.8888888888888893</v>
      </c>
      <c r="N84" s="13">
        <f>IF('Données projet'!$A$36&gt;35,N83+M84-V83,IF(A84&lt;'Données projet'!$A$36,$K$205^A84,IF(A84='Données projet'!$A$36,'Données projet'!$B$36,N83+M84-V83)))</f>
        <v>171.99999999999997</v>
      </c>
      <c r="O84" s="13">
        <f>N84*VLOOKUP('Données projet'!$B$9,Paramètres!$A$1:$I$89,3,0)*VLOOKUP('Données projet'!$B$9,Paramètres!$A$1:$I$89,5,0)</f>
        <v>155.62559999999996</v>
      </c>
      <c r="P84" s="13">
        <f t="shared" si="87"/>
        <v>39.854271109683118</v>
      </c>
      <c r="Q84" s="20">
        <f t="shared" si="54"/>
        <v>340.46077551603133</v>
      </c>
      <c r="R84" s="59">
        <f t="shared" si="55"/>
        <v>633.79410884936465</v>
      </c>
      <c r="S84" s="59">
        <f ca="1">AVERAGE(OFFSET($R$3,0,0,'Données projet'!$E$9+1,1))-AVERAGE(OFFSET($H$3,0,0,'Données projet'!$E$9+1,1))</f>
        <v>328.8796193543036</v>
      </c>
      <c r="T84" s="59">
        <f t="shared" si="88"/>
        <v>199.43308683696642</v>
      </c>
      <c r="U84" s="15">
        <f>IF(ISNA(VLOOKUP(A84,'Données projet'!$A$35:$I$55,3,0)),0,VLOOKUP(A84,'Données projet'!$A$35:$I$55,3,0))</f>
        <v>6</v>
      </c>
      <c r="V84" s="15">
        <f>IF(ISNA(VLOOKUP(A84,'Données projet'!$A$35:$I$55,4,0)),0,VLOOKUP(A84,'Données projet'!$A$35:$I$55,4,0))</f>
        <v>31</v>
      </c>
      <c r="W84" s="16">
        <f>IF(ISNA(VLOOKUP(A84,'Données projet'!$A$35:$I$55,5,0)),0%,VLOOKUP(A84,'Données projet'!$A$35:$I$55,5,0)*VLOOKUP('Données projet'!$B$9,Paramètres!$A$1:$I$89,7,0))</f>
        <v>0.30099999999999999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26.209772412249457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26.209772412249457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351.77274930064431</v>
      </c>
      <c r="AO84" s="59">
        <f t="shared" si="90"/>
        <v>386.10758060007078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110.45120614094446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110.45120614094446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</v>
      </c>
      <c r="BE84" s="13">
        <f>BD84*VLOOKUP('Données projet'!$B$11,Paramètres!$A$1:$I$89,3,0)*VLOOKUP('Données projet'!$B$11,Paramètres!$A$1:$I$89,5,0)</f>
        <v>233.90327999999991</v>
      </c>
      <c r="BF84" s="13">
        <f t="shared" si="91"/>
        <v>57.125833544518095</v>
      </c>
      <c r="BG84" s="20">
        <f t="shared" si="61"/>
        <v>506.87570609003546</v>
      </c>
      <c r="BH84" s="59">
        <f t="shared" si="62"/>
        <v>800.20903942336872</v>
      </c>
      <c r="BI84" s="59">
        <f ca="1">AVERAGE(OFFSET($BH$3,0,0,'Données projet'!$E$11+1,1))-AVERAGE(OFFSET($H$3,0,0,'Données projet'!$E$11+1,1))</f>
        <v>438.62466697107681</v>
      </c>
      <c r="BJ84" s="59">
        <f t="shared" si="92"/>
        <v>241.18285512887627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3.5</v>
      </c>
      <c r="BY84" s="12">
        <f>IF('Données projet'!$A$114&gt;35,BY83+BX84-CG83,IF(A84&lt;'Données projet'!$A$114,$BV$205^A84,IF(A84='Données projet'!$A$114,'Données projet'!$B$114,BY83+BX84-CG83)))</f>
        <v>423.49999999999989</v>
      </c>
      <c r="BZ84" s="13">
        <f>BY84*VLOOKUP('Données projet'!$B$12,Paramètres!$A$1:$I$89,3,0)*VLOOKUP('Données projet'!$B$12,Paramètres!$A$1:$I$89,5,0)</f>
        <v>242.24199999999993</v>
      </c>
      <c r="CA84" s="13">
        <f t="shared" si="93"/>
        <v>58.921646349846185</v>
      </c>
      <c r="CB84" s="20">
        <f t="shared" si="64"/>
        <v>524.52668405931524</v>
      </c>
      <c r="CC84" s="59">
        <f t="shared" si="65"/>
        <v>817.86001739264861</v>
      </c>
      <c r="CD84" s="59">
        <f ca="1">AVERAGE(OFFSET($CC$3,0,0,'Données projet'!$E$12+1,1))-AVERAGE(OFFSET($H$3,0,0,'Données projet'!$E$12+1,1))</f>
        <v>308.33000350259448</v>
      </c>
      <c r="CE84" s="59">
        <f t="shared" si="94"/>
        <v>282.64839194267171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33.281732892237578</v>
      </c>
      <c r="CL84" s="21">
        <f>EXP(-LN(2)/25)*CL83+(1-EXP(-LN(2)/25))/(LN(2)/25)*Calculateur!CG84*Calculateur!CI84*VLOOKUP('Données projet'!$B$12,Paramètres!$A$1:$I$89,3,0)*0.475*44/12</f>
        <v>10.871213648328581</v>
      </c>
      <c r="CM84" s="21">
        <f>EXP(-LN(2)/2)*CM83+(1-EXP(-LN(2)/2))/(LN(2)/2)*CG84*CJ84*VLOOKUP('Données projet'!$B$12,Paramètres!$A$1:$I$89,3,0)*0.475*44/12</f>
        <v>0.13947910373490968</v>
      </c>
      <c r="CN84" s="22">
        <f t="shared" si="66"/>
        <v>44.292425644301069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>
        <f>VLOOKUP(A84,'Données projet'!$A$139:$I$159,2,0)</f>
        <v>137.6</v>
      </c>
      <c r="CR84" s="12">
        <f>VLOOKUP(A84,'Données projet'!$A$139:$I$159,9,0)</f>
        <v>3.9111111111111097</v>
      </c>
      <c r="CS84" s="12">
        <f t="array" ref="CS84">INDEX(CR:CR,MIN(IF(ISNUMBER(CR84:CR280),ROW(CR84:CR280),"")))</f>
        <v>3.9111111111111097</v>
      </c>
      <c r="CT84" s="12">
        <f>IF('Données projet'!$A$140&gt;35,CT83+CS84-DB83,IF(A84&lt;'Données projet'!$A$140,$CQ$205^A84,IF(A84='Données projet'!$A$140,'Données projet'!$B$140,CT83+CS84-DB83)))</f>
        <v>137.59999999999988</v>
      </c>
      <c r="CU84" s="17">
        <f>CT84*VLOOKUP('Données projet'!$B$13,Paramètres!$A$1:$I$89,3,0)*VLOOKUP('Données projet'!$B$13,Paramètres!$A$1:$I$89,5,0)</f>
        <v>156.69887999999986</v>
      </c>
      <c r="CV84" s="13">
        <f t="shared" si="95"/>
        <v>40.097037560925337</v>
      </c>
      <c r="CW84" s="20">
        <f t="shared" si="67"/>
        <v>342.75288975194468</v>
      </c>
      <c r="CX84" s="59">
        <f t="shared" si="68"/>
        <v>636.08622308527799</v>
      </c>
      <c r="CY84" s="59">
        <f ca="1">AVERAGE(OFFSET($CX$3,0,0,'Données projet'!$E$13+1,1))-AVERAGE(OFFSET($H$3,0,0,'Données projet'!$E$13+1,1))</f>
        <v>330.87173217110126</v>
      </c>
      <c r="CZ84" s="59">
        <f t="shared" si="96"/>
        <v>200.52697135436102</v>
      </c>
      <c r="DA84" s="15">
        <f>IF(ISNA(VLOOKUP(A84,'Données projet'!$A$139:$I$159,3,0)),0,VLOOKUP(A84,'Données projet'!$A$139:$I$159,3,0))</f>
        <v>6</v>
      </c>
      <c r="DB84" s="15">
        <f>IF(ISNA(VLOOKUP(A84,'Données projet'!$A$139:$I$159,4,0)),0,VLOOKUP(A84,'Données projet'!$A$139:$I$159,4,0))</f>
        <v>24.8</v>
      </c>
      <c r="DC84" s="16">
        <f>IF(ISNA(VLOOKUP(A84,'Données projet'!$A$139:$I$159,5,0)),0%,VLOOKUP(A84,'Données projet'!$A$139:$I$159,5,0)*VLOOKUP('Données projet'!$B$13,Paramètres!$A$1:$I$89,7,0))</f>
        <v>0.30099999999999999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26.390529463368431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26.390529463368431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4.7777777777777777</v>
      </c>
      <c r="N85" s="13">
        <f>IF('Données projet'!$A$36&gt;35,N84+M85-V84,IF(A85&lt;'Données projet'!$A$36,$K$205^A85,IF(A85='Données projet'!$A$36,'Données projet'!$B$36,N84+M85-V84)))</f>
        <v>145.77777777777774</v>
      </c>
      <c r="O85" s="13">
        <f>N85*VLOOKUP('Données projet'!$B$9,Paramètres!$A$1:$I$89,3,0)*VLOOKUP('Données projet'!$B$9,Paramètres!$A$1:$I$89,5,0)</f>
        <v>131.8997333333333</v>
      </c>
      <c r="P85" s="13">
        <f t="shared" si="87"/>
        <v>34.434960598433953</v>
      </c>
      <c r="Q85" s="20">
        <f t="shared" si="54"/>
        <v>289.69959193116125</v>
      </c>
      <c r="R85" s="59">
        <f t="shared" si="55"/>
        <v>583.03292526449457</v>
      </c>
      <c r="S85" s="59">
        <f ca="1">AVERAGE(OFFSET($R$3,0,0,'Données projet'!$E$9+1,1))-AVERAGE(OFFSET($H$3,0,0,'Données projet'!$E$9+1,1))</f>
        <v>328.8796193543036</v>
      </c>
      <c r="T85" s="59">
        <f t="shared" si="88"/>
        <v>199.43308683696642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25.695814761627894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25.695814761627894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351.77274930064431</v>
      </c>
      <c r="AO85" s="59">
        <f t="shared" si="90"/>
        <v>386.10758060007078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108.2853253571042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108.2853253571042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251.59999999999991</v>
      </c>
      <c r="BE85" s="13">
        <f>BD85*VLOOKUP('Données projet'!$B$11,Paramètres!$A$1:$I$89,3,0)*VLOOKUP('Données projet'!$B$11,Paramètres!$A$1:$I$89,5,0)</f>
        <v>239.42255999999992</v>
      </c>
      <c r="BF85" s="13">
        <f t="shared" si="91"/>
        <v>58.315274040589699</v>
      </c>
      <c r="BG85" s="20">
        <f t="shared" si="61"/>
        <v>518.56006095402688</v>
      </c>
      <c r="BH85" s="59">
        <f t="shared" si="62"/>
        <v>811.89339428736025</v>
      </c>
      <c r="BI85" s="59">
        <f ca="1">AVERAGE(OFFSET($BH$3,0,0,'Données projet'!$E$11+1,1))-AVERAGE(OFFSET($H$3,0,0,'Données projet'!$E$11+1,1))</f>
        <v>438.62466697107681</v>
      </c>
      <c r="BJ85" s="59">
        <f t="shared" si="92"/>
        <v>241.18285512887627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427</v>
      </c>
      <c r="BW85" s="12">
        <f>VLOOKUP(A85,'Données projet'!$A$113:$I$133,9,0)</f>
        <v>3.5</v>
      </c>
      <c r="BX85" s="12">
        <f t="array" ref="BX85">INDEX(BW:BW,MIN(IF(ISNUMBER(BW85:BW281),ROW(BW85:BW281),"")))</f>
        <v>3.5</v>
      </c>
      <c r="BY85" s="12">
        <f>IF('Données projet'!$A$114&gt;35,BY84+BX85-CG84,IF(A85&lt;'Données projet'!$A$114,$BV$205^A85,IF(A85='Données projet'!$A$114,'Données projet'!$B$114,BY84+BX85-CG84)))</f>
        <v>426.99999999999989</v>
      </c>
      <c r="BZ85" s="13">
        <f>BY85*VLOOKUP('Données projet'!$B$12,Paramètres!$A$1:$I$89,3,0)*VLOOKUP('Données projet'!$B$12,Paramètres!$A$1:$I$89,5,0)</f>
        <v>244.24399999999991</v>
      </c>
      <c r="CA85" s="13">
        <f t="shared" si="93"/>
        <v>59.351714130365565</v>
      </c>
      <c r="CB85" s="20">
        <f t="shared" si="64"/>
        <v>528.76253544371991</v>
      </c>
      <c r="CC85" s="59">
        <f t="shared" si="65"/>
        <v>822.09586877705328</v>
      </c>
      <c r="CD85" s="59">
        <f ca="1">AVERAGE(OFFSET($CC$3,0,0,'Données projet'!$E$12+1,1))-AVERAGE(OFFSET($H$3,0,0,'Données projet'!$E$12+1,1))</f>
        <v>308.33000350259448</v>
      </c>
      <c r="CE85" s="59">
        <f t="shared" si="94"/>
        <v>282.64839194267171</v>
      </c>
      <c r="CF85" s="15" t="str">
        <f>IF(ISNA(VLOOKUP(A85,'Données projet'!$A$113:$I$133,3,0)),0,VLOOKUP(A85,'Données projet'!$A$113:$I$133,3,0))</f>
        <v>CR</v>
      </c>
      <c r="CG85" s="15">
        <f>IF(ISNA(VLOOKUP(A85,'Données projet'!$A$113:$I$133,4,0)),0,VLOOKUP(A85,'Données projet'!$A$113:$I$133,4,0))</f>
        <v>427</v>
      </c>
      <c r="CH85" s="16">
        <f>IF(ISNA(VLOOKUP(A85,'Données projet'!$A$113:$I$133,5,0)),0%,VLOOKUP(A85,'Données projet'!$A$113:$I$133,5,0)*VLOOKUP('Données projet'!$B$12,Paramètres!$A$1:$I$89,7,0))</f>
        <v>0.315</v>
      </c>
      <c r="CI85" s="16">
        <f>IF(ISNA(VLOOKUP(A85,'Données projet'!$A$113:$I$133,6,0)),0%,VLOOKUP(A85,'Données projet'!$A$113:$I$133,6,0)*VLOOKUP('Données projet'!$B$12,Paramètres!$A$1:$I$89,7,0))</f>
        <v>7.5600000000000001E-2</v>
      </c>
      <c r="CJ85" s="16">
        <f>IF(ISNA(VLOOKUP(A85,'Données projet'!$A$113:$I$133,7,0)),0%,VLOOKUP(A85,'Données projet'!$A$113:$I$133,7,0))</f>
        <v>0.13200000000000001</v>
      </c>
      <c r="CK85" s="21">
        <f>EXP(-LN(2)/35)*CK84+(1-EXP(-LN(2)/35))/(LN(2)/35)*CG85*CH85*VLOOKUP('Données projet'!$B$12,Paramètres!$A$1:$I$89,3,0)*0.475*44/12</f>
        <v>134.69080219920156</v>
      </c>
      <c r="CL85" s="21">
        <f>EXP(-LN(2)/25)*CL84+(1-EXP(-LN(2)/25))/(LN(2)/25)*Calculateur!CG85*Calculateur!CI85*VLOOKUP('Données projet'!$B$12,Paramètres!$A$1:$I$89,3,0)*0.475*44/12</f>
        <v>34.972303252883329</v>
      </c>
      <c r="CM85" s="21">
        <f>EXP(-LN(2)/2)*CM84+(1-EXP(-LN(2)/2))/(LN(2)/2)*CG85*CJ85*VLOOKUP('Données projet'!$B$12,Paramètres!$A$1:$I$89,3,0)*0.475*44/12</f>
        <v>36.602031396655931</v>
      </c>
      <c r="CN85" s="22">
        <f t="shared" si="66"/>
        <v>206.26513684874084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3.8222222222222246</v>
      </c>
      <c r="CT85" s="12">
        <f>IF('Données projet'!$A$140&gt;35,CT84+CS85-DB84,IF(A85&lt;'Données projet'!$A$140,$CQ$205^A85,IF(A85='Données projet'!$A$140,'Données projet'!$B$140,CT84+CS85-DB84)))</f>
        <v>116.62222222222211</v>
      </c>
      <c r="CU85" s="17">
        <f>CT85*VLOOKUP('Données projet'!$B$13,Paramètres!$A$1:$I$89,3,0)*VLOOKUP('Données projet'!$B$13,Paramètres!$A$1:$I$89,5,0)</f>
        <v>132.80938666666654</v>
      </c>
      <c r="CV85" s="13">
        <f t="shared" si="95"/>
        <v>34.644716113975576</v>
      </c>
      <c r="CW85" s="20">
        <f t="shared" si="67"/>
        <v>291.64922900961835</v>
      </c>
      <c r="CX85" s="59">
        <f t="shared" si="68"/>
        <v>584.98256234295172</v>
      </c>
      <c r="CY85" s="59">
        <f ca="1">AVERAGE(OFFSET($CX$3,0,0,'Données projet'!$E$13+1,1))-AVERAGE(OFFSET($H$3,0,0,'Données projet'!$E$13+1,1))</f>
        <v>330.87173217110126</v>
      </c>
      <c r="CZ85" s="59">
        <f t="shared" si="96"/>
        <v>200.52697135436102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25.873027277225336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25.873027277225336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4.7777777777777777</v>
      </c>
      <c r="N86" s="13">
        <f>IF('Données projet'!$A$36&gt;35,N85+M86-V85,IF(A86&lt;'Données projet'!$A$36,$K$205^A86,IF(A86='Données projet'!$A$36,'Données projet'!$B$36,N85+M86-V85)))</f>
        <v>150.55555555555551</v>
      </c>
      <c r="O86" s="13">
        <f>N86*VLOOKUP('Données projet'!$B$9,Paramètres!$A$1:$I$89,3,0)*VLOOKUP('Données projet'!$B$9,Paramètres!$A$1:$I$89,5,0)</f>
        <v>136.22266666666664</v>
      </c>
      <c r="P86" s="13">
        <f t="shared" si="87"/>
        <v>35.430298803380701</v>
      </c>
      <c r="Q86" s="20">
        <f t="shared" si="54"/>
        <v>298.9622481936658</v>
      </c>
      <c r="R86" s="59">
        <f t="shared" si="55"/>
        <v>592.29558152699906</v>
      </c>
      <c r="S86" s="59">
        <f ca="1">AVERAGE(OFFSET($R$3,0,0,'Données projet'!$E$9+1,1))-AVERAGE(OFFSET($H$3,0,0,'Données projet'!$E$9+1,1))</f>
        <v>328.8796193543036</v>
      </c>
      <c r="T86" s="59">
        <f t="shared" si="88"/>
        <v>199.43308683696642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25.191935507051806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25.191935507051806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351.77274930064431</v>
      </c>
      <c r="AO86" s="59">
        <f t="shared" si="90"/>
        <v>386.10758060007078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106.16191617437821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106.16191617437821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257.39999999999992</v>
      </c>
      <c r="BE86" s="13">
        <f>BD86*VLOOKUP('Données projet'!$B$11,Paramètres!$A$1:$I$89,3,0)*VLOOKUP('Données projet'!$B$11,Paramètres!$A$1:$I$89,5,0)</f>
        <v>244.94183999999993</v>
      </c>
      <c r="BF86" s="13">
        <f t="shared" si="91"/>
        <v>59.501526882688026</v>
      </c>
      <c r="BG86" s="20">
        <f t="shared" si="61"/>
        <v>530.23886398734817</v>
      </c>
      <c r="BH86" s="59">
        <f t="shared" si="62"/>
        <v>823.57219732068143</v>
      </c>
      <c r="BI86" s="59">
        <f ca="1">AVERAGE(OFFSET($BH$3,0,0,'Données projet'!$E$11+1,1))-AVERAGE(OFFSET($H$3,0,0,'Données projet'!$E$11+1,1))</f>
        <v>438.62466697107681</v>
      </c>
      <c r="BJ86" s="59">
        <f t="shared" si="92"/>
        <v>241.18285512887627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-1.1368683772161603E-13</v>
      </c>
      <c r="BZ86" s="13">
        <f>BY86*VLOOKUP('Données projet'!$B$12,Paramètres!$A$1:$I$89,3,0)*VLOOKUP('Données projet'!$B$12,Paramètres!$A$1:$I$89,5,0)</f>
        <v>-6.5028871176764376E-14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308.33000350259448</v>
      </c>
      <c r="CE86" s="59">
        <f t="shared" si="94"/>
        <v>282.64839194267171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132.0495977213526</v>
      </c>
      <c r="CL86" s="21">
        <f>EXP(-LN(2)/25)*CL85+(1-EXP(-LN(2)/25))/(LN(2)/25)*Calculateur!CG86*Calculateur!CI86*VLOOKUP('Données projet'!$B$12,Paramètres!$A$1:$I$89,3,0)*0.475*44/12</f>
        <v>34.015983781319733</v>
      </c>
      <c r="CM86" s="21">
        <f>EXP(-LN(2)/2)*CM85+(1-EXP(-LN(2)/2))/(LN(2)/2)*CG86*CJ86*VLOOKUP('Données projet'!$B$12,Paramètres!$A$1:$I$89,3,0)*0.475*44/12</f>
        <v>25.88154460577833</v>
      </c>
      <c r="CN86" s="22">
        <f t="shared" si="66"/>
        <v>191.94712610845068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3.8222222222222246</v>
      </c>
      <c r="CT86" s="12">
        <f>IF('Données projet'!$A$140&gt;35,CT85+CS86-DB85,IF(A86&lt;'Données projet'!$A$140,$CQ$205^A86,IF(A86='Données projet'!$A$140,'Données projet'!$B$140,CT85+CS86-DB85)))</f>
        <v>120.44444444444433</v>
      </c>
      <c r="CU86" s="17">
        <f>CT86*VLOOKUP('Données projet'!$B$13,Paramètres!$A$1:$I$89,3,0)*VLOOKUP('Données projet'!$B$13,Paramètres!$A$1:$I$89,5,0)</f>
        <v>137.1621333333332</v>
      </c>
      <c r="CV86" s="13">
        <f t="shared" si="95"/>
        <v>35.646117275716492</v>
      </c>
      <c r="CW86" s="20">
        <f t="shared" si="67"/>
        <v>300.97436981076157</v>
      </c>
      <c r="CX86" s="59">
        <f t="shared" si="68"/>
        <v>594.30770314409483</v>
      </c>
      <c r="CY86" s="59">
        <f ca="1">AVERAGE(OFFSET($CX$3,0,0,'Données projet'!$E$13+1,1))-AVERAGE(OFFSET($H$3,0,0,'Données projet'!$E$13+1,1))</f>
        <v>330.87173217110126</v>
      </c>
      <c r="CZ86" s="59">
        <f t="shared" si="96"/>
        <v>200.52697135436102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25.365672993307342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25.365672993307342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4.7777777777777777</v>
      </c>
      <c r="N87" s="13">
        <f>IF('Données projet'!$A$36&gt;35,N86+M87-V86,IF(A87&lt;'Données projet'!$A$36,$K$205^A87,IF(A87='Données projet'!$A$36,'Données projet'!$B$36,N86+M87-V86)))</f>
        <v>155.33333333333329</v>
      </c>
      <c r="O87" s="13">
        <f>N87*VLOOKUP('Données projet'!$B$9,Paramètres!$A$1:$I$89,3,0)*VLOOKUP('Données projet'!$B$9,Paramètres!$A$1:$I$89,5,0)</f>
        <v>140.54559999999995</v>
      </c>
      <c r="P87" s="13">
        <f t="shared" si="87"/>
        <v>36.421966485183141</v>
      </c>
      <c r="Q87" s="20">
        <f t="shared" si="54"/>
        <v>308.21851162836055</v>
      </c>
      <c r="R87" s="59">
        <f t="shared" si="55"/>
        <v>601.55184496169386</v>
      </c>
      <c r="S87" s="59">
        <f ca="1">AVERAGE(OFFSET($R$3,0,0,'Données projet'!$E$9+1,1))-AVERAGE(OFFSET($H$3,0,0,'Données projet'!$E$9+1,1))</f>
        <v>328.8796193543036</v>
      </c>
      <c r="T87" s="59">
        <f t="shared" si="88"/>
        <v>199.43308683696642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24.697937017321955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24.697937017321955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351.77274930064431</v>
      </c>
      <c r="AO87" s="59">
        <f t="shared" si="90"/>
        <v>386.10758060007078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104.08014575057375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104.08014575057375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263.19999999999993</v>
      </c>
      <c r="BE87" s="13">
        <f>BD87*VLOOKUP('Données projet'!$B$11,Paramètres!$A$1:$I$89,3,0)*VLOOKUP('Données projet'!$B$11,Paramètres!$A$1:$I$89,5,0)</f>
        <v>250.46111999999997</v>
      </c>
      <c r="BF87" s="13">
        <f t="shared" si="91"/>
        <v>60.684672167637892</v>
      </c>
      <c r="BG87" s="20">
        <f t="shared" si="61"/>
        <v>541.91225469196922</v>
      </c>
      <c r="BH87" s="59">
        <f t="shared" si="62"/>
        <v>835.2455880253026</v>
      </c>
      <c r="BI87" s="59">
        <f ca="1">AVERAGE(OFFSET($BH$3,0,0,'Données projet'!$E$11+1,1))-AVERAGE(OFFSET($H$3,0,0,'Données projet'!$E$11+1,1))</f>
        <v>438.62466697107681</v>
      </c>
      <c r="BJ87" s="59">
        <f t="shared" si="92"/>
        <v>241.18285512887627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-1.1368683772161603E-13</v>
      </c>
      <c r="BZ87" s="13">
        <f>BY87*VLOOKUP('Données projet'!$B$12,Paramètres!$A$1:$I$89,3,0)*VLOOKUP('Données projet'!$B$12,Paramètres!$A$1:$I$89,5,0)</f>
        <v>-6.5028871176764376E-14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308.33000350259448</v>
      </c>
      <c r="CE87" s="59">
        <f t="shared" si="94"/>
        <v>282.64839194267171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129.46018565233859</v>
      </c>
      <c r="CL87" s="21">
        <f>EXP(-LN(2)/25)*CL86+(1-EXP(-LN(2)/25))/(LN(2)/25)*Calculateur!CG87*Calculateur!CI87*VLOOKUP('Données projet'!$B$12,Paramètres!$A$1:$I$89,3,0)*0.475*44/12</f>
        <v>33.0858149159967</v>
      </c>
      <c r="CM87" s="21">
        <f>EXP(-LN(2)/2)*CM86+(1-EXP(-LN(2)/2))/(LN(2)/2)*CG87*CJ87*VLOOKUP('Données projet'!$B$12,Paramètres!$A$1:$I$89,3,0)*0.475*44/12</f>
        <v>18.301015698327969</v>
      </c>
      <c r="CN87" s="22">
        <f t="shared" si="66"/>
        <v>180.84701626666327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3.8222222222222246</v>
      </c>
      <c r="CT87" s="12">
        <f>IF('Données projet'!$A$140&gt;35,CT86+CS87-DB86,IF(A87&lt;'Données projet'!$A$140,$CQ$205^A87,IF(A87='Données projet'!$A$140,'Données projet'!$B$140,CT86+CS87-DB86)))</f>
        <v>124.26666666666655</v>
      </c>
      <c r="CU87" s="17">
        <f>CT87*VLOOKUP('Données projet'!$B$13,Paramètres!$A$1:$I$89,3,0)*VLOOKUP('Données projet'!$B$13,Paramètres!$A$1:$I$89,5,0)</f>
        <v>141.51487999999986</v>
      </c>
      <c r="CV87" s="13">
        <f t="shared" si="95"/>
        <v>36.643825555859323</v>
      </c>
      <c r="CW87" s="20">
        <f t="shared" si="67"/>
        <v>310.29307884312135</v>
      </c>
      <c r="CX87" s="59">
        <f t="shared" si="68"/>
        <v>603.62641217645466</v>
      </c>
      <c r="CY87" s="59">
        <f ca="1">AVERAGE(OFFSET($CX$3,0,0,'Données projet'!$E$13+1,1))-AVERAGE(OFFSET($H$3,0,0,'Données projet'!$E$13+1,1))</f>
        <v>330.87173217110126</v>
      </c>
      <c r="CZ87" s="59">
        <f t="shared" si="96"/>
        <v>200.52697135436102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24.868267617441425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24.868267617441425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4.7777777777777777</v>
      </c>
      <c r="N88" s="13">
        <f>IF('Données projet'!$A$36&gt;35,N87+M88-V87,IF(A88&lt;'Données projet'!$A$36,$K$205^A88,IF(A88='Données projet'!$A$36,'Données projet'!$B$36,N87+M88-V87)))</f>
        <v>160.11111111111106</v>
      </c>
      <c r="O88" s="13">
        <f>N88*VLOOKUP('Données projet'!$B$9,Paramètres!$A$1:$I$89,3,0)*VLOOKUP('Données projet'!$B$9,Paramètres!$A$1:$I$89,5,0)</f>
        <v>144.86853333333326</v>
      </c>
      <c r="P88" s="13">
        <f t="shared" si="87"/>
        <v>37.410089498937786</v>
      </c>
      <c r="Q88" s="20">
        <f t="shared" si="54"/>
        <v>317.46860143287205</v>
      </c>
      <c r="R88" s="59">
        <f t="shared" si="55"/>
        <v>610.80193476620536</v>
      </c>
      <c r="S88" s="59">
        <f ca="1">AVERAGE(OFFSET($R$3,0,0,'Données projet'!$E$9+1,1))-AVERAGE(OFFSET($H$3,0,0,'Données projet'!$E$9+1,1))</f>
        <v>328.8796193543036</v>
      </c>
      <c r="T88" s="59">
        <f t="shared" si="88"/>
        <v>199.43308683696642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24.213625536666381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24.213625536666381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351.77274930064431</v>
      </c>
      <c r="AO88" s="59">
        <f t="shared" si="90"/>
        <v>386.10758060007078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102.03919757502551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102.03919757502551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255.98039999999997</v>
      </c>
      <c r="BF88" s="13">
        <f t="shared" si="91"/>
        <v>61.864786260587792</v>
      </c>
      <c r="BG88" s="20">
        <f t="shared" si="61"/>
        <v>553.58036607052361</v>
      </c>
      <c r="BH88" s="59">
        <f t="shared" si="62"/>
        <v>846.91369940385698</v>
      </c>
      <c r="BI88" s="59">
        <f ca="1">AVERAGE(OFFSET($BH$3,0,0,'Données projet'!$E$11+1,1))-AVERAGE(OFFSET($H$3,0,0,'Données projet'!$E$11+1,1))</f>
        <v>438.62466697107681</v>
      </c>
      <c r="BJ88" s="59">
        <f t="shared" si="92"/>
        <v>241.18285512887627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-1.1368683772161603E-13</v>
      </c>
      <c r="BZ88" s="13">
        <f>BY88*VLOOKUP('Données projet'!$B$12,Paramètres!$A$1:$I$89,3,0)*VLOOKUP('Données projet'!$B$12,Paramètres!$A$1:$I$89,5,0)</f>
        <v>-6.5028871176764376E-14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308.33000350259448</v>
      </c>
      <c r="CE88" s="59">
        <f t="shared" si="94"/>
        <v>282.64839194267171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126.92155037461254</v>
      </c>
      <c r="CL88" s="21">
        <f>EXP(-LN(2)/25)*CL87+(1-EXP(-LN(2)/25))/(LN(2)/25)*Calculateur!CG88*Calculateur!CI88*VLOOKUP('Données projet'!$B$12,Paramètres!$A$1:$I$89,3,0)*0.475*44/12</f>
        <v>32.181081567211379</v>
      </c>
      <c r="CM88" s="21">
        <f>EXP(-LN(2)/2)*CM87+(1-EXP(-LN(2)/2))/(LN(2)/2)*CG88*CJ88*VLOOKUP('Données projet'!$B$12,Paramètres!$A$1:$I$89,3,0)*0.475*44/12</f>
        <v>12.940772302889167</v>
      </c>
      <c r="CN88" s="22">
        <f t="shared" si="66"/>
        <v>172.04340424471309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3.8222222222222246</v>
      </c>
      <c r="CT88" s="12">
        <f>IF('Données projet'!$A$140&gt;35,CT87+CS88-DB87,IF(A88&lt;'Données projet'!$A$140,$CQ$205^A88,IF(A88='Données projet'!$A$140,'Données projet'!$B$140,CT87+CS88-DB87)))</f>
        <v>128.08888888888879</v>
      </c>
      <c r="CU88" s="17">
        <f>CT88*VLOOKUP('Données projet'!$B$13,Paramètres!$A$1:$I$89,3,0)*VLOOKUP('Données projet'!$B$13,Paramètres!$A$1:$I$89,5,0)</f>
        <v>145.86762666666655</v>
      </c>
      <c r="CV88" s="13">
        <f t="shared" si="95"/>
        <v>37.637967576128474</v>
      </c>
      <c r="CW88" s="20">
        <f t="shared" si="67"/>
        <v>319.60557663953466</v>
      </c>
      <c r="CX88" s="59">
        <f t="shared" si="68"/>
        <v>612.93890997286803</v>
      </c>
      <c r="CY88" s="59">
        <f ca="1">AVERAGE(OFFSET($CX$3,0,0,'Données projet'!$E$13+1,1))-AVERAGE(OFFSET($H$3,0,0,'Données projet'!$E$13+1,1))</f>
        <v>330.87173217110126</v>
      </c>
      <c r="CZ88" s="59">
        <f t="shared" si="96"/>
        <v>200.52697135436102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24.380616057608915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24.380616057608915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4.7777777777777777</v>
      </c>
      <c r="N89" s="13">
        <f>IF('Données projet'!$A$36&gt;35,N88+M89-V88,IF(A89&lt;'Données projet'!$A$36,$K$205^A89,IF(A89='Données projet'!$A$36,'Données projet'!$B$36,N88+M89-V88)))</f>
        <v>164.88888888888883</v>
      </c>
      <c r="O89" s="13">
        <f>N89*VLOOKUP('Données projet'!$B$9,Paramètres!$A$1:$I$89,3,0)*VLOOKUP('Données projet'!$B$9,Paramètres!$A$1:$I$89,5,0)</f>
        <v>149.1914666666666</v>
      </c>
      <c r="P89" s="13">
        <f t="shared" si="87"/>
        <v>38.394785761682023</v>
      </c>
      <c r="Q89" s="20">
        <f t="shared" si="54"/>
        <v>326.71272297937384</v>
      </c>
      <c r="R89" s="59">
        <f t="shared" si="55"/>
        <v>620.04605631270715</v>
      </c>
      <c r="S89" s="59">
        <f ca="1">AVERAGE(OFFSET($R$3,0,0,'Données projet'!$E$9+1,1))-AVERAGE(OFFSET($H$3,0,0,'Données projet'!$E$9+1,1))</f>
        <v>328.8796193543036</v>
      </c>
      <c r="T89" s="59">
        <f t="shared" si="88"/>
        <v>199.43308683696642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23.738811108745626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23.738811108745626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351.77274930064431</v>
      </c>
      <c r="AO89" s="59">
        <f t="shared" si="90"/>
        <v>386.10758060007078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100.03827114834431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100.03827114834431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253.39999999999992</v>
      </c>
      <c r="BE89" s="13">
        <f>BD89*VLOOKUP('Données projet'!$B$11,Paramètres!$A$1:$I$89,3,0)*VLOOKUP('Données projet'!$B$11,Paramètres!$A$1:$I$89,5,0)</f>
        <v>241.13543999999993</v>
      </c>
      <c r="BF89" s="13">
        <f t="shared" si="91"/>
        <v>58.6837587821827</v>
      </c>
      <c r="BG89" s="20">
        <f t="shared" si="61"/>
        <v>522.18510454563477</v>
      </c>
      <c r="BH89" s="59">
        <f t="shared" si="62"/>
        <v>815.51843787896814</v>
      </c>
      <c r="BI89" s="59">
        <f ca="1">AVERAGE(OFFSET($BH$3,0,0,'Données projet'!$E$11+1,1))-AVERAGE(OFFSET($H$3,0,0,'Données projet'!$E$11+1,1))</f>
        <v>438.62466697107681</v>
      </c>
      <c r="BJ89" s="59">
        <f t="shared" si="92"/>
        <v>241.18285512887627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-1.1368683772161603E-13</v>
      </c>
      <c r="BZ89" s="13">
        <f>BY89*VLOOKUP('Données projet'!$B$12,Paramètres!$A$1:$I$89,3,0)*VLOOKUP('Données projet'!$B$12,Paramètres!$A$1:$I$89,5,0)</f>
        <v>-6.5028871176764376E-14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308.33000350259448</v>
      </c>
      <c r="CE89" s="59">
        <f t="shared" si="94"/>
        <v>282.64839194267171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124.43269618626806</v>
      </c>
      <c r="CL89" s="21">
        <f>EXP(-LN(2)/25)*CL88+(1-EXP(-LN(2)/25))/(LN(2)/25)*Calculateur!CG89*Calculateur!CI89*VLOOKUP('Données projet'!$B$12,Paramètres!$A$1:$I$89,3,0)*0.475*44/12</f>
        <v>31.301088199426456</v>
      </c>
      <c r="CM89" s="21">
        <f>EXP(-LN(2)/2)*CM88+(1-EXP(-LN(2)/2))/(LN(2)/2)*CG89*CJ89*VLOOKUP('Données projet'!$B$12,Paramètres!$A$1:$I$89,3,0)*0.475*44/12</f>
        <v>9.1505078491639864</v>
      </c>
      <c r="CN89" s="22">
        <f t="shared" si="66"/>
        <v>164.88429223485849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3.8222222222222246</v>
      </c>
      <c r="CT89" s="12">
        <f>IF('Données projet'!$A$140&gt;35,CT88+CS89-DB88,IF(A89&lt;'Données projet'!$A$140,$CQ$205^A89,IF(A89='Données projet'!$A$140,'Données projet'!$B$140,CT88+CS89-DB88)))</f>
        <v>131.91111111111101</v>
      </c>
      <c r="CU89" s="17">
        <f>CT89*VLOOKUP('Données projet'!$B$13,Paramètres!$A$1:$I$89,3,0)*VLOOKUP('Données projet'!$B$13,Paramètres!$A$1:$I$89,5,0)</f>
        <v>150.22037333333324</v>
      </c>
      <c r="CV89" s="13">
        <f t="shared" si="95"/>
        <v>38.628661971835704</v>
      </c>
      <c r="CW89" s="20">
        <f t="shared" si="67"/>
        <v>328.91206982316925</v>
      </c>
      <c r="CX89" s="59">
        <f t="shared" si="68"/>
        <v>622.24540315650256</v>
      </c>
      <c r="CY89" s="59">
        <f ca="1">AVERAGE(OFFSET($CX$3,0,0,'Données projet'!$E$13+1,1))-AVERAGE(OFFSET($H$3,0,0,'Données projet'!$E$13+1,1))</f>
        <v>330.87173217110126</v>
      </c>
      <c r="CZ89" s="59">
        <f t="shared" si="96"/>
        <v>200.52697135436102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23.902527047426638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23.902527047426638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4.7777777777777777</v>
      </c>
      <c r="N90" s="13">
        <f>IF('Données projet'!$A$36&gt;35,N89+M90-V89,IF(A90&lt;'Données projet'!$A$36,$K$205^A90,IF(A90='Données projet'!$A$36,'Données projet'!$B$36,N89+M90-V89)))</f>
        <v>169.6666666666666</v>
      </c>
      <c r="O90" s="13">
        <f>N90*VLOOKUP('Données projet'!$B$9,Paramètres!$A$1:$I$89,3,0)*VLOOKUP('Données projet'!$B$9,Paramètres!$A$1:$I$89,5,0)</f>
        <v>153.51439999999994</v>
      </c>
      <c r="P90" s="13">
        <f t="shared" si="87"/>
        <v>39.376165968400208</v>
      </c>
      <c r="Q90" s="20">
        <f t="shared" si="54"/>
        <v>335.95106906163022</v>
      </c>
      <c r="R90" s="59">
        <f t="shared" si="55"/>
        <v>629.28440239496354</v>
      </c>
      <c r="S90" s="59">
        <f ca="1">AVERAGE(OFFSET($R$3,0,0,'Données projet'!$E$9+1,1))-AVERAGE(OFFSET($H$3,0,0,'Données projet'!$E$9+1,1))</f>
        <v>328.8796193543036</v>
      </c>
      <c r="T90" s="59">
        <f t="shared" si="88"/>
        <v>199.43308683696642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23.273307502148192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23.273307502148192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351.77274930064431</v>
      </c>
      <c r="AO90" s="59">
        <f t="shared" si="90"/>
        <v>386.10758060007078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98.076581668445712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98.076581668445712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</v>
      </c>
      <c r="BE90" s="13">
        <f>BD90*VLOOKUP('Données projet'!$B$11,Paramètres!$A$1:$I$89,3,0)*VLOOKUP('Données projet'!$B$11,Paramètres!$A$1:$I$89,5,0)</f>
        <v>246.27407999999991</v>
      </c>
      <c r="BF90" s="13">
        <f t="shared" si="91"/>
        <v>59.787395242924475</v>
      </c>
      <c r="BG90" s="20">
        <f t="shared" si="61"/>
        <v>533.05706938142669</v>
      </c>
      <c r="BH90" s="59">
        <f t="shared" si="62"/>
        <v>826.39040271476006</v>
      </c>
      <c r="BI90" s="59">
        <f ca="1">AVERAGE(OFFSET($BH$3,0,0,'Données projet'!$E$11+1,1))-AVERAGE(OFFSET($H$3,0,0,'Données projet'!$E$11+1,1))</f>
        <v>438.62466697107681</v>
      </c>
      <c r="BJ90" s="59">
        <f t="shared" si="92"/>
        <v>241.18285512887627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-1.1368683772161603E-13</v>
      </c>
      <c r="BZ90" s="13">
        <f>BY90*VLOOKUP('Données projet'!$B$12,Paramètres!$A$1:$I$89,3,0)*VLOOKUP('Données projet'!$B$12,Paramètres!$A$1:$I$89,5,0)</f>
        <v>-6.5028871176764376E-14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308.33000350259448</v>
      </c>
      <c r="CE90" s="59">
        <f t="shared" si="94"/>
        <v>282.64839194267171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121.99264691050587</v>
      </c>
      <c r="CL90" s="21">
        <f>EXP(-LN(2)/25)*CL89+(1-EXP(-LN(2)/25))/(LN(2)/25)*Calculateur!CG90*Calculateur!CI90*VLOOKUP('Données projet'!$B$12,Paramètres!$A$1:$I$89,3,0)*0.475*44/12</f>
        <v>30.44515829656045</v>
      </c>
      <c r="CM90" s="21">
        <f>EXP(-LN(2)/2)*CM89+(1-EXP(-LN(2)/2))/(LN(2)/2)*CG90*CJ90*VLOOKUP('Données projet'!$B$12,Paramètres!$A$1:$I$89,3,0)*0.475*44/12</f>
        <v>6.4703861514445853</v>
      </c>
      <c r="CN90" s="22">
        <f t="shared" si="66"/>
        <v>158.90819135851092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3.8222222222222246</v>
      </c>
      <c r="CT90" s="12">
        <f>IF('Données projet'!$A$140&gt;35,CT89+CS90-DB89,IF(A90&lt;'Données projet'!$A$140,$CQ$205^A90,IF(A90='Données projet'!$A$140,'Données projet'!$B$140,CT89+CS90-DB89)))</f>
        <v>135.73333333333323</v>
      </c>
      <c r="CU90" s="17">
        <f>CT90*VLOOKUP('Données projet'!$B$13,Paramètres!$A$1:$I$89,3,0)*VLOOKUP('Données projet'!$B$13,Paramètres!$A$1:$I$89,5,0)</f>
        <v>154.57311999999988</v>
      </c>
      <c r="CV90" s="13">
        <f t="shared" si="95"/>
        <v>39.616020112247547</v>
      </c>
      <c r="CW90" s="20">
        <f t="shared" si="67"/>
        <v>338.21275236216422</v>
      </c>
      <c r="CX90" s="59">
        <f t="shared" si="68"/>
        <v>631.5460856954976</v>
      </c>
      <c r="CY90" s="59">
        <f ca="1">AVERAGE(OFFSET($CX$3,0,0,'Données projet'!$E$13+1,1))-AVERAGE(OFFSET($H$3,0,0,'Données projet'!$E$13+1,1))</f>
        <v>330.87173217110126</v>
      </c>
      <c r="CZ90" s="59">
        <f t="shared" si="96"/>
        <v>200.52697135436102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23.433813071128533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23.433813071128533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4.7777777777777777</v>
      </c>
      <c r="N91" s="13">
        <f>IF('Données projet'!$A$36&gt;35,N90+M91-V90,IF(A91&lt;'Données projet'!$A$36,$K$205^A91,IF(A91='Données projet'!$A$36,'Données projet'!$B$36,N90+M91-V90)))</f>
        <v>174.44444444444437</v>
      </c>
      <c r="O91" s="13">
        <f>N91*VLOOKUP('Données projet'!$B$9,Paramètres!$A$1:$I$89,3,0)*VLOOKUP('Données projet'!$B$9,Paramètres!$A$1:$I$89,5,0)</f>
        <v>157.83733333333328</v>
      </c>
      <c r="P91" s="13">
        <f t="shared" si="87"/>
        <v>40.35433422511192</v>
      </c>
      <c r="Q91" s="20">
        <f t="shared" si="54"/>
        <v>345.18382099762539</v>
      </c>
      <c r="R91" s="59">
        <f t="shared" si="55"/>
        <v>638.51715433095865</v>
      </c>
      <c r="S91" s="59">
        <f ca="1">AVERAGE(OFFSET($R$3,0,0,'Données projet'!$E$9+1,1))-AVERAGE(OFFSET($H$3,0,0,'Données projet'!$E$9+1,1))</f>
        <v>328.8796193543036</v>
      </c>
      <c r="T91" s="59">
        <f t="shared" si="88"/>
        <v>199.43308683696642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22.816932137346971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22.816932137346971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351.77274930064431</v>
      </c>
      <c r="AO91" s="59">
        <f t="shared" si="90"/>
        <v>386.10758060007078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96.153359722735502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96.153359722735502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264.19999999999987</v>
      </c>
      <c r="BE91" s="13">
        <f>BD91*VLOOKUP('Données projet'!$B$11,Paramètres!$A$1:$I$89,3,0)*VLOOKUP('Données projet'!$B$11,Paramètres!$A$1:$I$89,5,0)</f>
        <v>251.41271999999989</v>
      </c>
      <c r="BF91" s="13">
        <f t="shared" si="91"/>
        <v>60.888354295829195</v>
      </c>
      <c r="BG91" s="20">
        <f t="shared" si="61"/>
        <v>543.92437106523562</v>
      </c>
      <c r="BH91" s="59">
        <f t="shared" si="62"/>
        <v>837.25770439856888</v>
      </c>
      <c r="BI91" s="59">
        <f ca="1">AVERAGE(OFFSET($BH$3,0,0,'Données projet'!$E$11+1,1))-AVERAGE(OFFSET($H$3,0,0,'Données projet'!$E$11+1,1))</f>
        <v>438.62466697107681</v>
      </c>
      <c r="BJ91" s="59">
        <f t="shared" si="92"/>
        <v>241.18285512887627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-1.1368683772161603E-13</v>
      </c>
      <c r="BZ91" s="13">
        <f>BY91*VLOOKUP('Données projet'!$B$12,Paramètres!$A$1:$I$89,3,0)*VLOOKUP('Données projet'!$B$12,Paramètres!$A$1:$I$89,5,0)</f>
        <v>-6.5028871176764376E-14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308.33000350259448</v>
      </c>
      <c r="CE91" s="59">
        <f t="shared" si="94"/>
        <v>282.64839194267171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119.60044551275827</v>
      </c>
      <c r="CL91" s="21">
        <f>EXP(-LN(2)/25)*CL90+(1-EXP(-LN(2)/25))/(LN(2)/25)*Calculateur!CG91*Calculateur!CI91*VLOOKUP('Données projet'!$B$12,Paramètres!$A$1:$I$89,3,0)*0.475*44/12</f>
        <v>29.612633841899711</v>
      </c>
      <c r="CM91" s="21">
        <f>EXP(-LN(2)/2)*CM90+(1-EXP(-LN(2)/2))/(LN(2)/2)*CG91*CJ91*VLOOKUP('Données projet'!$B$12,Paramètres!$A$1:$I$89,3,0)*0.475*44/12</f>
        <v>4.5752539245819941</v>
      </c>
      <c r="CN91" s="22">
        <f t="shared" si="66"/>
        <v>153.78833327923999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3.8222222222222246</v>
      </c>
      <c r="CT91" s="12">
        <f>IF('Données projet'!$A$140&gt;35,CT90+CS91-DB90,IF(A91&lt;'Données projet'!$A$140,$CQ$205^A91,IF(A91='Données projet'!$A$140,'Données projet'!$B$140,CT90+CS91-DB90)))</f>
        <v>139.55555555555546</v>
      </c>
      <c r="CU91" s="17">
        <f>CT91*VLOOKUP('Données projet'!$B$13,Paramètres!$A$1:$I$89,3,0)*VLOOKUP('Données projet'!$B$13,Paramètres!$A$1:$I$89,5,0)</f>
        <v>158.92586666666656</v>
      </c>
      <c r="CV91" s="13">
        <f t="shared" si="95"/>
        <v>40.600146737530217</v>
      </c>
      <c r="CW91" s="20">
        <f t="shared" si="67"/>
        <v>347.50780667897607</v>
      </c>
      <c r="CX91" s="59">
        <f t="shared" si="68"/>
        <v>640.84114001230932</v>
      </c>
      <c r="CY91" s="59">
        <f ca="1">AVERAGE(OFFSET($CX$3,0,0,'Données projet'!$E$13+1,1))-AVERAGE(OFFSET($H$3,0,0,'Données projet'!$E$13+1,1))</f>
        <v>330.87173217110126</v>
      </c>
      <c r="CZ91" s="59">
        <f t="shared" si="96"/>
        <v>200.52697135436102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22.974290290018338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22.974290290018338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4.7777777777777777</v>
      </c>
      <c r="N92" s="13">
        <f>IF('Données projet'!$A$36&gt;35,N91+M92-V91,IF(A92&lt;'Données projet'!$A$36,$K$205^A92,IF(A92='Données projet'!$A$36,'Données projet'!$B$36,N91+M92-V91)))</f>
        <v>179.22222222222214</v>
      </c>
      <c r="O92" s="13">
        <f>N92*VLOOKUP('Données projet'!$B$9,Paramètres!$A$1:$I$89,3,0)*VLOOKUP('Données projet'!$B$9,Paramètres!$A$1:$I$89,5,0)</f>
        <v>162.16026666666659</v>
      </c>
      <c r="P92" s="13">
        <f t="shared" si="87"/>
        <v>41.329388610653048</v>
      </c>
      <c r="Q92" s="20">
        <f t="shared" si="54"/>
        <v>354.41114960799831</v>
      </c>
      <c r="R92" s="59">
        <f t="shared" si="55"/>
        <v>647.74448294133163</v>
      </c>
      <c r="S92" s="59">
        <f ca="1">AVERAGE(OFFSET($R$3,0,0,'Données projet'!$E$9+1,1))-AVERAGE(OFFSET($H$3,0,0,'Données projet'!$E$9+1,1))</f>
        <v>328.8796193543036</v>
      </c>
      <c r="T92" s="59">
        <f t="shared" si="88"/>
        <v>199.43308683696642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22.369506015088014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22.369506015088014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351.77274930064431</v>
      </c>
      <c r="AO92" s="59">
        <f t="shared" si="90"/>
        <v>386.10758060007078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94.267850986331098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94.267850986331098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269.59999999999985</v>
      </c>
      <c r="BE92" s="13">
        <f>BD92*VLOOKUP('Données projet'!$B$11,Paramètres!$A$1:$I$89,3,0)*VLOOKUP('Données projet'!$B$11,Paramètres!$A$1:$I$89,5,0)</f>
        <v>256.55135999999987</v>
      </c>
      <c r="BF92" s="13">
        <f t="shared" si="91"/>
        <v>61.986696970400146</v>
      </c>
      <c r="BG92" s="20">
        <f t="shared" si="61"/>
        <v>554.78711589011334</v>
      </c>
      <c r="BH92" s="59">
        <f t="shared" si="62"/>
        <v>848.12044922344671</v>
      </c>
      <c r="BI92" s="59">
        <f ca="1">AVERAGE(OFFSET($BH$3,0,0,'Données projet'!$E$11+1,1))-AVERAGE(OFFSET($H$3,0,0,'Données projet'!$E$11+1,1))</f>
        <v>438.62466697107681</v>
      </c>
      <c r="BJ92" s="59">
        <f t="shared" si="92"/>
        <v>241.18285512887627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-1.1368683772161603E-13</v>
      </c>
      <c r="BZ92" s="13">
        <f>BY92*VLOOKUP('Données projet'!$B$12,Paramètres!$A$1:$I$89,3,0)*VLOOKUP('Données projet'!$B$12,Paramètres!$A$1:$I$89,5,0)</f>
        <v>-6.5028871176764376E-14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308.33000350259448</v>
      </c>
      <c r="CE92" s="59">
        <f t="shared" si="94"/>
        <v>282.64839194267171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117.25515372532172</v>
      </c>
      <c r="CL92" s="21">
        <f>EXP(-LN(2)/25)*CL91+(1-EXP(-LN(2)/25))/(LN(2)/25)*Calculateur!CG92*Calculateur!CI92*VLOOKUP('Données projet'!$B$12,Paramètres!$A$1:$I$89,3,0)*0.475*44/12</f>
        <v>28.802874812232229</v>
      </c>
      <c r="CM92" s="21">
        <f>EXP(-LN(2)/2)*CM91+(1-EXP(-LN(2)/2))/(LN(2)/2)*CG92*CJ92*VLOOKUP('Données projet'!$B$12,Paramètres!$A$1:$I$89,3,0)*0.475*44/12</f>
        <v>3.2351930757222931</v>
      </c>
      <c r="CN92" s="22">
        <f t="shared" si="66"/>
        <v>149.29322161327624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3.8222222222222246</v>
      </c>
      <c r="CT92" s="12">
        <f>IF('Données projet'!$A$140&gt;35,CT91+CS92-DB91,IF(A92&lt;'Données projet'!$A$140,$CQ$205^A92,IF(A92='Données projet'!$A$140,'Données projet'!$B$140,CT91+CS92-DB91)))</f>
        <v>143.37777777777768</v>
      </c>
      <c r="CU92" s="17">
        <f>CT92*VLOOKUP('Données projet'!$B$13,Paramètres!$A$1:$I$89,3,0)*VLOOKUP('Données projet'!$B$13,Paramètres!$A$1:$I$89,5,0)</f>
        <v>163.27861333333323</v>
      </c>
      <c r="CV92" s="13">
        <f t="shared" si="95"/>
        <v>41.58114052395252</v>
      </c>
      <c r="CW92" s="20">
        <f t="shared" si="67"/>
        <v>356.79740463477265</v>
      </c>
      <c r="CX92" s="59">
        <f t="shared" si="68"/>
        <v>650.1307379681059</v>
      </c>
      <c r="CY92" s="59">
        <f ca="1">AVERAGE(OFFSET($CX$3,0,0,'Données projet'!$E$13+1,1))-AVERAGE(OFFSET($H$3,0,0,'Données projet'!$E$13+1,1))</f>
        <v>330.87173217110126</v>
      </c>
      <c r="CZ92" s="59">
        <f t="shared" si="96"/>
        <v>200.52697135436102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22.523778470364494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22.523778470364494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184</v>
      </c>
      <c r="L93" s="12">
        <f>VLOOKUP(A93,'Données projet'!$A$35:$I$55,9,0)</f>
        <v>4.7777777777777777</v>
      </c>
      <c r="M93" s="12">
        <f t="array" ref="M93">INDEX(L:L,MIN(IF(ISNUMBER(L93:L289),ROW(L93:L289),"")))</f>
        <v>4.7777777777777777</v>
      </c>
      <c r="N93" s="13">
        <f>IF('Données projet'!$A$36&gt;35,N92+M93-V92,IF(A93&lt;'Données projet'!$A$36,$K$205^A93,IF(A93='Données projet'!$A$36,'Données projet'!$B$36,N92+M93-V92)))</f>
        <v>183.99999999999991</v>
      </c>
      <c r="O93" s="13">
        <f>N93*VLOOKUP('Données projet'!$B$9,Paramètres!$A$1:$I$89,3,0)*VLOOKUP('Données projet'!$B$9,Paramètres!$A$1:$I$89,5,0)</f>
        <v>166.48319999999993</v>
      </c>
      <c r="P93" s="13">
        <f t="shared" si="87"/>
        <v>42.301421676867136</v>
      </c>
      <c r="Q93" s="20">
        <f t="shared" si="54"/>
        <v>363.63321608721009</v>
      </c>
      <c r="R93" s="59">
        <f t="shared" si="55"/>
        <v>656.9665494205434</v>
      </c>
      <c r="S93" s="59">
        <f ca="1">AVERAGE(OFFSET($R$3,0,0,'Données projet'!$E$9+1,1))-AVERAGE(OFFSET($H$3,0,0,'Données projet'!$E$9+1,1))</f>
        <v>328.8796193543036</v>
      </c>
      <c r="T93" s="59">
        <f t="shared" si="88"/>
        <v>199.43308683696642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30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30.96292692877833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30.96292692877833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351.77274930064431</v>
      </c>
      <c r="AO93" s="59">
        <f t="shared" si="90"/>
        <v>386.10758060007078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92.419315926200824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92.419315926200824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274.99999999999983</v>
      </c>
      <c r="BE93" s="13">
        <f>BD93*VLOOKUP('Données projet'!$B$11,Paramètres!$A$1:$I$89,3,0)*VLOOKUP('Données projet'!$B$11,Paramètres!$A$1:$I$89,5,0)</f>
        <v>261.68999999999983</v>
      </c>
      <c r="BF93" s="13">
        <f t="shared" si="91"/>
        <v>63.082481711546343</v>
      </c>
      <c r="BG93" s="20">
        <f t="shared" si="61"/>
        <v>565.64540564760955</v>
      </c>
      <c r="BH93" s="59">
        <f t="shared" si="62"/>
        <v>858.97873898094281</v>
      </c>
      <c r="BI93" s="59">
        <f ca="1">AVERAGE(OFFSET($BH$3,0,0,'Données projet'!$E$11+1,1))-AVERAGE(OFFSET($H$3,0,0,'Données projet'!$E$11+1,1))</f>
        <v>438.62466697107681</v>
      </c>
      <c r="BJ93" s="59">
        <f t="shared" si="92"/>
        <v>241.18285512887627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-1.1368683772161603E-13</v>
      </c>
      <c r="BZ93" s="13">
        <f>BY93*VLOOKUP('Données projet'!$B$12,Paramètres!$A$1:$I$89,3,0)*VLOOKUP('Données projet'!$B$12,Paramètres!$A$1:$I$89,5,0)</f>
        <v>-6.5028871176764376E-14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308.33000350259448</v>
      </c>
      <c r="CE93" s="59">
        <f t="shared" si="94"/>
        <v>282.64839194267171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114.95585167935006</v>
      </c>
      <c r="CL93" s="21">
        <f>EXP(-LN(2)/25)*CL92+(1-EXP(-LN(2)/25))/(LN(2)/25)*Calculateur!CG93*Calculateur!CI93*VLOOKUP('Données projet'!$B$12,Paramètres!$A$1:$I$89,3,0)*0.475*44/12</f>
        <v>28.015258685814381</v>
      </c>
      <c r="CM93" s="21">
        <f>EXP(-LN(2)/2)*CM92+(1-EXP(-LN(2)/2))/(LN(2)/2)*CG93*CJ93*VLOOKUP('Données projet'!$B$12,Paramètres!$A$1:$I$89,3,0)*0.475*44/12</f>
        <v>2.2876269622909975</v>
      </c>
      <c r="CN93" s="22">
        <f t="shared" si="66"/>
        <v>145.25873732745544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147.20000000000002</v>
      </c>
      <c r="CR93" s="12">
        <f>VLOOKUP(A93,'Données projet'!$A$139:$I$159,9,0)</f>
        <v>3.8222222222222246</v>
      </c>
      <c r="CS93" s="12">
        <f t="array" ref="CS93">INDEX(CR:CR,MIN(IF(ISNUMBER(CR93:CR289),ROW(CR93:CR289),"")))</f>
        <v>3.8222222222222246</v>
      </c>
      <c r="CT93" s="12">
        <f>IF('Données projet'!$A$140&gt;35,CT92+CS93-DB92,IF(A93&lt;'Données projet'!$A$140,$CQ$205^A93,IF(A93='Données projet'!$A$140,'Données projet'!$B$140,CT92+CS93-DB92)))</f>
        <v>147.1999999999999</v>
      </c>
      <c r="CU93" s="17">
        <f>CT93*VLOOKUP('Données projet'!$B$13,Paramètres!$A$1:$I$89,3,0)*VLOOKUP('Données projet'!$B$13,Paramètres!$A$1:$I$89,5,0)</f>
        <v>167.63135999999989</v>
      </c>
      <c r="CV93" s="13">
        <f t="shared" si="95"/>
        <v>42.559094587123887</v>
      </c>
      <c r="CW93" s="20">
        <f t="shared" si="67"/>
        <v>366.08170840590719</v>
      </c>
      <c r="CX93" s="59">
        <f t="shared" si="68"/>
        <v>659.41504173924045</v>
      </c>
      <c r="CY93" s="59">
        <f ca="1">AVERAGE(OFFSET($CX$3,0,0,'Données projet'!$E$13+1,1))-AVERAGE(OFFSET($H$3,0,0,'Données projet'!$E$13+1,1))</f>
        <v>330.87173217110126</v>
      </c>
      <c r="CZ93" s="59">
        <f t="shared" si="96"/>
        <v>200.52697135436102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24</v>
      </c>
      <c r="DC93" s="16">
        <f>IF(ISNA(VLOOKUP(A93,'Données projet'!$A$139:$I$159,5,0)),0%,VLOOKUP(A93,'Données projet'!$A$139:$I$159,5,0)*VLOOKUP('Données projet'!$B$13,Paramètres!$A$1:$I$89,7,0))</f>
        <v>0.30099999999999999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31.176464355873364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31.176464355873364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4.75</v>
      </c>
      <c r="N94" s="13">
        <f>IF('Données projet'!$A$36&gt;35,N93+M94-V93,IF(A94&lt;'Données projet'!$A$36,$K$205^A94,IF(A94='Données projet'!$A$36,'Données projet'!$B$36,N93+M94-V93)))</f>
        <v>158.74999999999991</v>
      </c>
      <c r="O94" s="13">
        <f>N94*VLOOKUP('Données projet'!$B$9,Paramètres!$A$1:$I$89,3,0)*VLOOKUP('Données projet'!$B$9,Paramètres!$A$1:$I$89,5,0)</f>
        <v>143.63699999999992</v>
      </c>
      <c r="P94" s="13">
        <f t="shared" si="87"/>
        <v>37.128943398953339</v>
      </c>
      <c r="Q94" s="20">
        <f t="shared" si="54"/>
        <v>314.83401808651024</v>
      </c>
      <c r="R94" s="59">
        <f t="shared" si="55"/>
        <v>608.1673514198435</v>
      </c>
      <c r="S94" s="59">
        <f ca="1">AVERAGE(OFFSET($R$3,0,0,'Données projet'!$E$9+1,1))-AVERAGE(OFFSET($H$3,0,0,'Données projet'!$E$9+1,1))</f>
        <v>328.8796193543036</v>
      </c>
      <c r="T94" s="59">
        <f t="shared" si="88"/>
        <v>199.43308683696642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30.355762817225624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30.355762817225624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351.77274930064431</v>
      </c>
      <c r="AO94" s="59">
        <f t="shared" si="90"/>
        <v>386.10758060007078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90.607029511104642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90.607029511104642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258.89999999999981</v>
      </c>
      <c r="BE94" s="13">
        <f>BD94*VLOOKUP('Données projet'!$B$11,Paramètres!$A$1:$I$89,3,0)*VLOOKUP('Données projet'!$B$11,Paramètres!$A$1:$I$89,5,0)</f>
        <v>246.36923999999982</v>
      </c>
      <c r="BF94" s="13">
        <f t="shared" si="91"/>
        <v>59.807807512857458</v>
      </c>
      <c r="BG94" s="20">
        <f t="shared" si="61"/>
        <v>533.25835775155974</v>
      </c>
      <c r="BH94" s="59">
        <f t="shared" si="62"/>
        <v>826.591691084893</v>
      </c>
      <c r="BI94" s="59">
        <f ca="1">AVERAGE(OFFSET($BH$3,0,0,'Données projet'!$E$11+1,1))-AVERAGE(OFFSET($H$3,0,0,'Données projet'!$E$11+1,1))</f>
        <v>438.62466697107681</v>
      </c>
      <c r="BJ94" s="59">
        <f t="shared" si="92"/>
        <v>241.18285512887627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-1.1368683772161603E-13</v>
      </c>
      <c r="BZ94" s="13">
        <f>BY94*VLOOKUP('Données projet'!$B$12,Paramètres!$A$1:$I$89,3,0)*VLOOKUP('Données projet'!$B$12,Paramètres!$A$1:$I$89,5,0)</f>
        <v>-6.5028871176764376E-14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308.33000350259448</v>
      </c>
      <c r="CE94" s="59">
        <f t="shared" si="94"/>
        <v>282.64839194267171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112.70163754406414</v>
      </c>
      <c r="CL94" s="21">
        <f>EXP(-LN(2)/25)*CL93+(1-EXP(-LN(2)/25))/(LN(2)/25)*Calculateur!CG94*Calculateur!CI94*VLOOKUP('Données projet'!$B$12,Paramètres!$A$1:$I$89,3,0)*0.475*44/12</f>
        <v>27.249179963792361</v>
      </c>
      <c r="CM94" s="21">
        <f>EXP(-LN(2)/2)*CM93+(1-EXP(-LN(2)/2))/(LN(2)/2)*CG94*CJ94*VLOOKUP('Données projet'!$B$12,Paramètres!$A$1:$I$89,3,0)*0.475*44/12</f>
        <v>1.617596537861147</v>
      </c>
      <c r="CN94" s="22">
        <f t="shared" si="66"/>
        <v>141.56841404571765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3.7999999999999994</v>
      </c>
      <c r="CT94" s="12">
        <f>IF('Données projet'!$A$140&gt;35,CT93+CS94-DB93,IF(A94&lt;'Données projet'!$A$140,$CQ$205^A94,IF(A94='Données projet'!$A$140,'Données projet'!$B$140,CT93+CS94-DB93)))</f>
        <v>126.99999999999991</v>
      </c>
      <c r="CU94" s="17">
        <f>CT94*VLOOKUP('Données projet'!$B$13,Paramètres!$A$1:$I$89,3,0)*VLOOKUP('Données projet'!$B$13,Paramètres!$A$1:$I$89,5,0)</f>
        <v>144.62759999999992</v>
      </c>
      <c r="CV94" s="13">
        <f t="shared" si="95"/>
        <v>37.355108915882049</v>
      </c>
      <c r="CW94" s="20">
        <f t="shared" si="67"/>
        <v>316.9532180284944</v>
      </c>
      <c r="CX94" s="59">
        <f t="shared" si="68"/>
        <v>610.28655136182772</v>
      </c>
      <c r="CY94" s="59">
        <f ca="1">AVERAGE(OFFSET($CX$3,0,0,'Données projet'!$E$13+1,1))-AVERAGE(OFFSET($H$3,0,0,'Données projet'!$E$13+1,1))</f>
        <v>330.87173217110126</v>
      </c>
      <c r="CZ94" s="59">
        <f t="shared" si="96"/>
        <v>200.52697135436102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30.565112905620293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30.565112905620293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4.75</v>
      </c>
      <c r="N95" s="13">
        <f>IF('Données projet'!$A$36&gt;35,N94+M95-V94,IF(A95&lt;'Données projet'!$A$36,$K$205^A95,IF(A95='Données projet'!$A$36,'Données projet'!$B$36,N94+M95-V94)))</f>
        <v>163.49999999999991</v>
      </c>
      <c r="O95" s="13">
        <f>N95*VLOOKUP('Données projet'!$B$9,Paramètres!$A$1:$I$89,3,0)*VLOOKUP('Données projet'!$B$9,Paramètres!$A$1:$I$89,5,0)</f>
        <v>147.93479999999991</v>
      </c>
      <c r="P95" s="13">
        <f t="shared" si="87"/>
        <v>38.1088835009256</v>
      </c>
      <c r="Q95" s="20">
        <f t="shared" si="54"/>
        <v>324.02608209744523</v>
      </c>
      <c r="R95" s="59">
        <f t="shared" si="55"/>
        <v>617.35941543077854</v>
      </c>
      <c r="S95" s="59">
        <f ca="1">AVERAGE(OFFSET($R$3,0,0,'Données projet'!$E$9+1,1))-AVERAGE(OFFSET($H$3,0,0,'Données projet'!$E$9+1,1))</f>
        <v>328.8796193543036</v>
      </c>
      <c r="T95" s="59">
        <f t="shared" si="88"/>
        <v>199.43308683696642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29.760504823566926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29.760504823566926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351.77274930064431</v>
      </c>
      <c r="AO95" s="59">
        <f t="shared" si="90"/>
        <v>386.10758060007078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88.83028092722293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88.83028092722293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263.79999999999978</v>
      </c>
      <c r="BE95" s="13">
        <f>BD95*VLOOKUP('Données projet'!$B$11,Paramètres!$A$1:$I$89,3,0)*VLOOKUP('Données projet'!$B$11,Paramètres!$A$1:$I$89,5,0)</f>
        <v>251.03207999999981</v>
      </c>
      <c r="BF95" s="13">
        <f t="shared" si="91"/>
        <v>60.80689223193356</v>
      </c>
      <c r="BG95" s="20">
        <f t="shared" si="61"/>
        <v>543.11954330395054</v>
      </c>
      <c r="BH95" s="59">
        <f t="shared" si="62"/>
        <v>836.45287663728391</v>
      </c>
      <c r="BI95" s="59">
        <f ca="1">AVERAGE(OFFSET($BH$3,0,0,'Données projet'!$E$11+1,1))-AVERAGE(OFFSET($H$3,0,0,'Données projet'!$E$11+1,1))</f>
        <v>438.62466697107681</v>
      </c>
      <c r="BJ95" s="59">
        <f t="shared" si="92"/>
        <v>241.18285512887627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-1.1368683772161603E-13</v>
      </c>
      <c r="BZ95" s="13">
        <f>BY95*VLOOKUP('Données projet'!$B$12,Paramètres!$A$1:$I$89,3,0)*VLOOKUP('Données projet'!$B$12,Paramètres!$A$1:$I$89,5,0)</f>
        <v>-6.5028871176764376E-14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308.33000350259448</v>
      </c>
      <c r="CE95" s="59">
        <f t="shared" si="94"/>
        <v>282.64839194267171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110.49162717303632</v>
      </c>
      <c r="CL95" s="21">
        <f>EXP(-LN(2)/25)*CL94+(1-EXP(-LN(2)/25))/(LN(2)/25)*Calculateur!CG95*Calculateur!CI95*VLOOKUP('Données projet'!$B$12,Paramètres!$A$1:$I$89,3,0)*0.475*44/12</f>
        <v>26.504049704710365</v>
      </c>
      <c r="CM95" s="21">
        <f>EXP(-LN(2)/2)*CM94+(1-EXP(-LN(2)/2))/(LN(2)/2)*CG95*CJ95*VLOOKUP('Données projet'!$B$12,Paramètres!$A$1:$I$89,3,0)*0.475*44/12</f>
        <v>1.143813481145499</v>
      </c>
      <c r="CN95" s="22">
        <f t="shared" si="66"/>
        <v>138.13949035889217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3.7999999999999994</v>
      </c>
      <c r="CT95" s="12">
        <f>IF('Données projet'!$A$140&gt;35,CT94+CS95-DB94,IF(A95&lt;'Données projet'!$A$140,$CQ$205^A95,IF(A95='Données projet'!$A$140,'Données projet'!$B$140,CT94+CS95-DB94)))</f>
        <v>130.79999999999993</v>
      </c>
      <c r="CU95" s="17">
        <f>CT95*VLOOKUP('Données projet'!$B$13,Paramètres!$A$1:$I$89,3,0)*VLOOKUP('Données projet'!$B$13,Paramètres!$A$1:$I$89,5,0)</f>
        <v>148.95503999999991</v>
      </c>
      <c r="CV95" s="13">
        <f t="shared" si="95"/>
        <v>38.341018179360944</v>
      </c>
      <c r="CW95" s="20">
        <f t="shared" si="67"/>
        <v>326.20730132905345</v>
      </c>
      <c r="CX95" s="59">
        <f t="shared" si="68"/>
        <v>619.54063466238676</v>
      </c>
      <c r="CY95" s="59">
        <f ca="1">AVERAGE(OFFSET($CX$3,0,0,'Données projet'!$E$13+1,1))-AVERAGE(OFFSET($H$3,0,0,'Données projet'!$E$13+1,1))</f>
        <v>330.87173217110126</v>
      </c>
      <c r="CZ95" s="59">
        <f t="shared" si="96"/>
        <v>200.52697135436102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29.965749684419119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29.965749684419119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4.75</v>
      </c>
      <c r="N96" s="13">
        <f>IF('Données projet'!$A$36&gt;35,N95+M96-V95,IF(A96&lt;'Données projet'!$A$36,$K$205^A96,IF(A96='Données projet'!$A$36,'Données projet'!$B$36,N95+M96-V95)))</f>
        <v>168.24999999999991</v>
      </c>
      <c r="O96" s="13">
        <f>N96*VLOOKUP('Données projet'!$B$9,Paramètres!$A$1:$I$89,3,0)*VLOOKUP('Données projet'!$B$9,Paramètres!$A$1:$I$89,5,0)</f>
        <v>152.23259999999991</v>
      </c>
      <c r="P96" s="13">
        <f t="shared" si="87"/>
        <v>39.085514892085854</v>
      </c>
      <c r="Q96" s="20">
        <f t="shared" si="54"/>
        <v>333.21238343704937</v>
      </c>
      <c r="R96" s="59">
        <f t="shared" si="55"/>
        <v>626.54571677038268</v>
      </c>
      <c r="S96" s="59">
        <f ca="1">AVERAGE(OFFSET($R$3,0,0,'Données projet'!$E$9+1,1))-AVERAGE(OFFSET($H$3,0,0,'Données projet'!$E$9+1,1))</f>
        <v>328.8796193543036</v>
      </c>
      <c r="T96" s="59">
        <f t="shared" si="88"/>
        <v>199.43308683696642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29.176919476092348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29.176919476092348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351.77274930064431</v>
      </c>
      <c r="AO96" s="59">
        <f t="shared" si="90"/>
        <v>386.10758060007078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87.088373299361507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87.088373299361507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268.69999999999976</v>
      </c>
      <c r="BE96" s="13">
        <f>BD96*VLOOKUP('Données projet'!$B$11,Paramètres!$A$1:$I$89,3,0)*VLOOKUP('Données projet'!$B$11,Paramètres!$A$1:$I$89,5,0)</f>
        <v>255.69491999999977</v>
      </c>
      <c r="BF96" s="13">
        <f t="shared" si="91"/>
        <v>61.803819039760484</v>
      </c>
      <c r="BG96" s="20">
        <f t="shared" si="61"/>
        <v>552.97697049424903</v>
      </c>
      <c r="BH96" s="59">
        <f t="shared" si="62"/>
        <v>846.3103038275824</v>
      </c>
      <c r="BI96" s="59">
        <f ca="1">AVERAGE(OFFSET($BH$3,0,0,'Données projet'!$E$11+1,1))-AVERAGE(OFFSET($H$3,0,0,'Données projet'!$E$11+1,1))</f>
        <v>438.62466697107681</v>
      </c>
      <c r="BJ96" s="59">
        <f t="shared" si="92"/>
        <v>241.18285512887627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-1.1368683772161603E-13</v>
      </c>
      <c r="BZ96" s="13">
        <f>BY96*VLOOKUP('Données projet'!$B$12,Paramètres!$A$1:$I$89,3,0)*VLOOKUP('Données projet'!$B$12,Paramètres!$A$1:$I$89,5,0)</f>
        <v>-6.5028871176764376E-14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308.33000350259448</v>
      </c>
      <c r="CE96" s="59">
        <f t="shared" si="94"/>
        <v>282.64839194267171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108.32495375741112</v>
      </c>
      <c r="CL96" s="21">
        <f>EXP(-LN(2)/25)*CL95+(1-EXP(-LN(2)/25))/(LN(2)/25)*Calculateur!CG96*Calculateur!CI96*VLOOKUP('Données projet'!$B$12,Paramètres!$A$1:$I$89,3,0)*0.475*44/12</f>
        <v>25.779295071747661</v>
      </c>
      <c r="CM96" s="21">
        <f>EXP(-LN(2)/2)*CM95+(1-EXP(-LN(2)/2))/(LN(2)/2)*CG96*CJ96*VLOOKUP('Données projet'!$B$12,Paramètres!$A$1:$I$89,3,0)*0.475*44/12</f>
        <v>0.80879826893057361</v>
      </c>
      <c r="CN96" s="22">
        <f t="shared" si="66"/>
        <v>134.91304709808938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3.7999999999999994</v>
      </c>
      <c r="CT96" s="12">
        <f>IF('Données projet'!$A$140&gt;35,CT95+CS96-DB95,IF(A96&lt;'Données projet'!$A$140,$CQ$205^A96,IF(A96='Données projet'!$A$140,'Données projet'!$B$140,CT95+CS96-DB95)))</f>
        <v>134.59999999999994</v>
      </c>
      <c r="CU96" s="17">
        <f>CT96*VLOOKUP('Données projet'!$B$13,Paramètres!$A$1:$I$89,3,0)*VLOOKUP('Données projet'!$B$13,Paramètres!$A$1:$I$89,5,0)</f>
        <v>153.28247999999994</v>
      </c>
      <c r="CV96" s="13">
        <f t="shared" si="95"/>
        <v>39.323598577501002</v>
      </c>
      <c r="CW96" s="20">
        <f t="shared" si="67"/>
        <v>335.45558685581409</v>
      </c>
      <c r="CX96" s="59">
        <f t="shared" si="68"/>
        <v>628.78892018914735</v>
      </c>
      <c r="CY96" s="59">
        <f ca="1">AVERAGE(OFFSET($CX$3,0,0,'Données projet'!$E$13+1,1))-AVERAGE(OFFSET($H$3,0,0,'Données projet'!$E$13+1,1))</f>
        <v>330.87173217110126</v>
      </c>
      <c r="CZ96" s="59">
        <f t="shared" si="96"/>
        <v>200.52697135436102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29.378139610410233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29.378139610410233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4.75</v>
      </c>
      <c r="N97" s="13">
        <f>IF('Données projet'!$A$36&gt;35,N96+M97-V96,IF(A97&lt;'Données projet'!$A$36,$K$205^A97,IF(A97='Données projet'!$A$36,'Données projet'!$B$36,N96+M97-V96)))</f>
        <v>172.99999999999991</v>
      </c>
      <c r="O97" s="13">
        <f>N97*VLOOKUP('Données projet'!$B$9,Paramètres!$A$1:$I$89,3,0)*VLOOKUP('Données projet'!$B$9,Paramètres!$A$1:$I$89,5,0)</f>
        <v>156.53039999999993</v>
      </c>
      <c r="P97" s="13">
        <f t="shared" si="87"/>
        <v>40.058941713182001</v>
      </c>
      <c r="Q97" s="20">
        <f t="shared" si="54"/>
        <v>342.39310348379189</v>
      </c>
      <c r="R97" s="59">
        <f t="shared" si="55"/>
        <v>635.7264368171252</v>
      </c>
      <c r="S97" s="59">
        <f ca="1">AVERAGE(OFFSET($R$3,0,0,'Données projet'!$E$9+1,1))-AVERAGE(OFFSET($H$3,0,0,'Données projet'!$E$9+1,1))</f>
        <v>328.8796193543036</v>
      </c>
      <c r="T97" s="59">
        <f t="shared" si="88"/>
        <v>199.43308683696642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28.604777881329831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28.604777881329831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351.77274930064431</v>
      </c>
      <c r="AO97" s="59">
        <f t="shared" si="90"/>
        <v>386.10758060007078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85.38062341762371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85.38062341762371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273.59999999999974</v>
      </c>
      <c r="BE97" s="13">
        <f>BD97*VLOOKUP('Données projet'!$B$11,Paramètres!$A$1:$I$89,3,0)*VLOOKUP('Données projet'!$B$11,Paramètres!$A$1:$I$89,5,0)</f>
        <v>260.35775999999976</v>
      </c>
      <c r="BF97" s="13">
        <f t="shared" si="91"/>
        <v>62.798631826735743</v>
      </c>
      <c r="BG97" s="20">
        <f t="shared" si="61"/>
        <v>562.8307157648976</v>
      </c>
      <c r="BH97" s="59">
        <f t="shared" si="62"/>
        <v>856.16404909823086</v>
      </c>
      <c r="BI97" s="59">
        <f ca="1">AVERAGE(OFFSET($BH$3,0,0,'Données projet'!$E$11+1,1))-AVERAGE(OFFSET($H$3,0,0,'Données projet'!$E$11+1,1))</f>
        <v>438.62466697107681</v>
      </c>
      <c r="BJ97" s="59">
        <f t="shared" si="92"/>
        <v>241.18285512887627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-1.1368683772161603E-13</v>
      </c>
      <c r="BZ97" s="13">
        <f>BY97*VLOOKUP('Données projet'!$B$12,Paramètres!$A$1:$I$89,3,0)*VLOOKUP('Données projet'!$B$12,Paramètres!$A$1:$I$89,5,0)</f>
        <v>-6.5028871176764376E-14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308.33000350259448</v>
      </c>
      <c r="CE97" s="59">
        <f t="shared" si="94"/>
        <v>282.64839194267171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106.20076748592605</v>
      </c>
      <c r="CL97" s="21">
        <f>EXP(-LN(2)/25)*CL96+(1-EXP(-LN(2)/25))/(LN(2)/25)*Calculateur!CG97*Calculateur!CI97*VLOOKUP('Données projet'!$B$12,Paramètres!$A$1:$I$89,3,0)*0.475*44/12</f>
        <v>25.074358892336512</v>
      </c>
      <c r="CM97" s="21">
        <f>EXP(-LN(2)/2)*CM96+(1-EXP(-LN(2)/2))/(LN(2)/2)*CG97*CJ97*VLOOKUP('Données projet'!$B$12,Paramètres!$A$1:$I$89,3,0)*0.475*44/12</f>
        <v>0.57190674057274959</v>
      </c>
      <c r="CN97" s="22">
        <f t="shared" si="66"/>
        <v>131.84703311883533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3.7999999999999994</v>
      </c>
      <c r="CT97" s="12">
        <f>IF('Données projet'!$A$140&gt;35,CT96+CS97-DB96,IF(A97&lt;'Données projet'!$A$140,$CQ$205^A97,IF(A97='Données projet'!$A$140,'Données projet'!$B$140,CT96+CS97-DB96)))</f>
        <v>138.39999999999995</v>
      </c>
      <c r="CU97" s="17">
        <f>CT97*VLOOKUP('Données projet'!$B$13,Paramètres!$A$1:$I$89,3,0)*VLOOKUP('Données projet'!$B$13,Paramètres!$A$1:$I$89,5,0)</f>
        <v>157.60991999999993</v>
      </c>
      <c r="CV97" s="13">
        <f t="shared" si="95"/>
        <v>40.302954885408013</v>
      </c>
      <c r="CW97" s="20">
        <f t="shared" si="67"/>
        <v>344.69825709208544</v>
      </c>
      <c r="CX97" s="59">
        <f t="shared" si="68"/>
        <v>638.0315904254187</v>
      </c>
      <c r="CY97" s="59">
        <f ca="1">AVERAGE(OFFSET($CX$3,0,0,'Données projet'!$E$13+1,1))-AVERAGE(OFFSET($H$3,0,0,'Données projet'!$E$13+1,1))</f>
        <v>330.87173217110126</v>
      </c>
      <c r="CZ97" s="59">
        <f t="shared" si="96"/>
        <v>200.52697135436102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28.802052211545906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28.802052211545906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4.75</v>
      </c>
      <c r="N98" s="13">
        <f>IF('Données projet'!$A$36&gt;35,N97+M98-V97,IF(A98&lt;'Données projet'!$A$36,$K$205^A98,IF(A98='Données projet'!$A$36,'Données projet'!$B$36,N97+M98-V97)))</f>
        <v>177.74999999999991</v>
      </c>
      <c r="O98" s="13">
        <f>N98*VLOOKUP('Données projet'!$B$9,Paramètres!$A$1:$I$89,3,0)*VLOOKUP('Données projet'!$B$9,Paramètres!$A$1:$I$89,5,0)</f>
        <v>160.82819999999992</v>
      </c>
      <c r="P98" s="13">
        <f t="shared" si="87"/>
        <v>41.02926206078601</v>
      </c>
      <c r="Q98" s="20">
        <f t="shared" si="54"/>
        <v>351.56841308920212</v>
      </c>
      <c r="R98" s="59">
        <f t="shared" si="55"/>
        <v>644.90174642253544</v>
      </c>
      <c r="S98" s="59">
        <f ca="1">AVERAGE(OFFSET($R$3,0,0,'Données projet'!$E$9+1,1))-AVERAGE(OFFSET($H$3,0,0,'Données projet'!$E$9+1,1))</f>
        <v>328.8796193543036</v>
      </c>
      <c r="T98" s="59">
        <f t="shared" si="88"/>
        <v>199.43308683696642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28.043855634268695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28.043855634268695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351.77274930064431</v>
      </c>
      <c r="AO98" s="59">
        <f t="shared" si="90"/>
        <v>386.10758060007078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83.706361469442214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83.706361469442214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278.49999999999972</v>
      </c>
      <c r="BE98" s="13">
        <f>BD98*VLOOKUP('Données projet'!$B$11,Paramètres!$A$1:$I$89,3,0)*VLOOKUP('Données projet'!$B$11,Paramètres!$A$1:$I$89,5,0)</f>
        <v>265.02059999999972</v>
      </c>
      <c r="BF98" s="13">
        <f t="shared" si="91"/>
        <v>63.791372821130103</v>
      </c>
      <c r="BG98" s="20">
        <f t="shared" si="61"/>
        <v>572.6808526634677</v>
      </c>
      <c r="BH98" s="59">
        <f t="shared" si="62"/>
        <v>866.01418599680096</v>
      </c>
      <c r="BI98" s="59">
        <f ca="1">AVERAGE(OFFSET($BH$3,0,0,'Données projet'!$E$11+1,1))-AVERAGE(OFFSET($H$3,0,0,'Données projet'!$E$11+1,1))</f>
        <v>438.62466697107681</v>
      </c>
      <c r="BJ98" s="59">
        <f t="shared" si="92"/>
        <v>241.18285512887627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-1.1368683772161603E-13</v>
      </c>
      <c r="BZ98" s="13">
        <f>BY98*VLOOKUP('Données projet'!$B$12,Paramètres!$A$1:$I$89,3,0)*VLOOKUP('Données projet'!$B$12,Paramètres!$A$1:$I$89,5,0)</f>
        <v>-6.5028871176764376E-14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308.33000350259448</v>
      </c>
      <c r="CE98" s="59">
        <f t="shared" si="94"/>
        <v>282.64839194267171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104.1182352115991</v>
      </c>
      <c r="CL98" s="21">
        <f>EXP(-LN(2)/25)*CL97+(1-EXP(-LN(2)/25))/(LN(2)/25)*Calculateur!CG98*Calculateur!CI98*VLOOKUP('Données projet'!$B$12,Paramètres!$A$1:$I$89,3,0)*0.475*44/12</f>
        <v>24.388699229822343</v>
      </c>
      <c r="CM98" s="21">
        <f>EXP(-LN(2)/2)*CM97+(1-EXP(-LN(2)/2))/(LN(2)/2)*CG98*CJ98*VLOOKUP('Données projet'!$B$12,Paramètres!$A$1:$I$89,3,0)*0.475*44/12</f>
        <v>0.40439913446528686</v>
      </c>
      <c r="CN98" s="22">
        <f t="shared" si="66"/>
        <v>128.91133357588672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3.7999999999999994</v>
      </c>
      <c r="CT98" s="12">
        <f>IF('Données projet'!$A$140&gt;35,CT97+CS98-DB97,IF(A98&lt;'Données projet'!$A$140,$CQ$205^A98,IF(A98='Données projet'!$A$140,'Données projet'!$B$140,CT97+CS98-DB97)))</f>
        <v>142.19999999999996</v>
      </c>
      <c r="CU98" s="17">
        <f>CT98*VLOOKUP('Données projet'!$B$13,Paramètres!$A$1:$I$89,3,0)*VLOOKUP('Données projet'!$B$13,Paramètres!$A$1:$I$89,5,0)</f>
        <v>161.93735999999996</v>
      </c>
      <c r="CV98" s="13">
        <f t="shared" si="95"/>
        <v>41.279185797194913</v>
      </c>
      <c r="CW98" s="20">
        <f t="shared" si="67"/>
        <v>353.93548393011434</v>
      </c>
      <c r="CX98" s="59">
        <f t="shared" si="68"/>
        <v>647.26881726344766</v>
      </c>
      <c r="CY98" s="59">
        <f ca="1">AVERAGE(OFFSET($CX$3,0,0,'Données projet'!$E$13+1,1))-AVERAGE(OFFSET($H$3,0,0,'Données projet'!$E$13+1,1))</f>
        <v>330.87173217110126</v>
      </c>
      <c r="CZ98" s="59">
        <f t="shared" si="96"/>
        <v>200.52697135436102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28.237261535194691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28.237261535194691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4.75</v>
      </c>
      <c r="N99" s="13">
        <f>IF('Données projet'!$A$36&gt;35,N98+M99-V98,IF(A99&lt;'Données projet'!$A$36,$K$205^A99,IF(A99='Données projet'!$A$36,'Données projet'!$B$36,N98+M99-V98)))</f>
        <v>182.49999999999991</v>
      </c>
      <c r="O99" s="13">
        <f>N99*VLOOKUP('Données projet'!$B$9,Paramètres!$A$1:$I$89,3,0)*VLOOKUP('Données projet'!$B$9,Paramètres!$A$1:$I$89,5,0)</f>
        <v>165.12599999999992</v>
      </c>
      <c r="P99" s="13">
        <f t="shared" si="87"/>
        <v>41.996568490108949</v>
      </c>
      <c r="Q99" s="20">
        <f t="shared" ref="Q99:Q130" si="107">(O99+P99)*0.475*44/12</f>
        <v>360.73847345360628</v>
      </c>
      <c r="R99" s="59">
        <f t="shared" si="55"/>
        <v>654.07180678693953</v>
      </c>
      <c r="S99" s="59">
        <f ca="1">AVERAGE(OFFSET($R$3,0,0,'Données projet'!$E$9+1,1))-AVERAGE(OFFSET($H$3,0,0,'Données projet'!$E$9+1,1))</f>
        <v>328.8796193543036</v>
      </c>
      <c r="T99" s="59">
        <f t="shared" si="88"/>
        <v>199.43308683696642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27.493932730343637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27.493932730343637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351.77274930064431</v>
      </c>
      <c r="AO99" s="59">
        <f t="shared" si="90"/>
        <v>386.10758060007078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82.064930776865609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82.064930776865609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283.39999999999969</v>
      </c>
      <c r="BE99" s="13">
        <f>BD99*VLOOKUP('Données projet'!$B$11,Paramètres!$A$1:$I$89,3,0)*VLOOKUP('Données projet'!$B$11,Paramètres!$A$1:$I$89,5,0)</f>
        <v>269.68343999999968</v>
      </c>
      <c r="BF99" s="13">
        <f t="shared" si="91"/>
        <v>64.782082680148662</v>
      </c>
      <c r="BG99" s="20">
        <f t="shared" si="61"/>
        <v>582.52745200125833</v>
      </c>
      <c r="BH99" s="59">
        <f t="shared" si="62"/>
        <v>875.86078533459158</v>
      </c>
      <c r="BI99" s="59">
        <f ca="1">AVERAGE(OFFSET($BH$3,0,0,'Données projet'!$E$11+1,1))-AVERAGE(OFFSET($H$3,0,0,'Données projet'!$E$11+1,1))</f>
        <v>438.62466697107681</v>
      </c>
      <c r="BJ99" s="59">
        <f t="shared" si="92"/>
        <v>241.18285512887627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-1.1368683772161603E-13</v>
      </c>
      <c r="BZ99" s="13">
        <f>BY99*VLOOKUP('Données projet'!$B$12,Paramètres!$A$1:$I$89,3,0)*VLOOKUP('Données projet'!$B$12,Paramètres!$A$1:$I$89,5,0)</f>
        <v>-6.5028871176764376E-14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308.33000350259448</v>
      </c>
      <c r="CE99" s="59">
        <f t="shared" si="94"/>
        <v>282.64839194267171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102.07654012495244</v>
      </c>
      <c r="CL99" s="21">
        <f>EXP(-LN(2)/25)*CL98+(1-EXP(-LN(2)/25))/(LN(2)/25)*Calculateur!CG99*Calculateur!CI99*VLOOKUP('Données projet'!$B$12,Paramètres!$A$1:$I$89,3,0)*0.475*44/12</f>
        <v>23.7217889668369</v>
      </c>
      <c r="CM99" s="21">
        <f>EXP(-LN(2)/2)*CM98+(1-EXP(-LN(2)/2))/(LN(2)/2)*CG99*CJ99*VLOOKUP('Données projet'!$B$12,Paramètres!$A$1:$I$89,3,0)*0.475*44/12</f>
        <v>0.2859533702863748</v>
      </c>
      <c r="CN99" s="22">
        <f t="shared" si="66"/>
        <v>126.08428246207572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3.7999999999999994</v>
      </c>
      <c r="CT99" s="12">
        <f>IF('Données projet'!$A$140&gt;35,CT98+CS99-DB98,IF(A99&lt;'Données projet'!$A$140,$CQ$205^A99,IF(A99='Données projet'!$A$140,'Données projet'!$B$140,CT98+CS99-DB98)))</f>
        <v>145.99999999999997</v>
      </c>
      <c r="CU99" s="17">
        <f>CT99*VLOOKUP('Données projet'!$B$13,Paramètres!$A$1:$I$89,3,0)*VLOOKUP('Données projet'!$B$13,Paramètres!$A$1:$I$89,5,0)</f>
        <v>166.26479999999995</v>
      </c>
      <c r="CV99" s="13">
        <f t="shared" si="95"/>
        <v>42.25238443185922</v>
      </c>
      <c r="CW99" s="20">
        <f t="shared" si="67"/>
        <v>363.16742955215472</v>
      </c>
      <c r="CX99" s="59">
        <f t="shared" si="68"/>
        <v>656.50076288548803</v>
      </c>
      <c r="CY99" s="59">
        <f ca="1">AVERAGE(OFFSET($CX$3,0,0,'Données projet'!$E$13+1,1))-AVERAGE(OFFSET($H$3,0,0,'Données projet'!$E$13+1,1))</f>
        <v>330.87173217110126</v>
      </c>
      <c r="CZ99" s="59">
        <f t="shared" si="96"/>
        <v>200.52697135436102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27.683546059518427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27.683546059518427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4.75</v>
      </c>
      <c r="N100" s="13">
        <f>IF('Données projet'!$A$36&gt;35,N99+M100-V99,IF(A100&lt;'Données projet'!$A$36,$K$205^A100,IF(A100='Données projet'!$A$36,'Données projet'!$B$36,N99+M100-V99)))</f>
        <v>187.24999999999991</v>
      </c>
      <c r="O100" s="13">
        <f>N100*VLOOKUP('Données projet'!$B$9,Paramètres!$A$1:$I$89,3,0)*VLOOKUP('Données projet'!$B$9,Paramètres!$A$1:$I$89,5,0)</f>
        <v>169.42379999999991</v>
      </c>
      <c r="P100" s="13">
        <f t="shared" si="87"/>
        <v>42.960948463994995</v>
      </c>
      <c r="Q100" s="20">
        <f t="shared" si="107"/>
        <v>369.90343690812443</v>
      </c>
      <c r="R100" s="59">
        <f t="shared" si="55"/>
        <v>663.23677024145775</v>
      </c>
      <c r="S100" s="59">
        <f ca="1">AVERAGE(OFFSET($R$3,0,0,'Données projet'!$E$9+1,1))-AVERAGE(OFFSET($H$3,0,0,'Données projet'!$E$9+1,1))</f>
        <v>328.8796193543036</v>
      </c>
      <c r="T100" s="59">
        <f t="shared" si="88"/>
        <v>199.43308683696642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26.954793479144698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26.954793479144698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351.77274930064431</v>
      </c>
      <c r="AO100" s="59">
        <f t="shared" si="90"/>
        <v>386.10758060007078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80.455687538996557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80.455687538996557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288.29999999999967</v>
      </c>
      <c r="BE100" s="13">
        <f>BD100*VLOOKUP('Données projet'!$B$11,Paramètres!$A$1:$I$89,3,0)*VLOOKUP('Données projet'!$B$11,Paramètres!$A$1:$I$89,5,0)</f>
        <v>274.34627999999969</v>
      </c>
      <c r="BF100" s="13">
        <f t="shared" si="91"/>
        <v>65.770800574515619</v>
      </c>
      <c r="BG100" s="20">
        <f t="shared" si="61"/>
        <v>592.37058200061415</v>
      </c>
      <c r="BH100" s="59">
        <f t="shared" si="62"/>
        <v>885.70391533394741</v>
      </c>
      <c r="BI100" s="59">
        <f ca="1">AVERAGE(OFFSET($BH$3,0,0,'Données projet'!$E$11+1,1))-AVERAGE(OFFSET($H$3,0,0,'Données projet'!$E$11+1,1))</f>
        <v>438.62466697107681</v>
      </c>
      <c r="BJ100" s="59">
        <f t="shared" si="92"/>
        <v>241.18285512887627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-1.1368683772161603E-13</v>
      </c>
      <c r="BZ100" s="13">
        <f>BY100*VLOOKUP('Données projet'!$B$12,Paramètres!$A$1:$I$89,3,0)*VLOOKUP('Données projet'!$B$12,Paramètres!$A$1:$I$89,5,0)</f>
        <v>-6.5028871176764376E-14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308.33000350259448</v>
      </c>
      <c r="CE100" s="59">
        <f t="shared" si="94"/>
        <v>282.64839194267171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100.07488143364388</v>
      </c>
      <c r="CL100" s="21">
        <f>EXP(-LN(2)/25)*CL99+(1-EXP(-LN(2)/25))/(LN(2)/25)*Calculateur!CG100*Calculateur!CI100*VLOOKUP('Données projet'!$B$12,Paramètres!$A$1:$I$89,3,0)*0.475*44/12</f>
        <v>23.073115400064079</v>
      </c>
      <c r="CM100" s="21">
        <f>EXP(-LN(2)/2)*CM99+(1-EXP(-LN(2)/2))/(LN(2)/2)*CG100*CJ100*VLOOKUP('Données projet'!$B$12,Paramètres!$A$1:$I$89,3,0)*0.475*44/12</f>
        <v>0.20219956723264343</v>
      </c>
      <c r="CN100" s="22">
        <f t="shared" si="66"/>
        <v>123.3501964009406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3.7999999999999994</v>
      </c>
      <c r="CT100" s="12">
        <f>IF('Données projet'!$A$140&gt;35,CT99+CS100-DB99,IF(A100&lt;'Données projet'!$A$140,$CQ$205^A100,IF(A100='Données projet'!$A$140,'Données projet'!$B$140,CT99+CS100-DB99)))</f>
        <v>149.79999999999998</v>
      </c>
      <c r="CU100" s="17">
        <f>CT100*VLOOKUP('Données projet'!$B$13,Paramètres!$A$1:$I$89,3,0)*VLOOKUP('Données projet'!$B$13,Paramètres!$A$1:$I$89,5,0)</f>
        <v>170.59223999999998</v>
      </c>
      <c r="CV100" s="13">
        <f t="shared" si="95"/>
        <v>43.2226387850123</v>
      </c>
      <c r="CW100" s="20">
        <f t="shared" si="67"/>
        <v>372.39424721722975</v>
      </c>
      <c r="CX100" s="59">
        <f t="shared" si="68"/>
        <v>665.72758055056306</v>
      </c>
      <c r="CY100" s="59">
        <f ca="1">AVERAGE(OFFSET($CX$3,0,0,'Données projet'!$E$13+1,1))-AVERAGE(OFFSET($H$3,0,0,'Données projet'!$E$13+1,1))</f>
        <v>330.87173217110126</v>
      </c>
      <c r="CZ100" s="59">
        <f t="shared" si="96"/>
        <v>200.52697135436102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27.140688606587084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27.140688606587084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4.75</v>
      </c>
      <c r="N101" s="13">
        <f>IF('Données projet'!$A$36&gt;35,N100+M101-V100,IF(A101&lt;'Données projet'!$A$36,$K$205^A101,IF(A101='Données projet'!$A$36,'Données projet'!$B$36,N100+M101-V100)))</f>
        <v>191.99999999999991</v>
      </c>
      <c r="O101" s="13">
        <f>N101*VLOOKUP('Données projet'!$B$9,Paramètres!$A$1:$I$89,3,0)*VLOOKUP('Données projet'!$B$9,Paramètres!$A$1:$I$89,5,0)</f>
        <v>173.72159999999991</v>
      </c>
      <c r="P101" s="13">
        <f t="shared" si="87"/>
        <v>43.922484755075111</v>
      </c>
      <c r="Q101" s="20">
        <f t="shared" si="107"/>
        <v>379.06344761508899</v>
      </c>
      <c r="R101" s="59">
        <f t="shared" si="55"/>
        <v>672.39678094842225</v>
      </c>
      <c r="S101" s="59">
        <f ca="1">AVERAGE(OFFSET($R$3,0,0,'Données projet'!$E$9+1,1))-AVERAGE(OFFSET($H$3,0,0,'Données projet'!$E$9+1,1))</f>
        <v>328.8796193543036</v>
      </c>
      <c r="T101" s="59">
        <f t="shared" si="88"/>
        <v>199.43308683696642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26.426226419819297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26.426226419819297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351.77274930064431</v>
      </c>
      <c r="AO101" s="59">
        <f t="shared" si="90"/>
        <v>386.10758060007078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78.87800057948067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78.87800057948067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293.19999999999965</v>
      </c>
      <c r="BE101" s="13">
        <f>BD101*VLOOKUP('Données projet'!$B$11,Paramètres!$A$1:$I$89,3,0)*VLOOKUP('Données projet'!$B$11,Paramètres!$A$1:$I$89,5,0)</f>
        <v>279.00911999999965</v>
      </c>
      <c r="BF101" s="13">
        <f t="shared" si="91"/>
        <v>66.757564267146137</v>
      </c>
      <c r="BG101" s="20">
        <f t="shared" si="61"/>
        <v>602.21030843194558</v>
      </c>
      <c r="BH101" s="59">
        <f t="shared" si="62"/>
        <v>895.54364176527884</v>
      </c>
      <c r="BI101" s="59">
        <f ca="1">AVERAGE(OFFSET($BH$3,0,0,'Données projet'!$E$11+1,1))-AVERAGE(OFFSET($H$3,0,0,'Données projet'!$E$11+1,1))</f>
        <v>438.62466697107681</v>
      </c>
      <c r="BJ101" s="59">
        <f t="shared" si="92"/>
        <v>241.18285512887627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-1.1368683772161603E-13</v>
      </c>
      <c r="BZ101" s="13">
        <f>BY101*VLOOKUP('Données projet'!$B$12,Paramètres!$A$1:$I$89,3,0)*VLOOKUP('Données projet'!$B$12,Paramètres!$A$1:$I$89,5,0)</f>
        <v>-6.5028871176764376E-14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308.33000350259448</v>
      </c>
      <c r="CE101" s="59">
        <f t="shared" si="94"/>
        <v>282.64839194267171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98.112474048380633</v>
      </c>
      <c r="CL101" s="21">
        <f>EXP(-LN(2)/25)*CL100+(1-EXP(-LN(2)/25))/(LN(2)/25)*Calculateur!CG101*Calculateur!CI101*VLOOKUP('Données projet'!$B$12,Paramètres!$A$1:$I$89,3,0)*0.475*44/12</f>
        <v>22.442179846086923</v>
      </c>
      <c r="CM101" s="21">
        <f>EXP(-LN(2)/2)*CM100+(1-EXP(-LN(2)/2))/(LN(2)/2)*CG101*CJ101*VLOOKUP('Données projet'!$B$12,Paramètres!$A$1:$I$89,3,0)*0.475*44/12</f>
        <v>0.1429766851431874</v>
      </c>
      <c r="CN101" s="22">
        <f t="shared" si="66"/>
        <v>120.69763057961073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3.7999999999999994</v>
      </c>
      <c r="CT101" s="12">
        <f>IF('Données projet'!$A$140&gt;35,CT100+CS101-DB100,IF(A101&lt;'Données projet'!$A$140,$CQ$205^A101,IF(A101='Données projet'!$A$140,'Données projet'!$B$140,CT100+CS101-DB100)))</f>
        <v>153.6</v>
      </c>
      <c r="CU101" s="17">
        <f>CT101*VLOOKUP('Données projet'!$B$13,Paramètres!$A$1:$I$89,3,0)*VLOOKUP('Données projet'!$B$13,Paramètres!$A$1:$I$89,5,0)</f>
        <v>174.91968</v>
      </c>
      <c r="CV101" s="13">
        <f t="shared" si="95"/>
        <v>44.190032133482418</v>
      </c>
      <c r="CW101" s="20">
        <f t="shared" si="67"/>
        <v>381.61608196581523</v>
      </c>
      <c r="CX101" s="59">
        <f t="shared" si="68"/>
        <v>674.94941529914854</v>
      </c>
      <c r="CY101" s="59">
        <f ca="1">AVERAGE(OFFSET($CX$3,0,0,'Données projet'!$E$13+1,1))-AVERAGE(OFFSET($H$3,0,0,'Données projet'!$E$13+1,1))</f>
        <v>330.87173217110126</v>
      </c>
      <c r="CZ101" s="59">
        <f t="shared" si="96"/>
        <v>200.52697135436102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26.608476257197371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26.608476257197371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4.75</v>
      </c>
      <c r="N102" s="13">
        <f>IF('Données projet'!$A$36&gt;35,N101+M102-V101,IF(A102&lt;'Données projet'!$A$36,$K$205^A102,IF(A102='Données projet'!$A$36,'Données projet'!$B$36,N101+M102-V101)))</f>
        <v>196.74999999999991</v>
      </c>
      <c r="O102" s="13">
        <f>N102*VLOOKUP('Données projet'!$B$9,Paramètres!$A$1:$I$89,3,0)*VLOOKUP('Données projet'!$B$9,Paramètres!$A$1:$I$89,5,0)</f>
        <v>178.01939999999991</v>
      </c>
      <c r="P102" s="13">
        <f t="shared" si="87"/>
        <v>44.881255807003228</v>
      </c>
      <c r="Q102" s="20">
        <f t="shared" si="107"/>
        <v>388.21864219719714</v>
      </c>
      <c r="R102" s="59">
        <f t="shared" si="55"/>
        <v>681.5519755305304</v>
      </c>
      <c r="S102" s="59">
        <f ca="1">AVERAGE(OFFSET($R$3,0,0,'Données projet'!$E$9+1,1))-AVERAGE(OFFSET($H$3,0,0,'Données projet'!$E$9+1,1))</f>
        <v>328.8796193543036</v>
      </c>
      <c r="T102" s="59">
        <f t="shared" si="88"/>
        <v>199.43308683696642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25.908024238133198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25.908024238133198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351.77274930064431</v>
      </c>
      <c r="AO102" s="59">
        <f t="shared" si="90"/>
        <v>386.10758060007078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77.331251098946851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77.331251098946851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298.09999999999962</v>
      </c>
      <c r="BE102" s="13">
        <f>BD102*VLOOKUP('Données projet'!$B$11,Paramètres!$A$1:$I$89,3,0)*VLOOKUP('Données projet'!$B$11,Paramètres!$A$1:$I$89,5,0)</f>
        <v>283.67195999999967</v>
      </c>
      <c r="BF102" s="13">
        <f t="shared" si="91"/>
        <v>67.742410186409387</v>
      </c>
      <c r="BG102" s="20">
        <f t="shared" si="61"/>
        <v>612.04669474132913</v>
      </c>
      <c r="BH102" s="59">
        <f t="shared" si="62"/>
        <v>905.3800280746625</v>
      </c>
      <c r="BI102" s="59">
        <f ca="1">AVERAGE(OFFSET($BH$3,0,0,'Données projet'!$E$11+1,1))-AVERAGE(OFFSET($H$3,0,0,'Données projet'!$E$11+1,1))</f>
        <v>438.62466697107681</v>
      </c>
      <c r="BJ102" s="59">
        <f t="shared" si="92"/>
        <v>241.18285512887627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-1.1368683772161603E-13</v>
      </c>
      <c r="BZ102" s="13">
        <f>BY102*VLOOKUP('Données projet'!$B$12,Paramètres!$A$1:$I$89,3,0)*VLOOKUP('Données projet'!$B$12,Paramètres!$A$1:$I$89,5,0)</f>
        <v>-6.5028871176764376E-14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308.33000350259448</v>
      </c>
      <c r="CE102" s="59">
        <f t="shared" si="94"/>
        <v>282.64839194267171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96.188548274992087</v>
      </c>
      <c r="CL102" s="21">
        <f>EXP(-LN(2)/25)*CL101+(1-EXP(-LN(2)/25))/(LN(2)/25)*Calculateur!CG102*Calculateur!CI102*VLOOKUP('Données projet'!$B$12,Paramètres!$A$1:$I$89,3,0)*0.475*44/12</f>
        <v>21.828497258012732</v>
      </c>
      <c r="CM102" s="21">
        <f>EXP(-LN(2)/2)*CM101+(1-EXP(-LN(2)/2))/(LN(2)/2)*CG102*CJ102*VLOOKUP('Données projet'!$B$12,Paramètres!$A$1:$I$89,3,0)*0.475*44/12</f>
        <v>0.10109978361632171</v>
      </c>
      <c r="CN102" s="22">
        <f t="shared" si="66"/>
        <v>118.11814531662114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3.7999999999999994</v>
      </c>
      <c r="CT102" s="12">
        <f>IF('Données projet'!$A$140&gt;35,CT101+CS102-DB101,IF(A102&lt;'Données projet'!$A$140,$CQ$205^A102,IF(A102='Données projet'!$A$140,'Données projet'!$B$140,CT101+CS102-DB101)))</f>
        <v>157.4</v>
      </c>
      <c r="CU102" s="17">
        <f>CT102*VLOOKUP('Données projet'!$B$13,Paramètres!$A$1:$I$89,3,0)*VLOOKUP('Données projet'!$B$13,Paramètres!$A$1:$I$89,5,0)</f>
        <v>179.24712</v>
      </c>
      <c r="CV102" s="13">
        <f t="shared" si="95"/>
        <v>45.154643398751574</v>
      </c>
      <c r="CW102" s="20">
        <f t="shared" si="67"/>
        <v>390.83307125282568</v>
      </c>
      <c r="CX102" s="59">
        <f t="shared" si="68"/>
        <v>684.16640458615893</v>
      </c>
      <c r="CY102" s="59">
        <f ca="1">AVERAGE(OFFSET($CX$3,0,0,'Données projet'!$E$13+1,1))-AVERAGE(OFFSET($H$3,0,0,'Données projet'!$E$13+1,1))</f>
        <v>330.87173217110126</v>
      </c>
      <c r="CZ102" s="59">
        <f t="shared" si="96"/>
        <v>200.52697135436102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26.08670026736171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26.08670026736171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4.75</v>
      </c>
      <c r="N103" s="13">
        <f>IF('Données projet'!$A$36&gt;35,N102+M103-V102,IF(A103&lt;'Données projet'!$A$36,$K$205^A103,IF(A103='Données projet'!$A$36,'Données projet'!$B$36,N102+M103-V102)))</f>
        <v>201.49999999999991</v>
      </c>
      <c r="O103" s="13">
        <f>N103*VLOOKUP('Données projet'!$B$9,Paramètres!$A$1:$I$89,3,0)*VLOOKUP('Données projet'!$B$9,Paramètres!$A$1:$I$89,5,0)</f>
        <v>182.31719999999993</v>
      </c>
      <c r="P103" s="13">
        <f t="shared" si="87"/>
        <v>45.83733605982632</v>
      </c>
      <c r="Q103" s="20">
        <f t="shared" si="107"/>
        <v>397.36915030419732</v>
      </c>
      <c r="R103" s="59">
        <f t="shared" si="55"/>
        <v>690.70248363753058</v>
      </c>
      <c r="S103" s="59">
        <f ca="1">AVERAGE(OFFSET($R$3,0,0,'Données projet'!$E$9+1,1))-AVERAGE(OFFSET($H$3,0,0,'Données projet'!$E$9+1,1))</f>
        <v>328.8796193543036</v>
      </c>
      <c r="T103" s="59">
        <f t="shared" si="88"/>
        <v>199.43308683696642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25.399983685157839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25.399983685157839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351.77274930064431</v>
      </c>
      <c r="AO103" s="59">
        <f t="shared" si="90"/>
        <v>386.10758060007078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75.814832432302282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75.814832432302282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302.9999999999996</v>
      </c>
      <c r="BE103" s="13">
        <f>BD103*VLOOKUP('Données projet'!$B$11,Paramètres!$A$1:$I$89,3,0)*VLOOKUP('Données projet'!$B$11,Paramètres!$A$1:$I$89,5,0)</f>
        <v>288.33479999999963</v>
      </c>
      <c r="BF103" s="13">
        <f t="shared" si="91"/>
        <v>68.725373494438841</v>
      </c>
      <c r="BG103" s="20">
        <f t="shared" si="61"/>
        <v>621.87980216948029</v>
      </c>
      <c r="BH103" s="59">
        <f t="shared" si="62"/>
        <v>915.21313550281366</v>
      </c>
      <c r="BI103" s="59">
        <f ca="1">AVERAGE(OFFSET($BH$3,0,0,'Données projet'!$E$11+1,1))-AVERAGE(OFFSET($H$3,0,0,'Données projet'!$E$11+1,1))</f>
        <v>438.62466697107681</v>
      </c>
      <c r="BJ103" s="59">
        <f t="shared" si="92"/>
        <v>241.18285512887627</v>
      </c>
      <c r="BK103" s="15">
        <f>IF(ISNA(VLOOKUP(A103,'Données projet'!$A$87:$I$107,3,0)),0,VLOOKUP(A103,'Données projet'!$A$87:$I$107,3,0))</f>
        <v>15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-1.1368683772161603E-13</v>
      </c>
      <c r="BZ103" s="13">
        <f>BY103*VLOOKUP('Données projet'!$B$12,Paramètres!$A$1:$I$89,3,0)*VLOOKUP('Données projet'!$B$12,Paramètres!$A$1:$I$89,5,0)</f>
        <v>-6.5028871176764376E-14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308.33000350259448</v>
      </c>
      <c r="CE103" s="59">
        <f t="shared" si="94"/>
        <v>282.64839194267171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94.302349512540829</v>
      </c>
      <c r="CL103" s="21">
        <f>EXP(-LN(2)/25)*CL102+(1-EXP(-LN(2)/25))/(LN(2)/25)*Calculateur!CG103*Calculateur!CI103*VLOOKUP('Données projet'!$B$12,Paramètres!$A$1:$I$89,3,0)*0.475*44/12</f>
        <v>21.231595852581592</v>
      </c>
      <c r="CM103" s="21">
        <f>EXP(-LN(2)/2)*CM102+(1-EXP(-LN(2)/2))/(LN(2)/2)*CG103*CJ103*VLOOKUP('Données projet'!$B$12,Paramètres!$A$1:$I$89,3,0)*0.475*44/12</f>
        <v>7.1488342571593699E-2</v>
      </c>
      <c r="CN103" s="22">
        <f t="shared" si="66"/>
        <v>115.60543370769402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3.7999999999999994</v>
      </c>
      <c r="CT103" s="12">
        <f>IF('Données projet'!$A$140&gt;35,CT102+CS103-DB102,IF(A103&lt;'Données projet'!$A$140,$CQ$205^A103,IF(A103='Données projet'!$A$140,'Données projet'!$B$140,CT102+CS103-DB102)))</f>
        <v>161.20000000000002</v>
      </c>
      <c r="CU103" s="17">
        <f>CT103*VLOOKUP('Données projet'!$B$13,Paramètres!$A$1:$I$89,3,0)*VLOOKUP('Données projet'!$B$13,Paramètres!$A$1:$I$89,5,0)</f>
        <v>183.57456000000002</v>
      </c>
      <c r="CV103" s="13">
        <f t="shared" si="95"/>
        <v>46.116547474307289</v>
      </c>
      <c r="CW103" s="20">
        <f t="shared" si="67"/>
        <v>400.04534551775185</v>
      </c>
      <c r="CX103" s="59">
        <f t="shared" si="68"/>
        <v>693.37867885108517</v>
      </c>
      <c r="CY103" s="59">
        <f ca="1">AVERAGE(OFFSET($CX$3,0,0,'Données projet'!$E$13+1,1))-AVERAGE(OFFSET($H$3,0,0,'Données projet'!$E$13+1,1))</f>
        <v>330.87173217110126</v>
      </c>
      <c r="CZ103" s="59">
        <f t="shared" si="96"/>
        <v>200.52697135436102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25.575155986434797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25.575155986434797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4.75</v>
      </c>
      <c r="N104" s="13">
        <f>IF('Données projet'!$A$36&gt;35,N103+M104-V103,IF(A104&lt;'Données projet'!$A$36,$K$205^A104,IF(A104='Données projet'!$A$36,'Données projet'!$B$36,N103+M104-V103)))</f>
        <v>206.24999999999991</v>
      </c>
      <c r="O104" s="13">
        <f>N104*VLOOKUP('Données projet'!$B$9,Paramètres!$A$1:$I$89,3,0)*VLOOKUP('Données projet'!$B$9,Paramètres!$A$1:$I$89,5,0)</f>
        <v>186.61499999999992</v>
      </c>
      <c r="P104" s="13">
        <f t="shared" si="87"/>
        <v>46.790796243809559</v>
      </c>
      <c r="Q104" s="20">
        <f t="shared" si="107"/>
        <v>406.51509512463485</v>
      </c>
      <c r="R104" s="59">
        <f t="shared" si="55"/>
        <v>699.84842845796811</v>
      </c>
      <c r="S104" s="59">
        <f ca="1">AVERAGE(OFFSET($R$3,0,0,'Données projet'!$E$9+1,1))-AVERAGE(OFFSET($H$3,0,0,'Données projet'!$E$9+1,1))</f>
        <v>328.8796193543036</v>
      </c>
      <c r="T104" s="59">
        <f t="shared" si="88"/>
        <v>199.43308683696642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24.901905497552189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24.901905497552189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351.77274930064431</v>
      </c>
      <c r="AO104" s="59">
        <f t="shared" si="90"/>
        <v>386.10758060007078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74.328149810786556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74.328149810786556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265.39999999999958</v>
      </c>
      <c r="BE104" s="13">
        <f>BD104*VLOOKUP('Données projet'!$B$11,Paramètres!$A$1:$I$89,3,0)*VLOOKUP('Données projet'!$B$11,Paramètres!$A$1:$I$89,5,0)</f>
        <v>252.55463999999961</v>
      </c>
      <c r="BF104" s="13">
        <f t="shared" si="91"/>
        <v>61.132654455470018</v>
      </c>
      <c r="BG104" s="20">
        <f t="shared" si="61"/>
        <v>546.33870450994289</v>
      </c>
      <c r="BH104" s="59">
        <f t="shared" si="62"/>
        <v>839.67203784327626</v>
      </c>
      <c r="BI104" s="59">
        <f ca="1">AVERAGE(OFFSET($BH$3,0,0,'Données projet'!$E$11+1,1))-AVERAGE(OFFSET($H$3,0,0,'Données projet'!$E$11+1,1))</f>
        <v>438.62466697107681</v>
      </c>
      <c r="BJ104" s="59">
        <f t="shared" si="92"/>
        <v>241.18285512887627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-6.5028871176764376E-14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308.33000350259448</v>
      </c>
      <c r="CE104" s="59">
        <f t="shared" si="94"/>
        <v>282.64839194267171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92.453137957353604</v>
      </c>
      <c r="CL104" s="21">
        <f>EXP(-LN(2)/25)*CL103+(1-EXP(-LN(2)/25))/(LN(2)/25)*Calculateur!CG104*Calculateur!CI104*VLOOKUP('Données projet'!$B$12,Paramètres!$A$1:$I$89,3,0)*0.475*44/12</f>
        <v>20.651016747471648</v>
      </c>
      <c r="CM104" s="21">
        <f>EXP(-LN(2)/2)*CM103+(1-EXP(-LN(2)/2))/(LN(2)/2)*CG104*CJ104*VLOOKUP('Données projet'!$B$12,Paramètres!$A$1:$I$89,3,0)*0.475*44/12</f>
        <v>5.0549891808160857E-2</v>
      </c>
      <c r="CN104" s="22">
        <f t="shared" si="66"/>
        <v>113.15470459663341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3.7999999999999994</v>
      </c>
      <c r="CT104" s="12">
        <f>IF('Données projet'!$A$140&gt;35,CT103+CS104-DB103,IF(A104&lt;'Données projet'!$A$140,$CQ$205^A104,IF(A104='Données projet'!$A$140,'Données projet'!$B$140,CT103+CS104-DB103)))</f>
        <v>165.00000000000003</v>
      </c>
      <c r="CU104" s="17">
        <f>CT104*VLOOKUP('Données projet'!$B$13,Paramètres!$A$1:$I$89,3,0)*VLOOKUP('Données projet'!$B$13,Paramètres!$A$1:$I$89,5,0)</f>
        <v>187.90200000000004</v>
      </c>
      <c r="CV104" s="13">
        <f t="shared" si="95"/>
        <v>47.075815521257859</v>
      </c>
      <c r="CW104" s="20">
        <f t="shared" si="67"/>
        <v>409.25302869952412</v>
      </c>
      <c r="CX104" s="59">
        <f t="shared" si="68"/>
        <v>702.58636203285744</v>
      </c>
      <c r="CY104" s="59">
        <f ca="1">AVERAGE(OFFSET($CX$3,0,0,'Données projet'!$E$13+1,1))-AVERAGE(OFFSET($H$3,0,0,'Données projet'!$E$13+1,1))</f>
        <v>330.87173217110126</v>
      </c>
      <c r="CZ104" s="59">
        <f t="shared" si="96"/>
        <v>200.52697135436102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25.073642776845659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25.073642776845659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>
        <f>VLOOKUP(A105,'Données projet'!$A$35:$I$55,2,0)</f>
        <v>211</v>
      </c>
      <c r="L105" s="12">
        <f>VLOOKUP(A105,'Données projet'!$A$35:$I$55,9,0)</f>
        <v>4.75</v>
      </c>
      <c r="M105" s="12">
        <f t="array" ref="M105">INDEX(L:L,MIN(IF(ISNUMBER(L105:L301),ROW(L105:L301),"")))</f>
        <v>4.75</v>
      </c>
      <c r="N105" s="13">
        <f>IF('Données projet'!$A$36&gt;35,N104+M105-V104,IF(A105&lt;'Données projet'!$A$36,$K$205^A105,IF(A105='Données projet'!$A$36,'Données projet'!$B$36,N104+M105-V104)))</f>
        <v>210.99999999999991</v>
      </c>
      <c r="O105" s="13">
        <f>N105*VLOOKUP('Données projet'!$B$9,Paramètres!$A$1:$I$89,3,0)*VLOOKUP('Données projet'!$B$9,Paramètres!$A$1:$I$89,5,0)</f>
        <v>190.91279999999992</v>
      </c>
      <c r="P105" s="13">
        <f t="shared" si="87"/>
        <v>47.741703645431606</v>
      </c>
      <c r="Q105" s="20">
        <f t="shared" si="107"/>
        <v>415.65659384912652</v>
      </c>
      <c r="R105" s="59">
        <f t="shared" si="55"/>
        <v>708.98992718245984</v>
      </c>
      <c r="S105" s="59">
        <f ca="1">AVERAGE(OFFSET($R$3,0,0,'Données projet'!$E$9+1,1))-AVERAGE(OFFSET($H$3,0,0,'Données projet'!$E$9+1,1))</f>
        <v>328.8796193543036</v>
      </c>
      <c r="T105" s="59">
        <f t="shared" si="88"/>
        <v>199.43308683696642</v>
      </c>
      <c r="U105" s="15">
        <f>IF(ISNA(VLOOKUP(A105,'Données projet'!$A$35:$I$55,3,0)),0,VLOOKUP(A105,'Données projet'!$A$35:$I$55,3,0))</f>
        <v>8</v>
      </c>
      <c r="V105" s="15">
        <f>IF(ISNA(VLOOKUP(A105,'Données projet'!$A$35:$I$55,4,0)),0,VLOOKUP(A105,'Données projet'!$A$35:$I$55,4,0))</f>
        <v>41</v>
      </c>
      <c r="W105" s="16">
        <f>IF(ISNA(VLOOKUP(A105,'Données projet'!$A$35:$I$55,5,0)),0%,VLOOKUP(A105,'Données projet'!$A$35:$I$55,5,0)*VLOOKUP('Données projet'!$B$9,Paramètres!$A$1:$I$89,7,0))</f>
        <v>0.38700000000000001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40.284237373110017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40.284237373110017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351.77274930064431</v>
      </c>
      <c r="AO105" s="59">
        <f t="shared" si="90"/>
        <v>386.10758060007078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72.870620128691883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72.870620128691883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269.79999999999956</v>
      </c>
      <c r="BE105" s="13">
        <f>BD105*VLOOKUP('Données projet'!$B$11,Paramètres!$A$1:$I$89,3,0)*VLOOKUP('Données projet'!$B$11,Paramètres!$A$1:$I$89,5,0)</f>
        <v>256.74167999999958</v>
      </c>
      <c r="BF105" s="13">
        <f t="shared" si="91"/>
        <v>62.027326852695658</v>
      </c>
      <c r="BG105" s="20">
        <f t="shared" si="61"/>
        <v>555.1893536017775</v>
      </c>
      <c r="BH105" s="59">
        <f t="shared" si="62"/>
        <v>848.52268693511087</v>
      </c>
      <c r="BI105" s="59">
        <f ca="1">AVERAGE(OFFSET($BH$3,0,0,'Données projet'!$E$11+1,1))-AVERAGE(OFFSET($H$3,0,0,'Données projet'!$E$11+1,1))</f>
        <v>438.62466697107681</v>
      </c>
      <c r="BJ105" s="59">
        <f t="shared" si="92"/>
        <v>241.18285512887627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-6.5028871176764376E-14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308.33000350259448</v>
      </c>
      <c r="CE105" s="59">
        <f t="shared" si="94"/>
        <v>282.64839194267171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90.640188312855926</v>
      </c>
      <c r="CL105" s="21">
        <f>EXP(-LN(2)/25)*CL104+(1-EXP(-LN(2)/25))/(LN(2)/25)*Calculateur!CG105*Calculateur!CI105*VLOOKUP('Données projet'!$B$12,Paramètres!$A$1:$I$89,3,0)*0.475*44/12</f>
        <v>20.086313608522264</v>
      </c>
      <c r="CM105" s="21">
        <f>EXP(-LN(2)/2)*CM104+(1-EXP(-LN(2)/2))/(LN(2)/2)*CG105*CJ105*VLOOKUP('Données projet'!$B$12,Paramètres!$A$1:$I$89,3,0)*0.475*44/12</f>
        <v>3.574417128579685E-2</v>
      </c>
      <c r="CN105" s="22">
        <f t="shared" si="66"/>
        <v>110.76224609266399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>
        <f>VLOOKUP(A105,'Données projet'!$A$139:$I$159,2,0)</f>
        <v>168.8</v>
      </c>
      <c r="CR105" s="12">
        <f>VLOOKUP(A105,'Données projet'!$A$139:$I$159,9,0)</f>
        <v>3.7999999999999994</v>
      </c>
      <c r="CS105" s="12">
        <f t="array" ref="CS105">INDEX(CR:CR,MIN(IF(ISNUMBER(CR105:CR301),ROW(CR105:CR301),"")))</f>
        <v>3.7999999999999994</v>
      </c>
      <c r="CT105" s="12">
        <f>IF('Données projet'!$A$140&gt;35,CT104+CS105-DB104,IF(A105&lt;'Données projet'!$A$140,$CQ$205^A105,IF(A105='Données projet'!$A$140,'Données projet'!$B$140,CT104+CS105-DB104)))</f>
        <v>168.80000000000004</v>
      </c>
      <c r="CU105" s="17">
        <f>CT105*VLOOKUP('Données projet'!$B$13,Paramètres!$A$1:$I$89,3,0)*VLOOKUP('Données projet'!$B$13,Paramètres!$A$1:$I$89,5,0)</f>
        <v>192.22944000000007</v>
      </c>
      <c r="CV105" s="13">
        <f t="shared" si="95"/>
        <v>48.032515235947507</v>
      </c>
      <c r="CW105" s="20">
        <f t="shared" si="67"/>
        <v>418.45623870260869</v>
      </c>
      <c r="CX105" s="59">
        <f t="shared" si="68"/>
        <v>711.789572035942</v>
      </c>
      <c r="CY105" s="59">
        <f ca="1">AVERAGE(OFFSET($CX$3,0,0,'Données projet'!$E$13+1,1))-AVERAGE(OFFSET($H$3,0,0,'Données projet'!$E$13+1,1))</f>
        <v>330.87173217110126</v>
      </c>
      <c r="CZ105" s="59">
        <f t="shared" si="96"/>
        <v>200.52697135436102</v>
      </c>
      <c r="DA105" s="15">
        <f>IF(ISNA(VLOOKUP(A105,'Données projet'!$A$139:$I$159,3,0)),0,VLOOKUP(A105,'Données projet'!$A$139:$I$159,3,0))</f>
        <v>8</v>
      </c>
      <c r="DB105" s="15">
        <f>IF(ISNA(VLOOKUP(A105,'Données projet'!$A$139:$I$159,4,0)),0,VLOOKUP(A105,'Données projet'!$A$139:$I$159,4,0))</f>
        <v>32.800000000000004</v>
      </c>
      <c r="DC105" s="16">
        <f>IF(ISNA(VLOOKUP(A105,'Données projet'!$A$139:$I$159,5,0)),0%,VLOOKUP(A105,'Données projet'!$A$139:$I$159,5,0)*VLOOKUP('Données projet'!$B$13,Paramètres!$A$1:$I$89,7,0))</f>
        <v>0.38700000000000001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40.56205969982112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40.56205969982112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4.583333333333333</v>
      </c>
      <c r="N106" s="13">
        <f>IF('Données projet'!$A$36&gt;35,N105+M106-V105,IF(A106&lt;'Données projet'!$A$36,$K$205^A106,IF(A106='Données projet'!$A$36,'Données projet'!$B$36,N105+M106-V105)))</f>
        <v>174.58333333333326</v>
      </c>
      <c r="O106" s="13">
        <f>N106*VLOOKUP('Données projet'!$B$9,Paramètres!$A$1:$I$89,3,0)*VLOOKUP('Données projet'!$B$9,Paramètres!$A$1:$I$89,5,0)</f>
        <v>157.96299999999994</v>
      </c>
      <c r="P106" s="13">
        <f t="shared" si="87"/>
        <v>40.382722312649626</v>
      </c>
      <c r="Q106" s="20">
        <f t="shared" si="107"/>
        <v>345.45213302786465</v>
      </c>
      <c r="R106" s="59">
        <f t="shared" si="55"/>
        <v>638.7854663611979</v>
      </c>
      <c r="S106" s="59">
        <f ca="1">AVERAGE(OFFSET($R$3,0,0,'Données projet'!$E$9+1,1))-AVERAGE(OFFSET($H$3,0,0,'Données projet'!$E$9+1,1))</f>
        <v>328.8796193543036</v>
      </c>
      <c r="T106" s="59">
        <f t="shared" si="88"/>
        <v>199.43308683696642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39.494288049181947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39.494288049181947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351.77274930064431</v>
      </c>
      <c r="AO106" s="59">
        <f t="shared" si="90"/>
        <v>386.10758060007078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71.441671714657772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71.441671714657772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274.19999999999953</v>
      </c>
      <c r="BE106" s="13">
        <f>BD106*VLOOKUP('Données projet'!$B$11,Paramètres!$A$1:$I$89,3,0)*VLOOKUP('Données projet'!$B$11,Paramètres!$A$1:$I$89,5,0)</f>
        <v>260.92871999999954</v>
      </c>
      <c r="BF106" s="13">
        <f t="shared" si="91"/>
        <v>62.920302429197918</v>
      </c>
      <c r="BG106" s="20">
        <f t="shared" si="61"/>
        <v>564.0370473975189</v>
      </c>
      <c r="BH106" s="59">
        <f t="shared" si="62"/>
        <v>857.37038073085228</v>
      </c>
      <c r="BI106" s="59">
        <f ca="1">AVERAGE(OFFSET($BH$3,0,0,'Données projet'!$E$11+1,1))-AVERAGE(OFFSET($H$3,0,0,'Données projet'!$E$11+1,1))</f>
        <v>438.62466697107681</v>
      </c>
      <c r="BJ106" s="59">
        <f t="shared" si="92"/>
        <v>241.18285512887627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-6.5028871176764376E-14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308.33000350259448</v>
      </c>
      <c r="CE106" s="59">
        <f t="shared" si="94"/>
        <v>282.64839194267171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88.862789505096742</v>
      </c>
      <c r="CL106" s="21">
        <f>EXP(-LN(2)/25)*CL105+(1-EXP(-LN(2)/25))/(LN(2)/25)*Calculateur!CG106*Calculateur!CI106*VLOOKUP('Données projet'!$B$12,Paramètres!$A$1:$I$89,3,0)*0.475*44/12</f>
        <v>19.537052306603897</v>
      </c>
      <c r="CM106" s="21">
        <f>EXP(-LN(2)/2)*CM105+(1-EXP(-LN(2)/2))/(LN(2)/2)*CG106*CJ106*VLOOKUP('Données projet'!$B$12,Paramètres!$A$1:$I$89,3,0)*0.475*44/12</f>
        <v>2.5274945904080429E-2</v>
      </c>
      <c r="CN106" s="22">
        <f t="shared" si="66"/>
        <v>108.42511675760473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3.6666666666666665</v>
      </c>
      <c r="CT106" s="12">
        <f>IF('Données projet'!$A$140&gt;35,CT105+CS106-DB105,IF(A106&lt;'Données projet'!$A$140,$CQ$205^A106,IF(A106='Données projet'!$A$140,'Données projet'!$B$140,CT105+CS106-DB105)))</f>
        <v>139.66666666666669</v>
      </c>
      <c r="CU106" s="17">
        <f>CT106*VLOOKUP('Données projet'!$B$13,Paramètres!$A$1:$I$89,3,0)*VLOOKUP('Données projet'!$B$13,Paramètres!$A$1:$I$89,5,0)</f>
        <v>159.05240000000003</v>
      </c>
      <c r="CV106" s="13">
        <f t="shared" si="95"/>
        <v>40.628707746942545</v>
      </c>
      <c r="CW106" s="20">
        <f t="shared" si="67"/>
        <v>347.77792932592502</v>
      </c>
      <c r="CX106" s="59">
        <f t="shared" si="68"/>
        <v>641.11126265925827</v>
      </c>
      <c r="CY106" s="59">
        <f ca="1">AVERAGE(OFFSET($CX$3,0,0,'Données projet'!$E$13+1,1))-AVERAGE(OFFSET($H$3,0,0,'Données projet'!$E$13+1,1))</f>
        <v>330.87173217110126</v>
      </c>
      <c r="CZ106" s="59">
        <f t="shared" si="96"/>
        <v>200.52697135436102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39.766662449521135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39.766662449521135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4.583333333333333</v>
      </c>
      <c r="N107" s="13">
        <f>IF('Données projet'!$A$36&gt;35,N106+M107-V106,IF(A107&lt;'Données projet'!$A$36,$K$205^A107,IF(A107='Données projet'!$A$36,'Données projet'!$B$36,N106+M107-V106)))</f>
        <v>179.1666666666666</v>
      </c>
      <c r="O107" s="13">
        <f>N107*VLOOKUP('Données projet'!$B$9,Paramètres!$A$1:$I$89,3,0)*VLOOKUP('Données projet'!$B$9,Paramètres!$A$1:$I$89,5,0)</f>
        <v>162.10999999999993</v>
      </c>
      <c r="P107" s="13">
        <f t="shared" si="87"/>
        <v>41.318068304799873</v>
      </c>
      <c r="Q107" s="20">
        <f t="shared" si="107"/>
        <v>354.30388563085967</v>
      </c>
      <c r="R107" s="59">
        <f t="shared" si="55"/>
        <v>647.63721896419293</v>
      </c>
      <c r="S107" s="59">
        <f ca="1">AVERAGE(OFFSET($R$3,0,0,'Données projet'!$E$9+1,1))-AVERAGE(OFFSET($H$3,0,0,'Données projet'!$E$9+1,1))</f>
        <v>328.8796193543036</v>
      </c>
      <c r="T107" s="59">
        <f t="shared" si="88"/>
        <v>199.43308683696642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38.719829149674595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38.719829149674595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351.77274930064431</v>
      </c>
      <c r="AO107" s="59">
        <f t="shared" si="90"/>
        <v>386.10758060007078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70.040744107450394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70.040744107450394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278.59999999999951</v>
      </c>
      <c r="BE107" s="13">
        <f>BD107*VLOOKUP('Données projet'!$B$11,Paramètres!$A$1:$I$89,3,0)*VLOOKUP('Données projet'!$B$11,Paramètres!$A$1:$I$89,5,0)</f>
        <v>265.11575999999951</v>
      </c>
      <c r="BF107" s="13">
        <f t="shared" si="91"/>
        <v>63.811611556951689</v>
      </c>
      <c r="BG107" s="20">
        <f t="shared" si="61"/>
        <v>572.88183879502333</v>
      </c>
      <c r="BH107" s="59">
        <f t="shared" si="62"/>
        <v>866.2151721283567</v>
      </c>
      <c r="BI107" s="59">
        <f ca="1">AVERAGE(OFFSET($BH$3,0,0,'Données projet'!$E$11+1,1))-AVERAGE(OFFSET($H$3,0,0,'Données projet'!$E$11+1,1))</f>
        <v>438.62466697107681</v>
      </c>
      <c r="BJ107" s="59">
        <f t="shared" si="92"/>
        <v>241.18285512887627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-6.5028871176764376E-14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308.33000350259448</v>
      </c>
      <c r="CE107" s="59">
        <f t="shared" si="94"/>
        <v>282.64839194267171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87.120244403851501</v>
      </c>
      <c r="CL107" s="21">
        <f>EXP(-LN(2)/25)*CL106+(1-EXP(-LN(2)/25))/(LN(2)/25)*Calculateur!CG107*Calculateur!CI107*VLOOKUP('Données projet'!$B$12,Paramètres!$A$1:$I$89,3,0)*0.475*44/12</f>
        <v>19.002810583870886</v>
      </c>
      <c r="CM107" s="21">
        <f>EXP(-LN(2)/2)*CM106+(1-EXP(-LN(2)/2))/(LN(2)/2)*CG107*CJ107*VLOOKUP('Données projet'!$B$12,Paramètres!$A$1:$I$89,3,0)*0.475*44/12</f>
        <v>1.7872085642898425E-2</v>
      </c>
      <c r="CN107" s="22">
        <f t="shared" si="66"/>
        <v>106.14092707336528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3.6666666666666665</v>
      </c>
      <c r="CT107" s="12">
        <f>IF('Données projet'!$A$140&gt;35,CT106+CS107-DB106,IF(A107&lt;'Données projet'!$A$140,$CQ$205^A107,IF(A107='Données projet'!$A$140,'Données projet'!$B$140,CT106+CS107-DB106)))</f>
        <v>143.33333333333334</v>
      </c>
      <c r="CU107" s="17">
        <f>CT107*VLOOKUP('Données projet'!$B$13,Paramètres!$A$1:$I$89,3,0)*VLOOKUP('Données projet'!$B$13,Paramètres!$A$1:$I$89,5,0)</f>
        <v>163.22800000000001</v>
      </c>
      <c r="CV107" s="13">
        <f t="shared" si="95"/>
        <v>41.569751262115432</v>
      </c>
      <c r="CW107" s="20">
        <f t="shared" si="67"/>
        <v>356.68941678151776</v>
      </c>
      <c r="CX107" s="59">
        <f t="shared" si="68"/>
        <v>650.02275011485108</v>
      </c>
      <c r="CY107" s="59">
        <f ca="1">AVERAGE(OFFSET($CX$3,0,0,'Données projet'!$E$13+1,1))-AVERAGE(OFFSET($H$3,0,0,'Données projet'!$E$13+1,1))</f>
        <v>330.87173217110126</v>
      </c>
      <c r="CZ107" s="59">
        <f t="shared" si="96"/>
        <v>200.52697135436102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38.986862454155109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38.986862454155109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4.583333333333333</v>
      </c>
      <c r="N108" s="13">
        <f>IF('Données projet'!$A$36&gt;35,N107+M108-V107,IF(A108&lt;'Données projet'!$A$36,$K$205^A108,IF(A108='Données projet'!$A$36,'Données projet'!$B$36,N107+M108-V107)))</f>
        <v>183.74999999999994</v>
      </c>
      <c r="O108" s="13">
        <f>N108*VLOOKUP('Données projet'!$B$9,Paramètres!$A$1:$I$89,3,0)*VLOOKUP('Données projet'!$B$9,Paramètres!$A$1:$I$89,5,0)</f>
        <v>166.25699999999995</v>
      </c>
      <c r="P108" s="13">
        <f t="shared" si="87"/>
        <v>42.250632963064817</v>
      </c>
      <c r="Q108" s="20">
        <f t="shared" si="107"/>
        <v>363.15079407733782</v>
      </c>
      <c r="R108" s="59">
        <f t="shared" si="55"/>
        <v>656.48412741067114</v>
      </c>
      <c r="S108" s="59">
        <f ca="1">AVERAGE(OFFSET($R$3,0,0,'Données projet'!$E$9+1,1))-AVERAGE(OFFSET($H$3,0,0,'Données projet'!$E$9+1,1))</f>
        <v>328.8796193543036</v>
      </c>
      <c r="T108" s="59">
        <f t="shared" si="88"/>
        <v>199.43308683696642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37.960556916813296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37.960556916813296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351.77274930064431</v>
      </c>
      <c r="AO108" s="59">
        <f t="shared" si="90"/>
        <v>386.10758060007078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68.667287836138883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68.667287836138883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282.99999999999949</v>
      </c>
      <c r="BE108" s="13">
        <f>BD108*VLOOKUP('Données projet'!$B$11,Paramètres!$A$1:$I$89,3,0)*VLOOKUP('Données projet'!$B$11,Paramètres!$A$1:$I$89,5,0)</f>
        <v>269.30279999999954</v>
      </c>
      <c r="BF108" s="13">
        <f t="shared" si="91"/>
        <v>64.701283593559836</v>
      </c>
      <c r="BG108" s="20">
        <f t="shared" si="61"/>
        <v>581.72377892544921</v>
      </c>
      <c r="BH108" s="59">
        <f t="shared" si="62"/>
        <v>875.05711225878258</v>
      </c>
      <c r="BI108" s="59">
        <f ca="1">AVERAGE(OFFSET($BH$3,0,0,'Données projet'!$E$11+1,1))-AVERAGE(OFFSET($H$3,0,0,'Données projet'!$E$11+1,1))</f>
        <v>438.62466697107681</v>
      </c>
      <c r="BJ108" s="59">
        <f t="shared" si="92"/>
        <v>241.18285512887627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-6.5028871176764376E-14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308.33000350259448</v>
      </c>
      <c r="CE108" s="59">
        <f t="shared" si="94"/>
        <v>282.64839194267171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85.411869549194108</v>
      </c>
      <c r="CL108" s="21">
        <f>EXP(-LN(2)/25)*CL107+(1-EXP(-LN(2)/25))/(LN(2)/25)*Calculateur!CG108*Calculateur!CI108*VLOOKUP('Données projet'!$B$12,Paramètres!$A$1:$I$89,3,0)*0.475*44/12</f>
        <v>18.483177729140561</v>
      </c>
      <c r="CM108" s="21">
        <f>EXP(-LN(2)/2)*CM107+(1-EXP(-LN(2)/2))/(LN(2)/2)*CG108*CJ108*VLOOKUP('Données projet'!$B$12,Paramètres!$A$1:$I$89,3,0)*0.475*44/12</f>
        <v>1.2637472952040214E-2</v>
      </c>
      <c r="CN108" s="22">
        <f t="shared" si="66"/>
        <v>103.90768475128671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3.6666666666666665</v>
      </c>
      <c r="CT108" s="12">
        <f>IF('Données projet'!$A$140&gt;35,CT107+CS108-DB107,IF(A108&lt;'Données projet'!$A$140,$CQ$205^A108,IF(A108='Données projet'!$A$140,'Données projet'!$B$140,CT107+CS108-DB107)))</f>
        <v>147</v>
      </c>
      <c r="CU108" s="17">
        <f>CT108*VLOOKUP('Données projet'!$B$13,Paramètres!$A$1:$I$89,3,0)*VLOOKUP('Données projet'!$B$13,Paramètres!$A$1:$I$89,5,0)</f>
        <v>167.40360000000001</v>
      </c>
      <c r="CV108" s="13">
        <f t="shared" si="95"/>
        <v>42.50799650131534</v>
      </c>
      <c r="CW108" s="20">
        <f t="shared" si="67"/>
        <v>365.59603057312421</v>
      </c>
      <c r="CX108" s="59">
        <f t="shared" si="68"/>
        <v>658.92936390645752</v>
      </c>
      <c r="CY108" s="59">
        <f ca="1">AVERAGE(OFFSET($CX$3,0,0,'Données projet'!$E$13+1,1))-AVERAGE(OFFSET($H$3,0,0,'Données projet'!$E$13+1,1))</f>
        <v>330.87173217110126</v>
      </c>
      <c r="CZ108" s="59">
        <f t="shared" si="96"/>
        <v>200.52697135436102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38.222353861067177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38.222353861067177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4.583333333333333</v>
      </c>
      <c r="N109" s="13">
        <f>IF('Données projet'!$A$36&gt;35,N108+M109-V108,IF(A109&lt;'Données projet'!$A$36,$K$205^A109,IF(A109='Données projet'!$A$36,'Données projet'!$B$36,N108+M109-V108)))</f>
        <v>188.33333333333329</v>
      </c>
      <c r="O109" s="13">
        <f>N109*VLOOKUP('Données projet'!$B$9,Paramètres!$A$1:$I$89,3,0)*VLOOKUP('Données projet'!$B$9,Paramètres!$A$1:$I$89,5,0)</f>
        <v>170.40399999999994</v>
      </c>
      <c r="P109" s="13">
        <f t="shared" si="87"/>
        <v>43.180493642348132</v>
      </c>
      <c r="Q109" s="20">
        <f t="shared" si="107"/>
        <v>371.99299309375618</v>
      </c>
      <c r="R109" s="59">
        <f t="shared" si="55"/>
        <v>665.3263264270895</v>
      </c>
      <c r="S109" s="59">
        <f ca="1">AVERAGE(OFFSET($R$3,0,0,'Données projet'!$E$9+1,1))-AVERAGE(OFFSET($H$3,0,0,'Données projet'!$E$9+1,1))</f>
        <v>328.8796193543036</v>
      </c>
      <c r="T109" s="59">
        <f t="shared" si="88"/>
        <v>199.43308683696642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37.216173549328076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37.216173549328076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351.77274930064431</v>
      </c>
      <c r="AO109" s="59">
        <f t="shared" si="90"/>
        <v>386.10758060007078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67.32076420458219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67.32076420458219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287.39999999999947</v>
      </c>
      <c r="BE109" s="13">
        <f>BD109*VLOOKUP('Données projet'!$B$11,Paramètres!$A$1:$I$89,3,0)*VLOOKUP('Données projet'!$B$11,Paramètres!$A$1:$I$89,5,0)</f>
        <v>273.4898399999995</v>
      </c>
      <c r="BF109" s="13">
        <f t="shared" si="91"/>
        <v>65.58934693136635</v>
      </c>
      <c r="BG109" s="20">
        <f t="shared" si="61"/>
        <v>590.56291723879542</v>
      </c>
      <c r="BH109" s="59">
        <f t="shared" si="62"/>
        <v>883.89625057212879</v>
      </c>
      <c r="BI109" s="59">
        <f ca="1">AVERAGE(OFFSET($BH$3,0,0,'Données projet'!$E$11+1,1))-AVERAGE(OFFSET($H$3,0,0,'Données projet'!$E$11+1,1))</f>
        <v>438.62466697107681</v>
      </c>
      <c r="BJ109" s="59">
        <f t="shared" si="92"/>
        <v>241.18285512887627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-6.5028871176764376E-14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308.33000350259448</v>
      </c>
      <c r="CE109" s="59">
        <f t="shared" si="94"/>
        <v>282.64839194267171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83.736994883430768</v>
      </c>
      <c r="CL109" s="21">
        <f>EXP(-LN(2)/25)*CL108+(1-EXP(-LN(2)/25))/(LN(2)/25)*Calculateur!CG109*Calculateur!CI109*VLOOKUP('Données projet'!$B$12,Paramètres!$A$1:$I$89,3,0)*0.475*44/12</f>
        <v>17.977754262149141</v>
      </c>
      <c r="CM109" s="21">
        <f>EXP(-LN(2)/2)*CM108+(1-EXP(-LN(2)/2))/(LN(2)/2)*CG109*CJ109*VLOOKUP('Données projet'!$B$12,Paramètres!$A$1:$I$89,3,0)*0.475*44/12</f>
        <v>8.9360428214492124E-3</v>
      </c>
      <c r="CN109" s="22">
        <f t="shared" si="66"/>
        <v>101.72368518840135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3.6666666666666665</v>
      </c>
      <c r="CT109" s="12">
        <f>IF('Données projet'!$A$140&gt;35,CT108+CS109-DB108,IF(A109&lt;'Données projet'!$A$140,$CQ$205^A109,IF(A109='Données projet'!$A$140,'Données projet'!$B$140,CT108+CS109-DB108)))</f>
        <v>150.66666666666666</v>
      </c>
      <c r="CU109" s="17">
        <f>CT109*VLOOKUP('Données projet'!$B$13,Paramètres!$A$1:$I$89,3,0)*VLOOKUP('Données projet'!$B$13,Paramètres!$A$1:$I$89,5,0)</f>
        <v>171.57919999999999</v>
      </c>
      <c r="CV109" s="13">
        <f t="shared" si="95"/>
        <v>43.44352129064184</v>
      </c>
      <c r="CW109" s="20">
        <f t="shared" si="67"/>
        <v>374.49790624786783</v>
      </c>
      <c r="CX109" s="59">
        <f t="shared" si="68"/>
        <v>667.83123958120109</v>
      </c>
      <c r="CY109" s="59">
        <f ca="1">AVERAGE(OFFSET($CX$3,0,0,'Données projet'!$E$13+1,1))-AVERAGE(OFFSET($H$3,0,0,'Données projet'!$E$13+1,1))</f>
        <v>330.87173217110126</v>
      </c>
      <c r="CZ109" s="59">
        <f t="shared" si="96"/>
        <v>200.52697135436102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37.472836815185502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37.472836815185502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4.583333333333333</v>
      </c>
      <c r="N110" s="13">
        <f>IF('Données projet'!$A$36&gt;35,N109+M110-V109,IF(A110&lt;'Données projet'!$A$36,$K$205^A110,IF(A110='Données projet'!$A$36,'Données projet'!$B$36,N109+M110-V109)))</f>
        <v>192.91666666666663</v>
      </c>
      <c r="O110" s="13">
        <f>N110*VLOOKUP('Données projet'!$B$9,Paramètres!$A$1:$I$89,3,0)*VLOOKUP('Données projet'!$B$9,Paramètres!$A$1:$I$89,5,0)</f>
        <v>174.55099999999996</v>
      </c>
      <c r="P110" s="13">
        <f t="shared" si="87"/>
        <v>44.10772371781929</v>
      </c>
      <c r="Q110" s="20">
        <f t="shared" si="107"/>
        <v>380.83061047520181</v>
      </c>
      <c r="R110" s="59">
        <f t="shared" si="55"/>
        <v>674.16394380853512</v>
      </c>
      <c r="S110" s="59">
        <f ca="1">AVERAGE(OFFSET($R$3,0,0,'Données projet'!$E$9+1,1))-AVERAGE(OFFSET($H$3,0,0,'Données projet'!$E$9+1,1))</f>
        <v>328.8796193543036</v>
      </c>
      <c r="T110" s="59">
        <f t="shared" si="88"/>
        <v>199.43308683696642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36.486387085650215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36.486387085650215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351.77274930064431</v>
      </c>
      <c r="AO110" s="59">
        <f t="shared" si="90"/>
        <v>386.10758060007078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66.000645080142007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66.000645080142007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291.79999999999944</v>
      </c>
      <c r="BE110" s="13">
        <f>BD110*VLOOKUP('Données projet'!$B$11,Paramètres!$A$1:$I$89,3,0)*VLOOKUP('Données projet'!$B$11,Paramètres!$A$1:$I$89,5,0)</f>
        <v>277.67687999999947</v>
      </c>
      <c r="BF110" s="13">
        <f t="shared" si="91"/>
        <v>66.475829043475642</v>
      </c>
      <c r="BG110" s="20">
        <f t="shared" si="61"/>
        <v>599.39930158405252</v>
      </c>
      <c r="BH110" s="59">
        <f t="shared" si="62"/>
        <v>892.73263491738589</v>
      </c>
      <c r="BI110" s="59">
        <f ca="1">AVERAGE(OFFSET($BH$3,0,0,'Données projet'!$E$11+1,1))-AVERAGE(OFFSET($H$3,0,0,'Données projet'!$E$11+1,1))</f>
        <v>438.62466697107681</v>
      </c>
      <c r="BJ110" s="59">
        <f t="shared" si="92"/>
        <v>241.18285512887627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-6.5028871176764376E-14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308.33000350259448</v>
      </c>
      <c r="CE110" s="59">
        <f t="shared" si="94"/>
        <v>282.64839194267171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82.094963488290375</v>
      </c>
      <c r="CL110" s="21">
        <f>EXP(-LN(2)/25)*CL109+(1-EXP(-LN(2)/25))/(LN(2)/25)*Calculateur!CG110*Calculateur!CI110*VLOOKUP('Données projet'!$B$12,Paramètres!$A$1:$I$89,3,0)*0.475*44/12</f>
        <v>17.486151626441664</v>
      </c>
      <c r="CM110" s="21">
        <f>EXP(-LN(2)/2)*CM109+(1-EXP(-LN(2)/2))/(LN(2)/2)*CG110*CJ110*VLOOKUP('Données projet'!$B$12,Paramètres!$A$1:$I$89,3,0)*0.475*44/12</f>
        <v>6.3187364760201072E-3</v>
      </c>
      <c r="CN110" s="22">
        <f t="shared" si="66"/>
        <v>99.587433851208061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3.6666666666666665</v>
      </c>
      <c r="CT110" s="12">
        <f>IF('Données projet'!$A$140&gt;35,CT109+CS110-DB109,IF(A110&lt;'Données projet'!$A$140,$CQ$205^A110,IF(A110='Données projet'!$A$140,'Données projet'!$B$140,CT109+CS110-DB109)))</f>
        <v>154.33333333333331</v>
      </c>
      <c r="CU110" s="17">
        <f>CT110*VLOOKUP('Données projet'!$B$13,Paramètres!$A$1:$I$89,3,0)*VLOOKUP('Données projet'!$B$13,Paramètres!$A$1:$I$89,5,0)</f>
        <v>175.75479999999996</v>
      </c>
      <c r="CV110" s="13">
        <f t="shared" si="95"/>
        <v>44.376399452218735</v>
      </c>
      <c r="CW110" s="20">
        <f t="shared" si="67"/>
        <v>383.39517237928089</v>
      </c>
      <c r="CX110" s="59">
        <f t="shared" si="68"/>
        <v>676.72850571261415</v>
      </c>
      <c r="CY110" s="59">
        <f ca="1">AVERAGE(OFFSET($CX$3,0,0,'Données projet'!$E$13+1,1))-AVERAGE(OFFSET($H$3,0,0,'Données projet'!$E$13+1,1))</f>
        <v>330.87173217110126</v>
      </c>
      <c r="CZ110" s="59">
        <f t="shared" si="96"/>
        <v>200.52697135436102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36.738017341413311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36.738017341413311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4.583333333333333</v>
      </c>
      <c r="N111" s="13">
        <f>IF('Données projet'!$A$36&gt;35,N110+M111-V110,IF(A111&lt;'Données projet'!$A$36,$K$205^A111,IF(A111='Données projet'!$A$36,'Données projet'!$B$36,N110+M111-V110)))</f>
        <v>197.49999999999997</v>
      </c>
      <c r="O111" s="13">
        <f>N111*VLOOKUP('Données projet'!$B$9,Paramètres!$A$1:$I$89,3,0)*VLOOKUP('Données projet'!$B$9,Paramètres!$A$1:$I$89,5,0)</f>
        <v>178.69799999999995</v>
      </c>
      <c r="P111" s="13">
        <f t="shared" si="87"/>
        <v>45.032392879276927</v>
      </c>
      <c r="Q111" s="20">
        <f t="shared" si="107"/>
        <v>389.66376759807389</v>
      </c>
      <c r="R111" s="59">
        <f t="shared" si="55"/>
        <v>682.9971009314072</v>
      </c>
      <c r="S111" s="59">
        <f ca="1">AVERAGE(OFFSET($R$3,0,0,'Données projet'!$E$9+1,1))-AVERAGE(OFFSET($H$3,0,0,'Données projet'!$E$9+1,1))</f>
        <v>328.8796193543036</v>
      </c>
      <c r="T111" s="59">
        <f t="shared" si="88"/>
        <v>199.43308683696642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35.770911289399287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35.770911289399287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351.77274930064431</v>
      </c>
      <c r="AO111" s="59">
        <f t="shared" si="90"/>
        <v>386.10758060007078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64.706412686538926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64.706412686538926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296.19999999999942</v>
      </c>
      <c r="BE111" s="13">
        <f>BD111*VLOOKUP('Données projet'!$B$11,Paramètres!$A$1:$I$89,3,0)*VLOOKUP('Données projet'!$B$11,Paramètres!$A$1:$I$89,5,0)</f>
        <v>281.86391999999944</v>
      </c>
      <c r="BF111" s="13">
        <f t="shared" si="91"/>
        <v>67.360756526917868</v>
      </c>
      <c r="BG111" s="20">
        <f t="shared" si="61"/>
        <v>608.23297828438092</v>
      </c>
      <c r="BH111" s="59">
        <f t="shared" si="62"/>
        <v>901.56631161771429</v>
      </c>
      <c r="BI111" s="59">
        <f ca="1">AVERAGE(OFFSET($BH$3,0,0,'Données projet'!$E$11+1,1))-AVERAGE(OFFSET($H$3,0,0,'Données projet'!$E$11+1,1))</f>
        <v>438.62466697107681</v>
      </c>
      <c r="BJ111" s="59">
        <f t="shared" si="92"/>
        <v>241.18285512887627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-6.5028871176764376E-14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308.33000350259448</v>
      </c>
      <c r="CE111" s="59">
        <f t="shared" si="94"/>
        <v>282.64839194267171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80.485131327268434</v>
      </c>
      <c r="CL111" s="21">
        <f>EXP(-LN(2)/25)*CL110+(1-EXP(-LN(2)/25))/(LN(2)/25)*Calculateur!CG111*Calculateur!CI111*VLOOKUP('Données projet'!$B$12,Paramètres!$A$1:$I$89,3,0)*0.475*44/12</f>
        <v>17.007991890659866</v>
      </c>
      <c r="CM111" s="21">
        <f>EXP(-LN(2)/2)*CM110+(1-EXP(-LN(2)/2))/(LN(2)/2)*CG111*CJ111*VLOOKUP('Données projet'!$B$12,Paramètres!$A$1:$I$89,3,0)*0.475*44/12</f>
        <v>4.4680214107246062E-3</v>
      </c>
      <c r="CN111" s="22">
        <f t="shared" si="66"/>
        <v>97.49759123933903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3.6666666666666665</v>
      </c>
      <c r="CT111" s="12">
        <f>IF('Données projet'!$A$140&gt;35,CT110+CS111-DB110,IF(A111&lt;'Données projet'!$A$140,$CQ$205^A111,IF(A111='Données projet'!$A$140,'Données projet'!$B$140,CT110+CS111-DB110)))</f>
        <v>157.99999999999997</v>
      </c>
      <c r="CU111" s="17">
        <f>CT111*VLOOKUP('Données projet'!$B$13,Paramètres!$A$1:$I$89,3,0)*VLOOKUP('Données projet'!$B$13,Paramètres!$A$1:$I$89,5,0)</f>
        <v>179.93039999999996</v>
      </c>
      <c r="CV111" s="13">
        <f t="shared" si="95"/>
        <v>45.306701100349692</v>
      </c>
      <c r="CW111" s="20">
        <f t="shared" si="67"/>
        <v>392.28795108310896</v>
      </c>
      <c r="CX111" s="59">
        <f t="shared" si="68"/>
        <v>685.62128441644222</v>
      </c>
      <c r="CY111" s="59">
        <f ca="1">AVERAGE(OFFSET($CX$3,0,0,'Données projet'!$E$13+1,1))-AVERAGE(OFFSET($H$3,0,0,'Données projet'!$E$13+1,1))</f>
        <v>330.87173217110126</v>
      </c>
      <c r="CZ111" s="59">
        <f t="shared" si="96"/>
        <v>200.52697135436102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36.017607229326167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36.017607229326167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4.583333333333333</v>
      </c>
      <c r="N112" s="13">
        <f>IF('Données projet'!$A$36&gt;35,N111+M112-V111,IF(A112&lt;'Données projet'!$A$36,$K$205^A112,IF(A112='Données projet'!$A$36,'Données projet'!$B$36,N111+M112-V111)))</f>
        <v>202.08333333333331</v>
      </c>
      <c r="O112" s="13">
        <f>N112*VLOOKUP('Données projet'!$B$9,Paramètres!$A$1:$I$89,3,0)*VLOOKUP('Données projet'!$B$9,Paramètres!$A$1:$I$89,5,0)</f>
        <v>182.84499999999997</v>
      </c>
      <c r="P112" s="13">
        <f t="shared" si="87"/>
        <v>45.954567397416497</v>
      </c>
      <c r="Q112" s="20">
        <f t="shared" si="107"/>
        <v>398.49257988383368</v>
      </c>
      <c r="R112" s="59">
        <f t="shared" si="55"/>
        <v>691.825913217167</v>
      </c>
      <c r="S112" s="59">
        <f ca="1">AVERAGE(OFFSET($R$3,0,0,'Données projet'!$E$9+1,1))-AVERAGE(OFFSET($H$3,0,0,'Données projet'!$E$9+1,1))</f>
        <v>328.8796193543036</v>
      </c>
      <c r="T112" s="59">
        <f t="shared" si="88"/>
        <v>199.43308683696642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35.069465537115697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35.069465537115697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351.77274930064431</v>
      </c>
      <c r="AO112" s="59">
        <f t="shared" si="90"/>
        <v>386.10758060007078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63.437559400770589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63.437559400770589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300.5999999999994</v>
      </c>
      <c r="BE112" s="13">
        <f>BD112*VLOOKUP('Données projet'!$B$11,Paramètres!$A$1:$I$89,3,0)*VLOOKUP('Données projet'!$B$11,Paramètres!$A$1:$I$89,5,0)</f>
        <v>286.05095999999941</v>
      </c>
      <c r="BF112" s="13">
        <f t="shared" si="91"/>
        <v>68.244155143176457</v>
      </c>
      <c r="BG112" s="20">
        <f t="shared" si="61"/>
        <v>617.06399220769788</v>
      </c>
      <c r="BH112" s="59">
        <f t="shared" si="62"/>
        <v>910.39732554103125</v>
      </c>
      <c r="BI112" s="59">
        <f ca="1">AVERAGE(OFFSET($BH$3,0,0,'Données projet'!$E$11+1,1))-AVERAGE(OFFSET($H$3,0,0,'Données projet'!$E$11+1,1))</f>
        <v>438.62466697107681</v>
      </c>
      <c r="BJ112" s="59">
        <f t="shared" si="92"/>
        <v>241.18285512887627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-6.5028871176764376E-14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308.33000350259448</v>
      </c>
      <c r="CE112" s="59">
        <f t="shared" si="94"/>
        <v>282.64839194267171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78.906866993023471</v>
      </c>
      <c r="CL112" s="21">
        <f>EXP(-LN(2)/25)*CL111+(1-EXP(-LN(2)/25))/(LN(2)/25)*Calculateur!CG112*Calculateur!CI112*VLOOKUP('Données projet'!$B$12,Paramètres!$A$1:$I$89,3,0)*0.475*44/12</f>
        <v>16.54290745799835</v>
      </c>
      <c r="CM112" s="21">
        <f>EXP(-LN(2)/2)*CM111+(1-EXP(-LN(2)/2))/(LN(2)/2)*CG112*CJ112*VLOOKUP('Données projet'!$B$12,Paramètres!$A$1:$I$89,3,0)*0.475*44/12</f>
        <v>3.1593682380100536E-3</v>
      </c>
      <c r="CN112" s="22">
        <f t="shared" si="66"/>
        <v>95.45293381925984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3.6666666666666665</v>
      </c>
      <c r="CT112" s="12">
        <f>IF('Données projet'!$A$140&gt;35,CT111+CS112-DB111,IF(A112&lt;'Données projet'!$A$140,$CQ$205^A112,IF(A112='Données projet'!$A$140,'Données projet'!$B$140,CT111+CS112-DB111)))</f>
        <v>161.66666666666663</v>
      </c>
      <c r="CU112" s="17">
        <f>CT112*VLOOKUP('Données projet'!$B$13,Paramètres!$A$1:$I$89,3,0)*VLOOKUP('Données projet'!$B$13,Paramètres!$A$1:$I$89,5,0)</f>
        <v>184.10599999999997</v>
      </c>
      <c r="CV112" s="13">
        <f t="shared" si="95"/>
        <v>46.234492909408395</v>
      </c>
      <c r="CW112" s="20">
        <f t="shared" si="67"/>
        <v>401.17635848388619</v>
      </c>
      <c r="CX112" s="59">
        <f t="shared" si="68"/>
        <v>694.5096918172195</v>
      </c>
      <c r="CY112" s="59">
        <f ca="1">AVERAGE(OFFSET($CX$3,0,0,'Données projet'!$E$13+1,1))-AVERAGE(OFFSET($H$3,0,0,'Données projet'!$E$13+1,1))</f>
        <v>330.87173217110126</v>
      </c>
      <c r="CZ112" s="59">
        <f t="shared" si="96"/>
        <v>200.52697135436102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35.311323920130278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35.311323920130278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4.583333333333333</v>
      </c>
      <c r="N113" s="13">
        <f>IF('Données projet'!$A$36&gt;35,N112+M113-V112,IF(A113&lt;'Données projet'!$A$36,$K$205^A113,IF(A113='Données projet'!$A$36,'Données projet'!$B$36,N112+M113-V112)))</f>
        <v>206.66666666666666</v>
      </c>
      <c r="O113" s="13">
        <f>N113*VLOOKUP('Données projet'!$B$9,Paramètres!$A$1:$I$89,3,0)*VLOOKUP('Données projet'!$B$9,Paramètres!$A$1:$I$89,5,0)</f>
        <v>186.99199999999996</v>
      </c>
      <c r="P113" s="13">
        <f t="shared" si="87"/>
        <v>46.87431036526138</v>
      </c>
      <c r="Q113" s="20">
        <f t="shared" si="107"/>
        <v>407.31715721949678</v>
      </c>
      <c r="R113" s="59">
        <f t="shared" si="55"/>
        <v>700.65049055283009</v>
      </c>
      <c r="S113" s="59">
        <f ca="1">AVERAGE(OFFSET($R$3,0,0,'Données projet'!$E$9+1,1))-AVERAGE(OFFSET($H$3,0,0,'Données projet'!$E$9+1,1))</f>
        <v>328.8796193543036</v>
      </c>
      <c r="T113" s="59">
        <f t="shared" si="88"/>
        <v>199.43308683696642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34.381774708194726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34.381774708194726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351.77274930064431</v>
      </c>
      <c r="AO113" s="59">
        <f t="shared" si="90"/>
        <v>386.10758060007078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62.193587554012083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62.193587554012083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304.99999999999937</v>
      </c>
      <c r="BE113" s="13">
        <f>BD113*VLOOKUP('Données projet'!$B$11,Paramètres!$A$1:$I$89,3,0)*VLOOKUP('Données projet'!$B$11,Paramètres!$A$1:$I$89,5,0)</f>
        <v>290.23799999999943</v>
      </c>
      <c r="BF113" s="13">
        <f t="shared" si="91"/>
        <v>69.126049856275102</v>
      </c>
      <c r="BG113" s="20">
        <f t="shared" si="61"/>
        <v>625.8923868330113</v>
      </c>
      <c r="BH113" s="59">
        <f t="shared" si="62"/>
        <v>919.22572016634467</v>
      </c>
      <c r="BI113" s="59">
        <f ca="1">AVERAGE(OFFSET($BH$3,0,0,'Données projet'!$E$11+1,1))-AVERAGE(OFFSET($H$3,0,0,'Données projet'!$E$11+1,1))</f>
        <v>438.62466697107681</v>
      </c>
      <c r="BJ113" s="59">
        <f t="shared" si="92"/>
        <v>241.18285512887627</v>
      </c>
      <c r="BK113" s="15">
        <f>IF(ISNA(VLOOKUP(A113,'Données projet'!$A$87:$I$107,3,0)),0,VLOOKUP(A113,'Données projet'!$A$87:$I$107,3,0))</f>
        <v>16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-6.5028871176764376E-14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308.33000350259448</v>
      </c>
      <c r="CE113" s="59">
        <f t="shared" si="94"/>
        <v>282.64839194267171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77.359551459726859</v>
      </c>
      <c r="CL113" s="21">
        <f>EXP(-LN(2)/25)*CL112+(1-EXP(-LN(2)/25))/(LN(2)/25)*Calculateur!CG113*Calculateur!CI113*VLOOKUP('Données projet'!$B$12,Paramètres!$A$1:$I$89,3,0)*0.475*44/12</f>
        <v>16.09054078360569</v>
      </c>
      <c r="CM113" s="21">
        <f>EXP(-LN(2)/2)*CM112+(1-EXP(-LN(2)/2))/(LN(2)/2)*CG113*CJ113*VLOOKUP('Données projet'!$B$12,Paramètres!$A$1:$I$89,3,0)*0.475*44/12</f>
        <v>2.2340107053623031E-3</v>
      </c>
      <c r="CN113" s="22">
        <f t="shared" si="66"/>
        <v>93.452326254037914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3.6666666666666665</v>
      </c>
      <c r="CT113" s="12">
        <f>IF('Données projet'!$A$140&gt;35,CT112+CS113-DB112,IF(A113&lt;'Données projet'!$A$140,$CQ$205^A113,IF(A113='Données projet'!$A$140,'Données projet'!$B$140,CT112+CS113-DB112)))</f>
        <v>165.33333333333329</v>
      </c>
      <c r="CU113" s="17">
        <f>CT113*VLOOKUP('Données projet'!$B$13,Paramètres!$A$1:$I$89,3,0)*VLOOKUP('Données projet'!$B$13,Paramètres!$A$1:$I$89,5,0)</f>
        <v>188.28159999999994</v>
      </c>
      <c r="CV113" s="13">
        <f t="shared" si="95"/>
        <v>47.15983835674021</v>
      </c>
      <c r="CW113" s="20">
        <f t="shared" si="67"/>
        <v>410.06050513798908</v>
      </c>
      <c r="CX113" s="59">
        <f t="shared" si="68"/>
        <v>703.3938384713224</v>
      </c>
      <c r="CY113" s="59">
        <f ca="1">AVERAGE(OFFSET($CX$3,0,0,'Données projet'!$E$13+1,1))-AVERAGE(OFFSET($H$3,0,0,'Données projet'!$E$13+1,1))</f>
        <v>330.87173217110126</v>
      </c>
      <c r="CZ113" s="59">
        <f t="shared" si="96"/>
        <v>200.52697135436102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34.618890395837433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34.618890395837433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4.583333333333333</v>
      </c>
      <c r="N114" s="13">
        <f>IF('Données projet'!$A$36&gt;35,N113+M114-V113,IF(A114&lt;'Données projet'!$A$36,$K$205^A114,IF(A114='Données projet'!$A$36,'Données projet'!$B$36,N113+M114-V113)))</f>
        <v>211.25</v>
      </c>
      <c r="O114" s="13">
        <f>N114*VLOOKUP('Données projet'!$B$9,Paramètres!$A$1:$I$89,3,0)*VLOOKUP('Données projet'!$B$9,Paramètres!$A$1:$I$89,5,0)</f>
        <v>191.13899999999998</v>
      </c>
      <c r="P114" s="13">
        <f t="shared" si="87"/>
        <v>47.791681917572546</v>
      </c>
      <c r="Q114" s="20">
        <f t="shared" si="107"/>
        <v>416.13760433977217</v>
      </c>
      <c r="R114" s="59">
        <f t="shared" si="55"/>
        <v>709.47093767310548</v>
      </c>
      <c r="S114" s="59">
        <f ca="1">AVERAGE(OFFSET($R$3,0,0,'Données projet'!$E$9+1,1))-AVERAGE(OFFSET($H$3,0,0,'Données projet'!$E$9+1,1))</f>
        <v>328.8796193543036</v>
      </c>
      <c r="T114" s="59">
        <f t="shared" si="88"/>
        <v>199.43308683696642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33.707569076978906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33.707569076978906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351.77274930064431</v>
      </c>
      <c r="AO114" s="59">
        <f t="shared" si="90"/>
        <v>386.10758060007078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60.974009236420606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60.974009236420606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269.69999999999936</v>
      </c>
      <c r="BE114" s="13">
        <f>BD114*VLOOKUP('Données projet'!$B$11,Paramètres!$A$1:$I$89,3,0)*VLOOKUP('Données projet'!$B$11,Paramètres!$A$1:$I$89,5,0)</f>
        <v>256.64651999999938</v>
      </c>
      <c r="BF114" s="13">
        <f t="shared" si="91"/>
        <v>62.007012349934747</v>
      </c>
      <c r="BG114" s="20">
        <f t="shared" si="61"/>
        <v>554.98823550946861</v>
      </c>
      <c r="BH114" s="59">
        <f t="shared" si="62"/>
        <v>848.32156884280198</v>
      </c>
      <c r="BI114" s="59">
        <f ca="1">AVERAGE(OFFSET($BH$3,0,0,'Données projet'!$E$11+1,1))-AVERAGE(OFFSET($H$3,0,0,'Données projet'!$E$11+1,1))</f>
        <v>438.62466697107681</v>
      </c>
      <c r="BJ114" s="59">
        <f t="shared" si="92"/>
        <v>241.18285512887627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-6.5028871176764376E-14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308.33000350259448</v>
      </c>
      <c r="CE114" s="59">
        <f t="shared" si="94"/>
        <v>282.64839194267171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75.842577840268902</v>
      </c>
      <c r="CL114" s="21">
        <f>EXP(-LN(2)/25)*CL113+(1-EXP(-LN(2)/25))/(LN(2)/25)*Calculateur!CG114*Calculateur!CI114*VLOOKUP('Données projet'!$B$12,Paramètres!$A$1:$I$89,3,0)*0.475*44/12</f>
        <v>15.650544099713228</v>
      </c>
      <c r="CM114" s="21">
        <f>EXP(-LN(2)/2)*CM113+(1-EXP(-LN(2)/2))/(LN(2)/2)*CG114*CJ114*VLOOKUP('Données projet'!$B$12,Paramètres!$A$1:$I$89,3,0)*0.475*44/12</f>
        <v>1.5796841190050268E-3</v>
      </c>
      <c r="CN114" s="22">
        <f t="shared" si="66"/>
        <v>91.49470162410114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3.6666666666666665</v>
      </c>
      <c r="CT114" s="12">
        <f>IF('Données projet'!$A$140&gt;35,CT113+CS114-DB113,IF(A114&lt;'Données projet'!$A$140,$CQ$205^A114,IF(A114='Données projet'!$A$140,'Données projet'!$B$140,CT113+CS114-DB113)))</f>
        <v>168.99999999999994</v>
      </c>
      <c r="CU114" s="17">
        <f>CT114*VLOOKUP('Données projet'!$B$13,Paramètres!$A$1:$I$89,3,0)*VLOOKUP('Données projet'!$B$13,Paramètres!$A$1:$I$89,5,0)</f>
        <v>192.45719999999994</v>
      </c>
      <c r="CV114" s="13">
        <f t="shared" si="95"/>
        <v>48.082797943408153</v>
      </c>
      <c r="CW114" s="20">
        <f t="shared" si="67"/>
        <v>418.94049641810238</v>
      </c>
      <c r="CX114" s="59">
        <f t="shared" si="68"/>
        <v>712.27382975143564</v>
      </c>
      <c r="CY114" s="59">
        <f ca="1">AVERAGE(OFFSET($CX$3,0,0,'Données projet'!$E$13+1,1))-AVERAGE(OFFSET($H$3,0,0,'Données projet'!$E$13+1,1))</f>
        <v>330.87173217110126</v>
      </c>
      <c r="CZ114" s="59">
        <f t="shared" si="96"/>
        <v>200.52697135436102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33.940035070613227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33.940035070613227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4.583333333333333</v>
      </c>
      <c r="N115" s="13">
        <f>IF('Données projet'!$A$36&gt;35,N114+M115-V114,IF(A115&lt;'Données projet'!$A$36,$K$205^A115,IF(A115='Données projet'!$A$36,'Données projet'!$B$36,N114+M115-V114)))</f>
        <v>215.83333333333334</v>
      </c>
      <c r="O115" s="13">
        <f>N115*VLOOKUP('Données projet'!$B$9,Paramètres!$A$1:$I$89,3,0)*VLOOKUP('Données projet'!$B$9,Paramètres!$A$1:$I$89,5,0)</f>
        <v>195.286</v>
      </c>
      <c r="P115" s="13">
        <f t="shared" si="87"/>
        <v>48.70673943067964</v>
      </c>
      <c r="Q115" s="20">
        <f t="shared" si="107"/>
        <v>424.95402117510031</v>
      </c>
      <c r="R115" s="59">
        <f t="shared" si="55"/>
        <v>718.28735450843362</v>
      </c>
      <c r="S115" s="59">
        <f ca="1">AVERAGE(OFFSET($R$3,0,0,'Données projet'!$E$9+1,1))-AVERAGE(OFFSET($H$3,0,0,'Données projet'!$E$9+1,1))</f>
        <v>328.8796193543036</v>
      </c>
      <c r="T115" s="59">
        <f t="shared" si="88"/>
        <v>199.43308683696642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33.046584206966394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33.046584206966394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351.77274930064431</v>
      </c>
      <c r="AO115" s="59">
        <f t="shared" si="90"/>
        <v>386.10758060007078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59.778346105767781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59.778346105767781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273.39999999999935</v>
      </c>
      <c r="BE115" s="13">
        <f>BD115*VLOOKUP('Données projet'!$B$11,Paramètres!$A$1:$I$89,3,0)*VLOOKUP('Données projet'!$B$11,Paramètres!$A$1:$I$89,5,0)</f>
        <v>260.16743999999937</v>
      </c>
      <c r="BF115" s="13">
        <f t="shared" si="91"/>
        <v>62.758068060335646</v>
      </c>
      <c r="BG115" s="20">
        <f t="shared" si="61"/>
        <v>562.42859320508342</v>
      </c>
      <c r="BH115" s="59">
        <f t="shared" si="62"/>
        <v>855.76192653841667</v>
      </c>
      <c r="BI115" s="59">
        <f ca="1">AVERAGE(OFFSET($BH$3,0,0,'Données projet'!$E$11+1,1))-AVERAGE(OFFSET($H$3,0,0,'Données projet'!$E$11+1,1))</f>
        <v>438.62466697107681</v>
      </c>
      <c r="BJ115" s="59">
        <f t="shared" si="92"/>
        <v>241.18285512887627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-6.5028871176764376E-14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308.33000350259448</v>
      </c>
      <c r="CE115" s="59">
        <f t="shared" si="94"/>
        <v>282.64839194267171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74.355351148225978</v>
      </c>
      <c r="CL115" s="21">
        <f>EXP(-LN(2)/25)*CL114+(1-EXP(-LN(2)/25))/(LN(2)/25)*Calculateur!CG115*Calculateur!CI115*VLOOKUP('Données projet'!$B$12,Paramètres!$A$1:$I$89,3,0)*0.475*44/12</f>
        <v>15.222579148280225</v>
      </c>
      <c r="CM115" s="21">
        <f>EXP(-LN(2)/2)*CM114+(1-EXP(-LN(2)/2))/(LN(2)/2)*CG115*CJ115*VLOOKUP('Données projet'!$B$12,Paramètres!$A$1:$I$89,3,0)*0.475*44/12</f>
        <v>1.1170053526811516E-3</v>
      </c>
      <c r="CN115" s="22">
        <f t="shared" si="66"/>
        <v>89.579047301858878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3.6666666666666665</v>
      </c>
      <c r="CT115" s="12">
        <f>IF('Données projet'!$A$140&gt;35,CT114+CS115-DB114,IF(A115&lt;'Données projet'!$A$140,$CQ$205^A115,IF(A115='Données projet'!$A$140,'Données projet'!$B$140,CT114+CS115-DB114)))</f>
        <v>172.6666666666666</v>
      </c>
      <c r="CU115" s="17">
        <f>CT115*VLOOKUP('Données projet'!$B$13,Paramètres!$A$1:$I$89,3,0)*VLOOKUP('Données projet'!$B$13,Paramètres!$A$1:$I$89,5,0)</f>
        <v>196.63279999999992</v>
      </c>
      <c r="CV115" s="13">
        <f t="shared" si="95"/>
        <v>49.003429395241326</v>
      </c>
      <c r="CW115" s="20">
        <f t="shared" si="67"/>
        <v>427.81643286337845</v>
      </c>
      <c r="CX115" s="59">
        <f t="shared" si="68"/>
        <v>721.14976619671177</v>
      </c>
      <c r="CY115" s="59">
        <f ca="1">AVERAGE(OFFSET($CX$3,0,0,'Données projet'!$E$13+1,1))-AVERAGE(OFFSET($H$3,0,0,'Données projet'!$E$13+1,1))</f>
        <v>330.87173217110126</v>
      </c>
      <c r="CZ115" s="59">
        <f t="shared" si="96"/>
        <v>200.52697135436102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33.274491684255807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33.274491684255807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4.583333333333333</v>
      </c>
      <c r="N116" s="13">
        <f>IF('Données projet'!$A$36&gt;35,N115+M116-V115,IF(A116&lt;'Données projet'!$A$36,$K$205^A116,IF(A116='Données projet'!$A$36,'Données projet'!$B$36,N115+M116-V115)))</f>
        <v>220.41666666666669</v>
      </c>
      <c r="O116" s="13">
        <f>N116*VLOOKUP('Données projet'!$B$9,Paramètres!$A$1:$I$89,3,0)*VLOOKUP('Données projet'!$B$9,Paramètres!$A$1:$I$89,5,0)</f>
        <v>199.43300000000002</v>
      </c>
      <c r="P116" s="13">
        <f t="shared" si="87"/>
        <v>49.619537704859006</v>
      </c>
      <c r="Q116" s="20">
        <f t="shared" si="107"/>
        <v>433.76650316929613</v>
      </c>
      <c r="R116" s="59">
        <f t="shared" si="55"/>
        <v>727.09983650262939</v>
      </c>
      <c r="S116" s="59">
        <f ca="1">AVERAGE(OFFSET($R$3,0,0,'Données projet'!$E$9+1,1))-AVERAGE(OFFSET($H$3,0,0,'Données projet'!$E$9+1,1))</f>
        <v>328.8796193543036</v>
      </c>
      <c r="T116" s="59">
        <f t="shared" si="88"/>
        <v>199.43308683696642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32.398560847093869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32.398560847093869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351.77274930064431</v>
      </c>
      <c r="AO116" s="59">
        <f t="shared" si="90"/>
        <v>386.10758060007078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58.606129199824558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58.606129199824558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277.09999999999934</v>
      </c>
      <c r="BE116" s="13">
        <f>BD116*VLOOKUP('Données projet'!$B$11,Paramètres!$A$1:$I$89,3,0)*VLOOKUP('Données projet'!$B$11,Paramètres!$A$1:$I$89,5,0)</f>
        <v>263.68835999999942</v>
      </c>
      <c r="BF116" s="13">
        <f t="shared" si="91"/>
        <v>63.507941545180344</v>
      </c>
      <c r="BG116" s="20">
        <f t="shared" si="61"/>
        <v>569.86689185785474</v>
      </c>
      <c r="BH116" s="59">
        <f t="shared" si="62"/>
        <v>863.20022519118811</v>
      </c>
      <c r="BI116" s="59">
        <f ca="1">AVERAGE(OFFSET($BH$3,0,0,'Données projet'!$E$11+1,1))-AVERAGE(OFFSET($H$3,0,0,'Données projet'!$E$11+1,1))</f>
        <v>438.62466697107681</v>
      </c>
      <c r="BJ116" s="59">
        <f t="shared" si="92"/>
        <v>241.18285512887627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-6.5028871176764376E-14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308.33000350259448</v>
      </c>
      <c r="CE116" s="59">
        <f t="shared" si="94"/>
        <v>282.64839194267171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72.897288064495299</v>
      </c>
      <c r="CL116" s="21">
        <f>EXP(-LN(2)/25)*CL115+(1-EXP(-LN(2)/25))/(LN(2)/25)*Calculateur!CG116*Calculateur!CI116*VLOOKUP('Données projet'!$B$12,Paramètres!$A$1:$I$89,3,0)*0.475*44/12</f>
        <v>14.806316920949856</v>
      </c>
      <c r="CM116" s="21">
        <f>EXP(-LN(2)/2)*CM115+(1-EXP(-LN(2)/2))/(LN(2)/2)*CG116*CJ116*VLOOKUP('Données projet'!$B$12,Paramètres!$A$1:$I$89,3,0)*0.475*44/12</f>
        <v>7.8984205950251339E-4</v>
      </c>
      <c r="CN116" s="22">
        <f t="shared" si="66"/>
        <v>87.704394827504657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3.6666666666666665</v>
      </c>
      <c r="CT116" s="12">
        <f>IF('Données projet'!$A$140&gt;35,CT115+CS116-DB115,IF(A116&lt;'Données projet'!$A$140,$CQ$205^A116,IF(A116='Données projet'!$A$140,'Données projet'!$B$140,CT115+CS116-DB115)))</f>
        <v>176.33333333333326</v>
      </c>
      <c r="CU116" s="17">
        <f>CT116*VLOOKUP('Données projet'!$B$13,Paramètres!$A$1:$I$89,3,0)*VLOOKUP('Données projet'!$B$13,Paramètres!$A$1:$I$89,5,0)</f>
        <v>200.80839999999992</v>
      </c>
      <c r="CV116" s="13">
        <f t="shared" si="95"/>
        <v>49.921787846324044</v>
      </c>
      <c r="CW116" s="20">
        <f t="shared" si="67"/>
        <v>436.6884104990142</v>
      </c>
      <c r="CX116" s="59">
        <f t="shared" si="68"/>
        <v>730.02174383234751</v>
      </c>
      <c r="CY116" s="59">
        <f ca="1">AVERAGE(OFFSET($CX$3,0,0,'Données projet'!$E$13+1,1))-AVERAGE(OFFSET($H$3,0,0,'Données projet'!$E$13+1,1))</f>
        <v>330.87173217110126</v>
      </c>
      <c r="CZ116" s="59">
        <f t="shared" si="96"/>
        <v>200.52697135436102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32.621999197763472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32.621999197763472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225</v>
      </c>
      <c r="L117" s="12">
        <f>VLOOKUP(A117,'Données projet'!$A$35:$I$55,9,0)</f>
        <v>4.583333333333333</v>
      </c>
      <c r="M117" s="12">
        <f t="array" ref="M117">INDEX(L:L,MIN(IF(ISNUMBER(L117:L313),ROW(L117:L313),"")))</f>
        <v>4.583333333333333</v>
      </c>
      <c r="N117" s="13">
        <f>IF('Données projet'!$A$36&gt;35,N116+M117-V116,IF(A117&lt;'Données projet'!$A$36,$K$205^A117,IF(A117='Données projet'!$A$36,'Données projet'!$B$36,N116+M117-V116)))</f>
        <v>225.00000000000003</v>
      </c>
      <c r="O117" s="13">
        <f>N117*VLOOKUP('Données projet'!$B$9,Paramètres!$A$1:$I$89,3,0)*VLOOKUP('Données projet'!$B$9,Paramètres!$A$1:$I$89,5,0)</f>
        <v>203.58</v>
      </c>
      <c r="P117" s="13">
        <f t="shared" si="87"/>
        <v>50.530129131114101</v>
      </c>
      <c r="Q117" s="20">
        <f t="shared" si="107"/>
        <v>442.57514157002373</v>
      </c>
      <c r="R117" s="59">
        <f t="shared" si="55"/>
        <v>735.90847490335705</v>
      </c>
      <c r="S117" s="59">
        <f ca="1">AVERAGE(OFFSET($R$3,0,0,'Données projet'!$E$9+1,1))-AVERAGE(OFFSET($H$3,0,0,'Données projet'!$E$9+1,1))</f>
        <v>328.8796193543036</v>
      </c>
      <c r="T117" s="59">
        <f t="shared" si="88"/>
        <v>199.43308683696642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37</v>
      </c>
      <c r="W117" s="16">
        <f>IF(ISNA(VLOOKUP(A117,'Données projet'!$A$35:$I$55,5,0)),0%,VLOOKUP(A117,'Données projet'!$A$35:$I$55,5,0)*VLOOKUP('Données projet'!$B$9,Paramètres!$A$1:$I$89,7,0))</f>
        <v>0.38700000000000001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46.08553246388206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46.08553246388206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351.77274930064431</v>
      </c>
      <c r="AO117" s="59">
        <f t="shared" si="90"/>
        <v>386.10758060007078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57.456898752425168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57.456898752425168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280.79999999999933</v>
      </c>
      <c r="BE117" s="13">
        <f>BD117*VLOOKUP('Données projet'!$B$11,Paramètres!$A$1:$I$89,3,0)*VLOOKUP('Données projet'!$B$11,Paramètres!$A$1:$I$89,5,0)</f>
        <v>267.20927999999935</v>
      </c>
      <c r="BF117" s="13">
        <f t="shared" si="91"/>
        <v>64.256650415057905</v>
      </c>
      <c r="BG117" s="20">
        <f t="shared" si="61"/>
        <v>577.30316213955803</v>
      </c>
      <c r="BH117" s="59">
        <f t="shared" si="62"/>
        <v>870.63649547289128</v>
      </c>
      <c r="BI117" s="59">
        <f ca="1">AVERAGE(OFFSET($BH$3,0,0,'Données projet'!$E$11+1,1))-AVERAGE(OFFSET($H$3,0,0,'Données projet'!$E$11+1,1))</f>
        <v>438.62466697107681</v>
      </c>
      <c r="BJ117" s="59">
        <f t="shared" si="92"/>
        <v>241.18285512887627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-6.5028871176764376E-14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308.33000350259448</v>
      </c>
      <c r="CE117" s="59">
        <f t="shared" si="94"/>
        <v>282.64839194267171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71.467816708505907</v>
      </c>
      <c r="CL117" s="21">
        <f>EXP(-LN(2)/25)*CL116+(1-EXP(-LN(2)/25))/(LN(2)/25)*Calculateur!CG117*Calculateur!CI117*VLOOKUP('Données projet'!$B$12,Paramètres!$A$1:$I$89,3,0)*0.475*44/12</f>
        <v>14.401437406116115</v>
      </c>
      <c r="CM117" s="21">
        <f>EXP(-LN(2)/2)*CM116+(1-EXP(-LN(2)/2))/(LN(2)/2)*CG117*CJ117*VLOOKUP('Données projet'!$B$12,Paramètres!$A$1:$I$89,3,0)*0.475*44/12</f>
        <v>5.5850267634057578E-4</v>
      </c>
      <c r="CN117" s="22">
        <f t="shared" si="66"/>
        <v>85.869812617298365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180</v>
      </c>
      <c r="CR117" s="12">
        <f>VLOOKUP(A117,'Données projet'!$A$139:$I$159,9,0)</f>
        <v>3.6666666666666665</v>
      </c>
      <c r="CS117" s="12">
        <f t="array" ref="CS117">INDEX(CR:CR,MIN(IF(ISNUMBER(CR117:CR313),ROW(CR117:CR313),"")))</f>
        <v>3.6666666666666665</v>
      </c>
      <c r="CT117" s="12">
        <f>IF('Données projet'!$A$140&gt;35,CT116+CS117-DB116,IF(A117&lt;'Données projet'!$A$140,$CQ$205^A117,IF(A117='Données projet'!$A$140,'Données projet'!$B$140,CT116+CS117-DB116)))</f>
        <v>179.99999999999991</v>
      </c>
      <c r="CU117" s="17">
        <f>CT117*VLOOKUP('Données projet'!$B$13,Paramètres!$A$1:$I$89,3,0)*VLOOKUP('Données projet'!$B$13,Paramètres!$A$1:$I$89,5,0)</f>
        <v>204.9839999999999</v>
      </c>
      <c r="CV117" s="13">
        <f t="shared" si="95"/>
        <v>50.837926006791818</v>
      </c>
      <c r="CW117" s="20">
        <f t="shared" si="67"/>
        <v>445.5565211284956</v>
      </c>
      <c r="CX117" s="59">
        <f t="shared" si="68"/>
        <v>738.88985446182892</v>
      </c>
      <c r="CY117" s="59">
        <f ca="1">AVERAGE(OFFSET($CX$3,0,0,'Données projet'!$E$13+1,1))-AVERAGE(OFFSET($H$3,0,0,'Données projet'!$E$13+1,1))</f>
        <v>330.87173217110126</v>
      </c>
      <c r="CZ117" s="59">
        <f t="shared" si="96"/>
        <v>200.52697135436102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29.6</v>
      </c>
      <c r="DC117" s="16">
        <f>IF(ISNA(VLOOKUP(A117,'Données projet'!$A$139:$I$159,5,0)),0%,VLOOKUP(A117,'Données projet'!$A$139:$I$159,5,0)*VLOOKUP('Données projet'!$B$13,Paramètres!$A$1:$I$89,7,0))</f>
        <v>0.38700000000000001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46.403363722253651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46.403363722253651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4.583333333333333</v>
      </c>
      <c r="N118" s="13">
        <f>IF('Données projet'!$A$36&gt;35,N117+M118-V117,IF(A118&lt;'Données projet'!$A$36,$K$205^A118,IF(A118='Données projet'!$A$36,'Données projet'!$B$36,N117+M118-V117)))</f>
        <v>192.58333333333337</v>
      </c>
      <c r="O118" s="13">
        <f>N118*VLOOKUP('Données projet'!$B$9,Paramètres!$A$1:$I$89,3,0)*VLOOKUP('Données projet'!$B$9,Paramètres!$A$1:$I$89,5,0)</f>
        <v>174.24940000000004</v>
      </c>
      <c r="P118" s="13">
        <f t="shared" si="87"/>
        <v>44.04037597450408</v>
      </c>
      <c r="Q118" s="20">
        <f t="shared" si="107"/>
        <v>380.18802648892802</v>
      </c>
      <c r="R118" s="59">
        <f t="shared" si="55"/>
        <v>673.52135982226127</v>
      </c>
      <c r="S118" s="59">
        <f ca="1">AVERAGE(OFFSET($R$3,0,0,'Données projet'!$E$9+1,1))-AVERAGE(OFFSET($H$3,0,0,'Données projet'!$E$9+1,1))</f>
        <v>328.8796193543036</v>
      </c>
      <c r="T118" s="59">
        <f t="shared" si="88"/>
        <v>199.43308683696642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45.181823281664563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45.181823281664563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351.77274930064431</v>
      </c>
      <c r="AO118" s="59">
        <f t="shared" si="90"/>
        <v>386.10758060007078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56.330204013137916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56.330204013137916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284.49999999999932</v>
      </c>
      <c r="BE118" s="13">
        <f>BD118*VLOOKUP('Données projet'!$B$11,Paramètres!$A$1:$I$89,3,0)*VLOOKUP('Données projet'!$B$11,Paramètres!$A$1:$I$89,5,0)</f>
        <v>270.73019999999934</v>
      </c>
      <c r="BF118" s="13">
        <f t="shared" si="91"/>
        <v>65.004211789784335</v>
      </c>
      <c r="BG118" s="20">
        <f t="shared" si="61"/>
        <v>584.73743386720651</v>
      </c>
      <c r="BH118" s="59">
        <f t="shared" si="62"/>
        <v>878.07076720053988</v>
      </c>
      <c r="BI118" s="59">
        <f ca="1">AVERAGE(OFFSET($BH$3,0,0,'Données projet'!$E$11+1,1))-AVERAGE(OFFSET($H$3,0,0,'Données projet'!$E$11+1,1))</f>
        <v>438.62466697107681</v>
      </c>
      <c r="BJ118" s="59">
        <f t="shared" si="92"/>
        <v>241.18285512887627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-6.5028871176764376E-14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308.33000350259448</v>
      </c>
      <c r="CE118" s="59">
        <f t="shared" si="94"/>
        <v>282.64839194267171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70.066376413916032</v>
      </c>
      <c r="CL118" s="21">
        <f>EXP(-LN(2)/25)*CL117+(1-EXP(-LN(2)/25))/(LN(2)/25)*Calculateur!CG118*Calculateur!CI118*VLOOKUP('Données projet'!$B$12,Paramètres!$A$1:$I$89,3,0)*0.475*44/12</f>
        <v>14.00762934290719</v>
      </c>
      <c r="CM118" s="21">
        <f>EXP(-LN(2)/2)*CM117+(1-EXP(-LN(2)/2))/(LN(2)/2)*CG118*CJ118*VLOOKUP('Données projet'!$B$12,Paramètres!$A$1:$I$89,3,0)*0.475*44/12</f>
        <v>3.949210297512567E-4</v>
      </c>
      <c r="CN118" s="22">
        <f t="shared" si="66"/>
        <v>84.074400677852978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3.6666666666666665</v>
      </c>
      <c r="CT118" s="12">
        <f>IF('Données projet'!$A$140&gt;35,CT117+CS118-DB117,IF(A118&lt;'Données projet'!$A$140,$CQ$205^A118,IF(A118='Données projet'!$A$140,'Données projet'!$B$140,CT117+CS118-DB117)))</f>
        <v>154.06666666666658</v>
      </c>
      <c r="CU118" s="17">
        <f>CT118*VLOOKUP('Données projet'!$B$13,Paramètres!$A$1:$I$89,3,0)*VLOOKUP('Données projet'!$B$13,Paramètres!$A$1:$I$89,5,0)</f>
        <v>175.45111999999989</v>
      </c>
      <c r="CV118" s="13">
        <f t="shared" si="95"/>
        <v>44.308641469995869</v>
      </c>
      <c r="CW118" s="20">
        <f t="shared" si="67"/>
        <v>382.7482512269093</v>
      </c>
      <c r="CX118" s="59">
        <f t="shared" si="68"/>
        <v>676.08158456024262</v>
      </c>
      <c r="CY118" s="59">
        <f ca="1">AVERAGE(OFFSET($CX$3,0,0,'Données projet'!$E$13+1,1))-AVERAGE(OFFSET($H$3,0,0,'Données projet'!$E$13+1,1))</f>
        <v>330.87173217110126</v>
      </c>
      <c r="CZ118" s="59">
        <f t="shared" si="96"/>
        <v>200.52697135436102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45.493422062917411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45.493422062917411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4.583333333333333</v>
      </c>
      <c r="N119" s="13">
        <f>IF('Données projet'!$A$36&gt;35,N118+M119-V118,IF(A119&lt;'Données projet'!$A$36,$K$205^A119,IF(A119='Données projet'!$A$36,'Données projet'!$B$36,N118+M119-V118)))</f>
        <v>197.16666666666671</v>
      </c>
      <c r="O119" s="13">
        <f>N119*VLOOKUP('Données projet'!$B$9,Paramètres!$A$1:$I$89,3,0)*VLOOKUP('Données projet'!$B$9,Paramètres!$A$1:$I$89,5,0)</f>
        <v>178.39640000000003</v>
      </c>
      <c r="P119" s="13">
        <f t="shared" si="87"/>
        <v>44.965229109905842</v>
      </c>
      <c r="Q119" s="20">
        <f t="shared" si="107"/>
        <v>389.02150403308605</v>
      </c>
      <c r="R119" s="59">
        <f t="shared" si="55"/>
        <v>682.35483736641936</v>
      </c>
      <c r="S119" s="59">
        <f ca="1">AVERAGE(OFFSET($R$3,0,0,'Données projet'!$E$9+1,1))-AVERAGE(OFFSET($H$3,0,0,'Données projet'!$E$9+1,1))</f>
        <v>328.8796193543036</v>
      </c>
      <c r="T119" s="59">
        <f t="shared" si="88"/>
        <v>199.43308683696642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44.295835285302175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44.295835285302175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351.77274930064431</v>
      </c>
      <c r="AO119" s="59">
        <f t="shared" si="90"/>
        <v>386.10758060007078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55.225603070472154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55.225603070472154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288.19999999999931</v>
      </c>
      <c r="BE119" s="13">
        <f>BD119*VLOOKUP('Données projet'!$B$11,Paramètres!$A$1:$I$89,3,0)*VLOOKUP('Données projet'!$B$11,Paramètres!$A$1:$I$89,5,0)</f>
        <v>274.25111999999933</v>
      </c>
      <c r="BF119" s="13">
        <f t="shared" si="91"/>
        <v>65.750642318280384</v>
      </c>
      <c r="BG119" s="20">
        <f t="shared" si="61"/>
        <v>592.16973603767042</v>
      </c>
      <c r="BH119" s="59">
        <f t="shared" si="62"/>
        <v>885.50306937100368</v>
      </c>
      <c r="BI119" s="59">
        <f ca="1">AVERAGE(OFFSET($BH$3,0,0,'Données projet'!$E$11+1,1))-AVERAGE(OFFSET($H$3,0,0,'Données projet'!$E$11+1,1))</f>
        <v>438.62466697107681</v>
      </c>
      <c r="BJ119" s="59">
        <f t="shared" si="92"/>
        <v>241.18285512887627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-6.5028871176764376E-14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308.33000350259448</v>
      </c>
      <c r="CE119" s="59">
        <f t="shared" si="94"/>
        <v>282.64839194267171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68.6924175087089</v>
      </c>
      <c r="CL119" s="21">
        <f>EXP(-LN(2)/25)*CL118+(1-EXP(-LN(2)/25))/(LN(2)/25)*Calculateur!CG119*Calculateur!CI119*VLOOKUP('Données projet'!$B$12,Paramètres!$A$1:$I$89,3,0)*0.475*44/12</f>
        <v>13.624589981896181</v>
      </c>
      <c r="CM119" s="21">
        <f>EXP(-LN(2)/2)*CM118+(1-EXP(-LN(2)/2))/(LN(2)/2)*CG119*CJ119*VLOOKUP('Données projet'!$B$12,Paramètres!$A$1:$I$89,3,0)*0.475*44/12</f>
        <v>2.7925133817028789E-4</v>
      </c>
      <c r="CN119" s="22">
        <f t="shared" si="66"/>
        <v>82.317286741943249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3.6666666666666665</v>
      </c>
      <c r="CT119" s="12">
        <f>IF('Données projet'!$A$140&gt;35,CT118+CS119-DB118,IF(A119&lt;'Données projet'!$A$140,$CQ$205^A119,IF(A119='Données projet'!$A$140,'Données projet'!$B$140,CT118+CS119-DB118)))</f>
        <v>157.73333333333323</v>
      </c>
      <c r="CU119" s="17">
        <f>CT119*VLOOKUP('Données projet'!$B$13,Paramètres!$A$1:$I$89,3,0)*VLOOKUP('Données projet'!$B$13,Paramètres!$A$1:$I$89,5,0)</f>
        <v>179.62671999999989</v>
      </c>
      <c r="CV119" s="13">
        <f t="shared" si="95"/>
        <v>45.239128212721269</v>
      </c>
      <c r="CW119" s="20">
        <f t="shared" si="67"/>
        <v>391.64135230382271</v>
      </c>
      <c r="CX119" s="59">
        <f t="shared" si="68"/>
        <v>684.97468563715597</v>
      </c>
      <c r="CY119" s="59">
        <f ca="1">AVERAGE(OFFSET($CX$3,0,0,'Données projet'!$E$13+1,1))-AVERAGE(OFFSET($H$3,0,0,'Données projet'!$E$13+1,1))</f>
        <v>330.87173217110126</v>
      </c>
      <c r="CZ119" s="59">
        <f t="shared" si="96"/>
        <v>200.52697135436102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44.601323804511146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44.601323804511146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4.583333333333333</v>
      </c>
      <c r="N120" s="13">
        <f>IF('Données projet'!$A$36&gt;35,N119+M120-V119,IF(A120&lt;'Données projet'!$A$36,$K$205^A120,IF(A120='Données projet'!$A$36,'Données projet'!$B$36,N119+M120-V119)))</f>
        <v>201.75000000000006</v>
      </c>
      <c r="O120" s="13">
        <f>N120*VLOOKUP('Données projet'!$B$9,Paramètres!$A$1:$I$89,3,0)*VLOOKUP('Données projet'!$B$9,Paramètres!$A$1:$I$89,5,0)</f>
        <v>182.54340000000005</v>
      </c>
      <c r="P120" s="13">
        <f t="shared" si="87"/>
        <v>45.88758289222725</v>
      </c>
      <c r="Q120" s="20">
        <f t="shared" si="107"/>
        <v>397.8506285372959</v>
      </c>
      <c r="R120" s="59">
        <f t="shared" si="55"/>
        <v>691.18396187062922</v>
      </c>
      <c r="S120" s="59">
        <f ca="1">AVERAGE(OFFSET($R$3,0,0,'Données projet'!$E$9+1,1))-AVERAGE(OFFSET($H$3,0,0,'Données projet'!$E$9+1,1))</f>
        <v>328.8796193543036</v>
      </c>
      <c r="T120" s="59">
        <f t="shared" si="88"/>
        <v>199.43308683696642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43.42722097314914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43.42722097314914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351.77274930064431</v>
      </c>
      <c r="AO120" s="59">
        <f t="shared" si="90"/>
        <v>386.10758060007078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54.142662678552021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54.142662678552021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291.8999999999993</v>
      </c>
      <c r="BE120" s="13">
        <f>BD120*VLOOKUP('Données projet'!$B$11,Paramètres!$A$1:$I$89,3,0)*VLOOKUP('Données projet'!$B$11,Paramètres!$A$1:$I$89,5,0)</f>
        <v>277.77203999999932</v>
      </c>
      <c r="BF120" s="13">
        <f t="shared" si="91"/>
        <v>66.495958197400256</v>
      </c>
      <c r="BG120" s="20">
        <f t="shared" si="61"/>
        <v>599.6000968604709</v>
      </c>
      <c r="BH120" s="59">
        <f t="shared" si="62"/>
        <v>892.93343019380427</v>
      </c>
      <c r="BI120" s="59">
        <f ca="1">AVERAGE(OFFSET($BH$3,0,0,'Données projet'!$E$11+1,1))-AVERAGE(OFFSET($H$3,0,0,'Données projet'!$E$11+1,1))</f>
        <v>438.62466697107681</v>
      </c>
      <c r="BJ120" s="59">
        <f t="shared" si="92"/>
        <v>241.18285512887627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-6.5028871176764376E-14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308.33000350259448</v>
      </c>
      <c r="CE120" s="59">
        <f t="shared" si="94"/>
        <v>282.64839194267171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67.345401099600693</v>
      </c>
      <c r="CL120" s="21">
        <f>EXP(-LN(2)/25)*CL119+(1-EXP(-LN(2)/25))/(LN(2)/25)*Calculateur!CG120*Calculateur!CI120*VLOOKUP('Données projet'!$B$12,Paramètres!$A$1:$I$89,3,0)*0.475*44/12</f>
        <v>13.252024852355182</v>
      </c>
      <c r="CM120" s="21">
        <f>EXP(-LN(2)/2)*CM119+(1-EXP(-LN(2)/2))/(LN(2)/2)*CG120*CJ120*VLOOKUP('Données projet'!$B$12,Paramètres!$A$1:$I$89,3,0)*0.475*44/12</f>
        <v>1.9746051487562835E-4</v>
      </c>
      <c r="CN120" s="22">
        <f t="shared" si="66"/>
        <v>80.597623412470739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3.6666666666666665</v>
      </c>
      <c r="CT120" s="12">
        <f>IF('Données projet'!$A$140&gt;35,CT119+CS120-DB119,IF(A120&lt;'Données projet'!$A$140,$CQ$205^A120,IF(A120='Données projet'!$A$140,'Données projet'!$B$140,CT119+CS120-DB119)))</f>
        <v>161.39999999999989</v>
      </c>
      <c r="CU120" s="17">
        <f>CT120*VLOOKUP('Données projet'!$B$13,Paramètres!$A$1:$I$89,3,0)*VLOOKUP('Données projet'!$B$13,Paramètres!$A$1:$I$89,5,0)</f>
        <v>183.80231999999987</v>
      </c>
      <c r="CV120" s="13">
        <f t="shared" si="95"/>
        <v>46.16710037792334</v>
      </c>
      <c r="CW120" s="20">
        <f t="shared" si="67"/>
        <v>400.53007382488289</v>
      </c>
      <c r="CX120" s="59">
        <f t="shared" si="68"/>
        <v>693.86340715821621</v>
      </c>
      <c r="CY120" s="59">
        <f ca="1">AVERAGE(OFFSET($CX$3,0,0,'Données projet'!$E$13+1,1))-AVERAGE(OFFSET($H$3,0,0,'Données projet'!$E$13+1,1))</f>
        <v>330.87173217110126</v>
      </c>
      <c r="CZ120" s="59">
        <f t="shared" si="96"/>
        <v>200.52697135436102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43.72671904882602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43.72671904882602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4.583333333333333</v>
      </c>
      <c r="N121" s="13">
        <f>IF('Données projet'!$A$36&gt;35,N120+M121-V120,IF(A121&lt;'Données projet'!$A$36,$K$205^A121,IF(A121='Données projet'!$A$36,'Données projet'!$B$36,N120+M121-V120)))</f>
        <v>206.3333333333334</v>
      </c>
      <c r="O121" s="13">
        <f>N121*VLOOKUP('Données projet'!$B$9,Paramètres!$A$1:$I$89,3,0)*VLOOKUP('Données projet'!$B$9,Paramètres!$A$1:$I$89,5,0)</f>
        <v>186.69040000000004</v>
      </c>
      <c r="P121" s="13">
        <f t="shared" si="87"/>
        <v>46.807500637946397</v>
      </c>
      <c r="Q121" s="20">
        <f t="shared" si="107"/>
        <v>406.6755102777567</v>
      </c>
      <c r="R121" s="59">
        <f t="shared" si="55"/>
        <v>700.00884361109001</v>
      </c>
      <c r="S121" s="59">
        <f ca="1">AVERAGE(OFFSET($R$3,0,0,'Données projet'!$E$9+1,1))-AVERAGE(OFFSET($H$3,0,0,'Données projet'!$E$9+1,1))</f>
        <v>328.8796193543036</v>
      </c>
      <c r="T121" s="59">
        <f t="shared" si="88"/>
        <v>199.43308683696642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42.575639657855007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42.575639657855007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351.77274930064431</v>
      </c>
      <c r="AO121" s="59">
        <f t="shared" si="90"/>
        <v>386.10758060007078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53.080958087189025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53.080958087189025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295.59999999999928</v>
      </c>
      <c r="BE121" s="13">
        <f>BD121*VLOOKUP('Données projet'!$B$11,Paramètres!$A$1:$I$89,3,0)*VLOOKUP('Données projet'!$B$11,Paramètres!$A$1:$I$89,5,0)</f>
        <v>281.29295999999931</v>
      </c>
      <c r="BF121" s="13">
        <f t="shared" si="91"/>
        <v>67.240175189777432</v>
      </c>
      <c r="BG121" s="20">
        <f t="shared" si="61"/>
        <v>607.02854378886116</v>
      </c>
      <c r="BH121" s="59">
        <f t="shared" si="62"/>
        <v>900.36187712219453</v>
      </c>
      <c r="BI121" s="59">
        <f ca="1">AVERAGE(OFFSET($BH$3,0,0,'Données projet'!$E$11+1,1))-AVERAGE(OFFSET($H$3,0,0,'Données projet'!$E$11+1,1))</f>
        <v>438.62466697107681</v>
      </c>
      <c r="BJ121" s="59">
        <f t="shared" si="92"/>
        <v>241.18285512887627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-6.5028871176764376E-14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308.33000350259448</v>
      </c>
      <c r="CE121" s="59">
        <f t="shared" si="94"/>
        <v>282.64839194267171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66.024798860676214</v>
      </c>
      <c r="CL121" s="21">
        <f>EXP(-LN(2)/25)*CL120+(1-EXP(-LN(2)/25))/(LN(2)/25)*Calculateur!CG121*Calculateur!CI121*VLOOKUP('Données projet'!$B$12,Paramètres!$A$1:$I$89,3,0)*0.475*44/12</f>
        <v>12.889647535873831</v>
      </c>
      <c r="CM121" s="21">
        <f>EXP(-LN(2)/2)*CM120+(1-EXP(-LN(2)/2))/(LN(2)/2)*CG121*CJ121*VLOOKUP('Données projet'!$B$12,Paramètres!$A$1:$I$89,3,0)*0.475*44/12</f>
        <v>1.3962566908514394E-4</v>
      </c>
      <c r="CN121" s="22">
        <f t="shared" si="66"/>
        <v>78.914586022219126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3.6666666666666665</v>
      </c>
      <c r="CT121" s="12">
        <f>IF('Données projet'!$A$140&gt;35,CT120+CS121-DB120,IF(A121&lt;'Données projet'!$A$140,$CQ$205^A121,IF(A121='Données projet'!$A$140,'Données projet'!$B$140,CT120+CS121-DB120)))</f>
        <v>165.06666666666655</v>
      </c>
      <c r="CU121" s="17">
        <f>CT121*VLOOKUP('Données projet'!$B$13,Paramètres!$A$1:$I$89,3,0)*VLOOKUP('Données projet'!$B$13,Paramètres!$A$1:$I$89,5,0)</f>
        <v>187.97791999999987</v>
      </c>
      <c r="CV121" s="13">
        <f t="shared" si="95"/>
        <v>47.092621667763225</v>
      </c>
      <c r="CW121" s="20">
        <f t="shared" si="67"/>
        <v>409.4145267380207</v>
      </c>
      <c r="CX121" s="59">
        <f t="shared" si="68"/>
        <v>702.74786007135401</v>
      </c>
      <c r="CY121" s="59">
        <f ca="1">AVERAGE(OFFSET($CX$3,0,0,'Données projet'!$E$13+1,1))-AVERAGE(OFFSET($H$3,0,0,'Données projet'!$E$13+1,1))</f>
        <v>330.87173217110126</v>
      </c>
      <c r="CZ121" s="59">
        <f t="shared" si="96"/>
        <v>200.52697135436102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42.86926475894365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42.86926475894365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4.583333333333333</v>
      </c>
      <c r="N122" s="13">
        <f>IF('Données projet'!$A$36&gt;35,N121+M122-V121,IF(A122&lt;'Données projet'!$A$36,$K$205^A122,IF(A122='Données projet'!$A$36,'Données projet'!$B$36,N121+M122-V121)))</f>
        <v>210.91666666666674</v>
      </c>
      <c r="O122" s="13">
        <f>N122*VLOOKUP('Données projet'!$B$9,Paramètres!$A$1:$I$89,3,0)*VLOOKUP('Données projet'!$B$9,Paramètres!$A$1:$I$89,5,0)</f>
        <v>190.83740000000006</v>
      </c>
      <c r="P122" s="13">
        <f t="shared" si="87"/>
        <v>47.725042690009438</v>
      </c>
      <c r="Q122" s="20">
        <f t="shared" si="107"/>
        <v>415.49625435176654</v>
      </c>
      <c r="R122" s="59">
        <f t="shared" si="55"/>
        <v>708.8295876850998</v>
      </c>
      <c r="S122" s="59">
        <f ca="1">AVERAGE(OFFSET($R$3,0,0,'Données projet'!$E$9+1,1))-AVERAGE(OFFSET($H$3,0,0,'Données projet'!$E$9+1,1))</f>
        <v>328.8796193543036</v>
      </c>
      <c r="T122" s="59">
        <f t="shared" si="88"/>
        <v>199.43308683696642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41.740757332740479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41.740757332740479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351.77274930064431</v>
      </c>
      <c r="AO122" s="59">
        <f t="shared" si="90"/>
        <v>386.10758060007078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52.040072875286796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52.040072875286796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299.29999999999927</v>
      </c>
      <c r="BE122" s="13">
        <f>BD122*VLOOKUP('Données projet'!$B$11,Paramètres!$A$1:$I$89,3,0)*VLOOKUP('Données projet'!$B$11,Paramètres!$A$1:$I$89,5,0)</f>
        <v>284.8138799999993</v>
      </c>
      <c r="BF122" s="13">
        <f t="shared" si="91"/>
        <v>67.983308640752327</v>
      </c>
      <c r="BG122" s="20">
        <f t="shared" si="61"/>
        <v>614.455103549309</v>
      </c>
      <c r="BH122" s="59">
        <f t="shared" si="62"/>
        <v>907.78843688264237</v>
      </c>
      <c r="BI122" s="59">
        <f ca="1">AVERAGE(OFFSET($BH$3,0,0,'Données projet'!$E$11+1,1))-AVERAGE(OFFSET($H$3,0,0,'Données projet'!$E$11+1,1))</f>
        <v>438.62466697107681</v>
      </c>
      <c r="BJ122" s="59">
        <f t="shared" si="92"/>
        <v>241.18285512887627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-6.5028871176764376E-14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308.33000350259448</v>
      </c>
      <c r="CE122" s="59">
        <f t="shared" si="94"/>
        <v>282.64839194267171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64.730092826169212</v>
      </c>
      <c r="CL122" s="21">
        <f>EXP(-LN(2)/25)*CL121+(1-EXP(-LN(2)/25))/(LN(2)/25)*Calculateur!CG122*Calculateur!CI122*VLOOKUP('Données projet'!$B$12,Paramètres!$A$1:$I$89,3,0)*0.475*44/12</f>
        <v>12.537179446168256</v>
      </c>
      <c r="CM122" s="21">
        <f>EXP(-LN(2)/2)*CM121+(1-EXP(-LN(2)/2))/(LN(2)/2)*CG122*CJ122*VLOOKUP('Données projet'!$B$12,Paramètres!$A$1:$I$89,3,0)*0.475*44/12</f>
        <v>9.8730257437814174E-5</v>
      </c>
      <c r="CN122" s="22">
        <f t="shared" si="66"/>
        <v>77.267371002594899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3.6666666666666665</v>
      </c>
      <c r="CT122" s="12">
        <f>IF('Données projet'!$A$140&gt;35,CT121+CS122-DB121,IF(A122&lt;'Données projet'!$A$140,$CQ$205^A122,IF(A122='Données projet'!$A$140,'Données projet'!$B$140,CT121+CS122-DB121)))</f>
        <v>168.73333333333321</v>
      </c>
      <c r="CU122" s="17">
        <f>CT122*VLOOKUP('Données projet'!$B$13,Paramètres!$A$1:$I$89,3,0)*VLOOKUP('Données projet'!$B$13,Paramètres!$A$1:$I$89,5,0)</f>
        <v>192.15351999999987</v>
      </c>
      <c r="CV122" s="13">
        <f t="shared" si="95"/>
        <v>48.01575279275729</v>
      </c>
      <c r="CW122" s="20">
        <f t="shared" si="67"/>
        <v>418.29481678071869</v>
      </c>
      <c r="CX122" s="59">
        <f t="shared" si="68"/>
        <v>711.628150114052</v>
      </c>
      <c r="CY122" s="59">
        <f ca="1">AVERAGE(OFFSET($CX$3,0,0,'Données projet'!$E$13+1,1))-AVERAGE(OFFSET($H$3,0,0,'Données projet'!$E$13+1,1))</f>
        <v>330.87173217110126</v>
      </c>
      <c r="CZ122" s="59">
        <f t="shared" si="96"/>
        <v>200.52697135436102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42.028624624690401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42.028624624690401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4.583333333333333</v>
      </c>
      <c r="N123" s="13">
        <f>IF('Données projet'!$A$36&gt;35,N122+M123-V122,IF(A123&lt;'Données projet'!$A$36,$K$205^A123,IF(A123='Données projet'!$A$36,'Données projet'!$B$36,N122+M123-V122)))</f>
        <v>215.50000000000009</v>
      </c>
      <c r="O123" s="13">
        <f>N123*VLOOKUP('Données projet'!$B$9,Paramètres!$A$1:$I$89,3,0)*VLOOKUP('Données projet'!$B$9,Paramètres!$A$1:$I$89,5,0)</f>
        <v>194.98440000000008</v>
      </c>
      <c r="P123" s="13">
        <f t="shared" si="87"/>
        <v>48.640266619010525</v>
      </c>
      <c r="Q123" s="20">
        <f t="shared" si="107"/>
        <v>424.31296102811012</v>
      </c>
      <c r="R123" s="59">
        <f t="shared" si="55"/>
        <v>717.64629436144344</v>
      </c>
      <c r="S123" s="59">
        <f ca="1">AVERAGE(OFFSET($R$3,0,0,'Données projet'!$E$9+1,1))-AVERAGE(OFFSET($H$3,0,0,'Données projet'!$E$9+1,1))</f>
        <v>328.8796193543036</v>
      </c>
      <c r="T123" s="59">
        <f t="shared" si="88"/>
        <v>199.43308683696642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40.922246540793509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40.922246540793509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351.77274930064431</v>
      </c>
      <c r="AO123" s="59">
        <f t="shared" si="90"/>
        <v>386.10758060007078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51.019598787512685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51.019598787512685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302.99999999999926</v>
      </c>
      <c r="BE123" s="13">
        <f>BD123*VLOOKUP('Données projet'!$B$11,Paramètres!$A$1:$I$89,3,0)*VLOOKUP('Données projet'!$B$11,Paramètres!$A$1:$I$89,5,0)</f>
        <v>288.33479999999935</v>
      </c>
      <c r="BF123" s="13">
        <f t="shared" si="91"/>
        <v>68.725373494438784</v>
      </c>
      <c r="BG123" s="20">
        <f t="shared" si="61"/>
        <v>621.8798021694796</v>
      </c>
      <c r="BH123" s="59">
        <f t="shared" si="62"/>
        <v>915.21313550281297</v>
      </c>
      <c r="BI123" s="59">
        <f ca="1">AVERAGE(OFFSET($BH$3,0,0,'Données projet'!$E$11+1,1))-AVERAGE(OFFSET($H$3,0,0,'Données projet'!$E$11+1,1))</f>
        <v>438.62466697107681</v>
      </c>
      <c r="BJ123" s="59">
        <f t="shared" si="92"/>
        <v>241.18285512887627</v>
      </c>
      <c r="BK123" s="15">
        <f>IF(ISNA(VLOOKUP(A123,'Données projet'!$A$87:$I$107,3,0)),0,VLOOKUP(A123,'Données projet'!$A$87:$I$107,3,0))</f>
        <v>17</v>
      </c>
      <c r="BL123" s="15">
        <f>IF(ISNA(VLOOKUP(A123,'Données projet'!$A$87:$I$107,4,0)),0,VLOOKUP(A123,'Données projet'!$A$87:$I$107,4,0))</f>
        <v>35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-6.5028871176764376E-14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308.33000350259448</v>
      </c>
      <c r="CE123" s="59">
        <f t="shared" si="94"/>
        <v>282.64839194267171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63.46077518730619</v>
      </c>
      <c r="CL123" s="21">
        <f>EXP(-LN(2)/25)*CL122+(1-EXP(-LN(2)/25))/(LN(2)/25)*Calculateur!CG123*Calculateur!CI123*VLOOKUP('Données projet'!$B$12,Paramètres!$A$1:$I$89,3,0)*0.475*44/12</f>
        <v>12.194349614911172</v>
      </c>
      <c r="CM123" s="21">
        <f>EXP(-LN(2)/2)*CM122+(1-EXP(-LN(2)/2))/(LN(2)/2)*CG123*CJ123*VLOOKUP('Données projet'!$B$12,Paramètres!$A$1:$I$89,3,0)*0.475*44/12</f>
        <v>6.9812834542571972E-5</v>
      </c>
      <c r="CN123" s="22">
        <f t="shared" si="66"/>
        <v>75.655194615051897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3.6666666666666665</v>
      </c>
      <c r="CT123" s="12">
        <f>IF('Données projet'!$A$140&gt;35,CT122+CS123-DB122,IF(A123&lt;'Données projet'!$A$140,$CQ$205^A123,IF(A123='Données projet'!$A$140,'Données projet'!$B$140,CT122+CS123-DB122)))</f>
        <v>172.39999999999986</v>
      </c>
      <c r="CU123" s="17">
        <f>CT123*VLOOKUP('Données projet'!$B$13,Paramètres!$A$1:$I$89,3,0)*VLOOKUP('Données projet'!$B$13,Paramètres!$A$1:$I$89,5,0)</f>
        <v>196.32911999999985</v>
      </c>
      <c r="CV123" s="13">
        <f t="shared" si="95"/>
        <v>48.936551674182525</v>
      </c>
      <c r="CW123" s="20">
        <f t="shared" si="67"/>
        <v>427.17104483253434</v>
      </c>
      <c r="CX123" s="59">
        <f t="shared" si="68"/>
        <v>720.50437816586759</v>
      </c>
      <c r="CY123" s="59">
        <f ca="1">AVERAGE(OFFSET($CX$3,0,0,'Données projet'!$E$13+1,1))-AVERAGE(OFFSET($H$3,0,0,'Données projet'!$E$13+1,1))</f>
        <v>330.87173217110126</v>
      </c>
      <c r="CZ123" s="59">
        <f t="shared" si="96"/>
        <v>200.52697135436102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41.204468930730002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41.204468930730002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4.583333333333333</v>
      </c>
      <c r="N124" s="13">
        <f>IF('Données projet'!$A$36&gt;35,N123+M124-V123,IF(A124&lt;'Données projet'!$A$36,$K$205^A124,IF(A124='Données projet'!$A$36,'Données projet'!$B$36,N123+M124-V123)))</f>
        <v>220.08333333333343</v>
      </c>
      <c r="O124" s="13">
        <f>N124*VLOOKUP('Données projet'!$B$9,Paramètres!$A$1:$I$89,3,0)*VLOOKUP('Données projet'!$B$9,Paramètres!$A$1:$I$89,5,0)</f>
        <v>199.13140000000007</v>
      </c>
      <c r="P124" s="13">
        <f t="shared" si="87"/>
        <v>49.55322740677363</v>
      </c>
      <c r="Q124" s="20">
        <f t="shared" si="107"/>
        <v>433.12572606679754</v>
      </c>
      <c r="R124" s="59">
        <f t="shared" si="55"/>
        <v>726.45905940013085</v>
      </c>
      <c r="S124" s="59">
        <f ca="1">AVERAGE(OFFSET($R$3,0,0,'Données projet'!$E$9+1,1))-AVERAGE(OFFSET($H$3,0,0,'Données projet'!$E$9+1,1))</f>
        <v>328.8796193543036</v>
      </c>
      <c r="T124" s="59">
        <f t="shared" si="88"/>
        <v>199.43308683696642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40.119786246234334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40.119786246234334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351.77274930064431</v>
      </c>
      <c r="AO124" s="59">
        <f t="shared" si="90"/>
        <v>386.10758060007078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50.01913557417209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50.01913557417209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3.2</v>
      </c>
      <c r="BD124" s="12">
        <f>IF('Données projet'!$A$88&gt;35,BD123+BC124-BL123,IF(A124&lt;'Données projet'!$A$88,$BA$205^A124,IF(A124='Données projet'!$A$88,'Données projet'!$B$88,BD123+BC124-BL123)))</f>
        <v>271.19999999999925</v>
      </c>
      <c r="BE124" s="13">
        <f>BD124*VLOOKUP('Données projet'!$B$11,Paramètres!$A$1:$I$89,3,0)*VLOOKUP('Données projet'!$B$11,Paramètres!$A$1:$I$89,5,0)</f>
        <v>258.0739199999993</v>
      </c>
      <c r="BF124" s="13">
        <f t="shared" si="91"/>
        <v>62.311638032734159</v>
      </c>
      <c r="BG124" s="20">
        <f t="shared" si="61"/>
        <v>558.00484690701069</v>
      </c>
      <c r="BH124" s="59">
        <f t="shared" si="62"/>
        <v>851.33818024034395</v>
      </c>
      <c r="BI124" s="59">
        <f ca="1">AVERAGE(OFFSET($BH$3,0,0,'Données projet'!$E$11+1,1))-AVERAGE(OFFSET($H$3,0,0,'Données projet'!$E$11+1,1))</f>
        <v>438.62466697107681</v>
      </c>
      <c r="BJ124" s="59">
        <f t="shared" si="92"/>
        <v>241.18285512887627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-6.5028871176764376E-14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308.33000350259448</v>
      </c>
      <c r="CE124" s="59">
        <f t="shared" si="94"/>
        <v>282.64839194267171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62.216348093133959</v>
      </c>
      <c r="CL124" s="21">
        <f>EXP(-LN(2)/25)*CL123+(1-EXP(-LN(2)/25))/(LN(2)/25)*Calculateur!CG124*Calculateur!CI124*VLOOKUP('Données projet'!$B$12,Paramètres!$A$1:$I$89,3,0)*0.475*44/12</f>
        <v>11.86089448341845</v>
      </c>
      <c r="CM124" s="21">
        <f>EXP(-LN(2)/2)*CM123+(1-EXP(-LN(2)/2))/(LN(2)/2)*CG124*CJ124*VLOOKUP('Données projet'!$B$12,Paramètres!$A$1:$I$89,3,0)*0.475*44/12</f>
        <v>4.9365128718907087E-5</v>
      </c>
      <c r="CN124" s="22">
        <f t="shared" si="66"/>
        <v>74.077291941681125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3.6666666666666665</v>
      </c>
      <c r="CT124" s="12">
        <f>IF('Données projet'!$A$140&gt;35,CT123+CS124-DB123,IF(A124&lt;'Données projet'!$A$140,$CQ$205^A124,IF(A124='Données projet'!$A$140,'Données projet'!$B$140,CT123+CS124-DB123)))</f>
        <v>176.06666666666652</v>
      </c>
      <c r="CU124" s="17">
        <f>CT124*VLOOKUP('Données projet'!$B$13,Paramètres!$A$1:$I$89,3,0)*VLOOKUP('Données projet'!$B$13,Paramètres!$A$1:$I$89,5,0)</f>
        <v>200.50471999999985</v>
      </c>
      <c r="CV124" s="13">
        <f t="shared" si="95"/>
        <v>49.855073628776573</v>
      </c>
      <c r="CW124" s="20">
        <f t="shared" si="67"/>
        <v>436.04330723678567</v>
      </c>
      <c r="CX124" s="59">
        <f t="shared" si="68"/>
        <v>729.37664057011898</v>
      </c>
      <c r="CY124" s="59">
        <f ca="1">AVERAGE(OFFSET($CX$3,0,0,'Données projet'!$E$13+1,1))-AVERAGE(OFFSET($H$3,0,0,'Données projet'!$E$13+1,1))</f>
        <v>330.87173217110126</v>
      </c>
      <c r="CZ124" s="59">
        <f t="shared" si="96"/>
        <v>200.52697135436102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40.396474427242829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40.396474427242829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4.583333333333333</v>
      </c>
      <c r="N125" s="13">
        <f>IF('Données projet'!$A$36&gt;35,N124+M125-V124,IF(A125&lt;'Données projet'!$A$36,$K$205^A125,IF(A125='Données projet'!$A$36,'Données projet'!$B$36,N124+M125-V124)))</f>
        <v>224.66666666666677</v>
      </c>
      <c r="O125" s="13">
        <f>N125*VLOOKUP('Données projet'!$B$9,Paramètres!$A$1:$I$89,3,0)*VLOOKUP('Données projet'!$B$9,Paramètres!$A$1:$I$89,5,0)</f>
        <v>203.27840000000009</v>
      </c>
      <c r="P125" s="13">
        <f t="shared" si="87"/>
        <v>50.463977614209732</v>
      </c>
      <c r="Q125" s="20">
        <f t="shared" si="107"/>
        <v>441.93464101141541</v>
      </c>
      <c r="R125" s="59">
        <f t="shared" si="55"/>
        <v>735.26797434474872</v>
      </c>
      <c r="S125" s="59">
        <f ca="1">AVERAGE(OFFSET($R$3,0,0,'Données projet'!$E$9+1,1))-AVERAGE(OFFSET($H$3,0,0,'Données projet'!$E$9+1,1))</f>
        <v>328.8796193543036</v>
      </c>
      <c r="T125" s="59">
        <f t="shared" si="88"/>
        <v>199.43308683696642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39.333061708599011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39.333061708599011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351.77274930064431</v>
      </c>
      <c r="AO125" s="59">
        <f t="shared" si="90"/>
        <v>386.10758060007078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49.038290834222792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49.038290834222792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3.2</v>
      </c>
      <c r="BD125" s="12">
        <f>IF('Données projet'!$A$88&gt;35,BD124+BC125-BL124,IF(A125&lt;'Données projet'!$A$88,$BA$205^A125,IF(A125='Données projet'!$A$88,'Données projet'!$B$88,BD124+BC125-BL124)))</f>
        <v>274.39999999999924</v>
      </c>
      <c r="BE125" s="13">
        <f>BD125*VLOOKUP('Données projet'!$B$11,Paramètres!$A$1:$I$89,3,0)*VLOOKUP('Données projet'!$B$11,Paramètres!$A$1:$I$89,5,0)</f>
        <v>261.1190399999993</v>
      </c>
      <c r="BF125" s="13">
        <f t="shared" si="91"/>
        <v>62.960852407139463</v>
      </c>
      <c r="BG125" s="20">
        <f t="shared" si="61"/>
        <v>564.43914594243324</v>
      </c>
      <c r="BH125" s="59">
        <f t="shared" si="62"/>
        <v>857.7724792757665</v>
      </c>
      <c r="BI125" s="59">
        <f ca="1">AVERAGE(OFFSET($BH$3,0,0,'Données projet'!$E$11+1,1))-AVERAGE(OFFSET($H$3,0,0,'Données projet'!$E$11+1,1))</f>
        <v>438.62466697107681</v>
      </c>
      <c r="BJ125" s="59">
        <f t="shared" si="92"/>
        <v>241.18285512887627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-6.5028871176764376E-14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308.33000350259448</v>
      </c>
      <c r="CE125" s="59">
        <f t="shared" si="94"/>
        <v>282.64839194267171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60.996323455252863</v>
      </c>
      <c r="CL125" s="21">
        <f>EXP(-LN(2)/25)*CL124+(1-EXP(-LN(2)/25))/(LN(2)/25)*Calculateur!CG125*Calculateur!CI125*VLOOKUP('Données projet'!$B$12,Paramètres!$A$1:$I$89,3,0)*0.475*44/12</f>
        <v>11.53655770003204</v>
      </c>
      <c r="CM125" s="21">
        <f>EXP(-LN(2)/2)*CM124+(1-EXP(-LN(2)/2))/(LN(2)/2)*CG125*CJ125*VLOOKUP('Données projet'!$B$12,Paramètres!$A$1:$I$89,3,0)*0.475*44/12</f>
        <v>3.4906417271285986E-5</v>
      </c>
      <c r="CN125" s="22">
        <f t="shared" si="66"/>
        <v>72.532916061702167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3.6666666666666665</v>
      </c>
      <c r="CT125" s="12">
        <f>IF('Données projet'!$A$140&gt;35,CT124+CS125-DB124,IF(A125&lt;'Données projet'!$A$140,$CQ$205^A125,IF(A125='Données projet'!$A$140,'Données projet'!$B$140,CT124+CS125-DB124)))</f>
        <v>179.73333333333318</v>
      </c>
      <c r="CU125" s="17">
        <f>CT125*VLOOKUP('Données projet'!$B$13,Paramètres!$A$1:$I$89,3,0)*VLOOKUP('Données projet'!$B$13,Paramètres!$A$1:$I$89,5,0)</f>
        <v>204.68031999999982</v>
      </c>
      <c r="CV125" s="13">
        <f t="shared" si="95"/>
        <v>50.771371537617647</v>
      </c>
      <c r="CW125" s="20">
        <f t="shared" si="67"/>
        <v>444.91169609468375</v>
      </c>
      <c r="CX125" s="59">
        <f t="shared" si="68"/>
        <v>738.24502942801701</v>
      </c>
      <c r="CY125" s="59">
        <f ca="1">AVERAGE(OFFSET($CX$3,0,0,'Données projet'!$E$13+1,1))-AVERAGE(OFFSET($H$3,0,0,'Données projet'!$E$13+1,1))</f>
        <v>330.87173217110126</v>
      </c>
      <c r="CZ125" s="59">
        <f t="shared" si="96"/>
        <v>200.52697135436102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39.604324203141054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39.604324203141054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4.583333333333333</v>
      </c>
      <c r="N126" s="13">
        <f>IF('Données projet'!$A$36&gt;35,N125+M126-V125,IF(A126&lt;'Données projet'!$A$36,$K$205^A126,IF(A126='Données projet'!$A$36,'Données projet'!$B$36,N125+M126-V125)))</f>
        <v>229.25000000000011</v>
      </c>
      <c r="O126" s="13">
        <f>N126*VLOOKUP('Données projet'!$B$9,Paramètres!$A$1:$I$89,3,0)*VLOOKUP('Données projet'!$B$9,Paramètres!$A$1:$I$89,5,0)</f>
        <v>207.42540000000011</v>
      </c>
      <c r="P126" s="13">
        <f t="shared" si="87"/>
        <v>51.372567535090162</v>
      </c>
      <c r="Q126" s="20">
        <f t="shared" si="107"/>
        <v>450.73979345694892</v>
      </c>
      <c r="R126" s="59">
        <f t="shared" si="55"/>
        <v>744.07312679028223</v>
      </c>
      <c r="S126" s="59">
        <f ca="1">AVERAGE(OFFSET($R$3,0,0,'Données projet'!$E$9+1,1))-AVERAGE(OFFSET($H$3,0,0,'Données projet'!$E$9+1,1))</f>
        <v>328.8796193543036</v>
      </c>
      <c r="T126" s="59">
        <f t="shared" si="88"/>
        <v>199.43308683696642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38.561764359292134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38.561764359292134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351.77274930064431</v>
      </c>
      <c r="AO126" s="59">
        <f t="shared" si="90"/>
        <v>386.10758060007078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48.076679861367687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48.076679861367687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3.2</v>
      </c>
      <c r="BD126" s="12">
        <f>IF('Données projet'!$A$88&gt;35,BD125+BC126-BL125,IF(A126&lt;'Données projet'!$A$88,$BA$205^A126,IF(A126='Données projet'!$A$88,'Données projet'!$B$88,BD125+BC126-BL125)))</f>
        <v>277.59999999999923</v>
      </c>
      <c r="BE126" s="13">
        <f>BD126*VLOOKUP('Données projet'!$B$11,Paramètres!$A$1:$I$89,3,0)*VLOOKUP('Données projet'!$B$11,Paramètres!$A$1:$I$89,5,0)</f>
        <v>264.1641599999993</v>
      </c>
      <c r="BF126" s="13">
        <f t="shared" si="91"/>
        <v>63.609186092368212</v>
      </c>
      <c r="BG126" s="20">
        <f t="shared" si="61"/>
        <v>570.87191111087338</v>
      </c>
      <c r="BH126" s="59">
        <f t="shared" si="62"/>
        <v>864.20524444420676</v>
      </c>
      <c r="BI126" s="59">
        <f ca="1">AVERAGE(OFFSET($BH$3,0,0,'Données projet'!$E$11+1,1))-AVERAGE(OFFSET($H$3,0,0,'Données projet'!$E$11+1,1))</f>
        <v>438.62466697107681</v>
      </c>
      <c r="BJ126" s="59">
        <f t="shared" si="92"/>
        <v>241.18285512887627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-6.5028871176764376E-14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308.33000350259448</v>
      </c>
      <c r="CE126" s="59">
        <f t="shared" si="94"/>
        <v>282.64839194267171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59.800222756379064</v>
      </c>
      <c r="CL126" s="21">
        <f>EXP(-LN(2)/25)*CL125+(1-EXP(-LN(2)/25))/(LN(2)/25)*Calculateur!CG126*Calculateur!CI126*VLOOKUP('Données projet'!$B$12,Paramètres!$A$1:$I$89,3,0)*0.475*44/12</f>
        <v>11.221089923043461</v>
      </c>
      <c r="CM126" s="21">
        <f>EXP(-LN(2)/2)*CM125+(1-EXP(-LN(2)/2))/(LN(2)/2)*CG126*CJ126*VLOOKUP('Données projet'!$B$12,Paramètres!$A$1:$I$89,3,0)*0.475*44/12</f>
        <v>2.4682564359453544E-5</v>
      </c>
      <c r="CN126" s="22">
        <f t="shared" si="66"/>
        <v>71.02133736198688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3.6666666666666665</v>
      </c>
      <c r="CT126" s="12">
        <f>IF('Données projet'!$A$140&gt;35,CT125+CS126-DB125,IF(A126&lt;'Données projet'!$A$140,$CQ$205^A126,IF(A126='Données projet'!$A$140,'Données projet'!$B$140,CT125+CS126-DB125)))</f>
        <v>183.39999999999984</v>
      </c>
      <c r="CU126" s="17">
        <f>CT126*VLOOKUP('Données projet'!$B$13,Paramètres!$A$1:$I$89,3,0)*VLOOKUP('Données projet'!$B$13,Paramètres!$A$1:$I$89,5,0)</f>
        <v>208.8559199999998</v>
      </c>
      <c r="CV126" s="13">
        <f t="shared" si="95"/>
        <v>51.685496000834029</v>
      </c>
      <c r="CW126" s="20">
        <f t="shared" si="67"/>
        <v>453.77629953478549</v>
      </c>
      <c r="CX126" s="59">
        <f t="shared" si="68"/>
        <v>747.10963286811875</v>
      </c>
      <c r="CY126" s="59">
        <f ca="1">AVERAGE(OFFSET($CX$3,0,0,'Données projet'!$E$13+1,1))-AVERAGE(OFFSET($H$3,0,0,'Données projet'!$E$13+1,1))</f>
        <v>330.87173217110126</v>
      </c>
      <c r="CZ126" s="59">
        <f t="shared" si="96"/>
        <v>200.52697135436102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38.827707561769991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38.827707561769991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4.583333333333333</v>
      </c>
      <c r="N127" s="13">
        <f>IF('Données projet'!$A$36&gt;35,N126+M127-V126,IF(A127&lt;'Données projet'!$A$36,$K$205^A127,IF(A127='Données projet'!$A$36,'Données projet'!$B$36,N126+M127-V126)))</f>
        <v>233.83333333333346</v>
      </c>
      <c r="O127" s="13">
        <f>N127*VLOOKUP('Données projet'!$B$9,Paramètres!$A$1:$I$89,3,0)*VLOOKUP('Données projet'!$B$9,Paramètres!$A$1:$I$89,5,0)</f>
        <v>211.5724000000001</v>
      </c>
      <c r="P127" s="13">
        <f t="shared" si="87"/>
        <v>52.279045337174708</v>
      </c>
      <c r="Q127" s="20">
        <f t="shared" si="107"/>
        <v>459.54126729557947</v>
      </c>
      <c r="R127" s="59">
        <f t="shared" si="55"/>
        <v>752.87460062891273</v>
      </c>
      <c r="S127" s="59">
        <f ca="1">AVERAGE(OFFSET($R$3,0,0,'Données projet'!$E$9+1,1))-AVERAGE(OFFSET($H$3,0,0,'Données projet'!$E$9+1,1))</f>
        <v>328.8796193543036</v>
      </c>
      <c r="T127" s="59">
        <f t="shared" si="88"/>
        <v>199.43308683696642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37.805591680560234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37.805591680560234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351.77274930064431</v>
      </c>
      <c r="AO127" s="59">
        <f t="shared" si="90"/>
        <v>386.10758060007078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47.133925493165492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47.133925493165492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3.2</v>
      </c>
      <c r="BD127" s="12">
        <f>IF('Données projet'!$A$88&gt;35,BD126+BC127-BL126,IF(A127&lt;'Données projet'!$A$88,$BA$205^A127,IF(A127='Données projet'!$A$88,'Données projet'!$B$88,BD126+BC127-BL126)))</f>
        <v>280.79999999999922</v>
      </c>
      <c r="BE127" s="13">
        <f>BD127*VLOOKUP('Données projet'!$B$11,Paramètres!$A$1:$I$89,3,0)*VLOOKUP('Données projet'!$B$11,Paramètres!$A$1:$I$89,5,0)</f>
        <v>267.2092799999993</v>
      </c>
      <c r="BF127" s="13">
        <f t="shared" si="91"/>
        <v>64.256650415057905</v>
      </c>
      <c r="BG127" s="20">
        <f t="shared" si="61"/>
        <v>577.30316213955791</v>
      </c>
      <c r="BH127" s="59">
        <f t="shared" si="62"/>
        <v>870.63649547289128</v>
      </c>
      <c r="BI127" s="59">
        <f ca="1">AVERAGE(OFFSET($BH$3,0,0,'Données projet'!$E$11+1,1))-AVERAGE(OFFSET($H$3,0,0,'Données projet'!$E$11+1,1))</f>
        <v>438.62466697107681</v>
      </c>
      <c r="BJ127" s="59">
        <f t="shared" si="92"/>
        <v>241.18285512887627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-6.5028871176764376E-14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308.33000350259448</v>
      </c>
      <c r="CE127" s="59">
        <f t="shared" si="94"/>
        <v>282.64839194267171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58.627576862660788</v>
      </c>
      <c r="CL127" s="21">
        <f>EXP(-LN(2)/25)*CL126+(1-EXP(-LN(2)/25))/(LN(2)/25)*Calculateur!CG127*Calculateur!CI127*VLOOKUP('Données projet'!$B$12,Paramètres!$A$1:$I$89,3,0)*0.475*44/12</f>
        <v>10.914248629006366</v>
      </c>
      <c r="CM127" s="21">
        <f>EXP(-LN(2)/2)*CM126+(1-EXP(-LN(2)/2))/(LN(2)/2)*CG127*CJ127*VLOOKUP('Données projet'!$B$12,Paramètres!$A$1:$I$89,3,0)*0.475*44/12</f>
        <v>1.7453208635642993E-5</v>
      </c>
      <c r="CN127" s="22">
        <f t="shared" si="66"/>
        <v>69.541842944875796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3.6666666666666665</v>
      </c>
      <c r="CT127" s="12">
        <f>IF('Données projet'!$A$140&gt;35,CT126+CS127-DB126,IF(A127&lt;'Données projet'!$A$140,$CQ$205^A127,IF(A127='Données projet'!$A$140,'Données projet'!$B$140,CT126+CS127-DB126)))</f>
        <v>187.06666666666649</v>
      </c>
      <c r="CU127" s="17">
        <f>CT127*VLOOKUP('Données projet'!$B$13,Paramètres!$A$1:$I$89,3,0)*VLOOKUP('Données projet'!$B$13,Paramètres!$A$1:$I$89,5,0)</f>
        <v>213.0315199999998</v>
      </c>
      <c r="CV127" s="13">
        <f t="shared" si="95"/>
        <v>52.597495479592425</v>
      </c>
      <c r="CW127" s="20">
        <f t="shared" si="67"/>
        <v>462.63720196028976</v>
      </c>
      <c r="CX127" s="59">
        <f t="shared" si="68"/>
        <v>755.97053529362302</v>
      </c>
      <c r="CY127" s="59">
        <f ca="1">AVERAGE(OFFSET($CX$3,0,0,'Données projet'!$E$13+1,1))-AVERAGE(OFFSET($H$3,0,0,'Données projet'!$E$13+1,1))</f>
        <v>330.87173217110126</v>
      </c>
      <c r="CZ127" s="59">
        <f t="shared" si="96"/>
        <v>200.52697135436102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38.066319899046832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38.066319899046832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4.583333333333333</v>
      </c>
      <c r="N128" s="13">
        <f>IF('Données projet'!$A$36&gt;35,N127+M128-V127,IF(A128&lt;'Données projet'!$A$36,$K$205^A128,IF(A128='Données projet'!$A$36,'Données projet'!$B$36,N127+M128-V127)))</f>
        <v>238.4166666666668</v>
      </c>
      <c r="O128" s="13">
        <f>N128*VLOOKUP('Données projet'!$B$9,Paramètres!$A$1:$I$89,3,0)*VLOOKUP('Données projet'!$B$9,Paramètres!$A$1:$I$89,5,0)</f>
        <v>215.71940000000009</v>
      </c>
      <c r="P128" s="13">
        <f t="shared" si="87"/>
        <v>53.183457191962297</v>
      </c>
      <c r="Q128" s="20">
        <f t="shared" si="107"/>
        <v>468.33914294266782</v>
      </c>
      <c r="R128" s="59">
        <f t="shared" si="55"/>
        <v>761.67247627600113</v>
      </c>
      <c r="S128" s="59">
        <f ca="1">AVERAGE(OFFSET($R$3,0,0,'Données projet'!$E$9+1,1))-AVERAGE(OFFSET($H$3,0,0,'Données projet'!$E$9+1,1))</f>
        <v>328.8796193543036</v>
      </c>
      <c r="T128" s="59">
        <f t="shared" si="88"/>
        <v>199.43308683696642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37.064247086838471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37.064247086838471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351.77274930064431</v>
      </c>
      <c r="AO128" s="59">
        <f t="shared" si="90"/>
        <v>386.10758060007078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46.209657963100355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46.209657963100355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3.2</v>
      </c>
      <c r="BD128" s="12">
        <f>IF('Données projet'!$A$88&gt;35,BD127+BC128-BL127,IF(A128&lt;'Données projet'!$A$88,$BA$205^A128,IF(A128='Données projet'!$A$88,'Données projet'!$B$88,BD127+BC128-BL127)))</f>
        <v>283.9999999999992</v>
      </c>
      <c r="BE128" s="13">
        <f>BD128*VLOOKUP('Données projet'!$B$11,Paramètres!$A$1:$I$89,3,0)*VLOOKUP('Données projet'!$B$11,Paramètres!$A$1:$I$89,5,0)</f>
        <v>270.25439999999924</v>
      </c>
      <c r="BF128" s="13">
        <f t="shared" si="91"/>
        <v>64.903256428828143</v>
      </c>
      <c r="BG128" s="20">
        <f t="shared" si="61"/>
        <v>583.73291828020763</v>
      </c>
      <c r="BH128" s="59">
        <f t="shared" si="62"/>
        <v>877.066251613541</v>
      </c>
      <c r="BI128" s="59">
        <f ca="1">AVERAGE(OFFSET($BH$3,0,0,'Données projet'!$E$11+1,1))-AVERAGE(OFFSET($H$3,0,0,'Données projet'!$E$11+1,1))</f>
        <v>438.62466697107681</v>
      </c>
      <c r="BJ128" s="59">
        <f t="shared" si="92"/>
        <v>241.18285512887627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-6.5028871176764376E-14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308.33000350259448</v>
      </c>
      <c r="CE128" s="59">
        <f t="shared" si="94"/>
        <v>282.64839194267171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57.47792583967496</v>
      </c>
      <c r="CL128" s="21">
        <f>EXP(-LN(2)/25)*CL127+(1-EXP(-LN(2)/25))/(LN(2)/25)*Calculateur!CG128*Calculateur!CI128*VLOOKUP('Données projet'!$B$12,Paramètres!$A$1:$I$89,3,0)*0.475*44/12</f>
        <v>10.615797926290796</v>
      </c>
      <c r="CM128" s="21">
        <f>EXP(-LN(2)/2)*CM127+(1-EXP(-LN(2)/2))/(LN(2)/2)*CG128*CJ128*VLOOKUP('Données projet'!$B$12,Paramètres!$A$1:$I$89,3,0)*0.475*44/12</f>
        <v>1.2341282179726772E-5</v>
      </c>
      <c r="CN128" s="22">
        <f t="shared" si="66"/>
        <v>68.093736107247949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3.6666666666666665</v>
      </c>
      <c r="CT128" s="12">
        <f>IF('Données projet'!$A$140&gt;35,CT127+CS128-DB127,IF(A128&lt;'Données projet'!$A$140,$CQ$205^A128,IF(A128='Données projet'!$A$140,'Données projet'!$B$140,CT127+CS128-DB127)))</f>
        <v>190.73333333333315</v>
      </c>
      <c r="CU128" s="17">
        <f>CT128*VLOOKUP('Données projet'!$B$13,Paramètres!$A$1:$I$89,3,0)*VLOOKUP('Données projet'!$B$13,Paramètres!$A$1:$I$89,5,0)</f>
        <v>217.20711999999978</v>
      </c>
      <c r="CV128" s="13">
        <f t="shared" si="95"/>
        <v>53.507416426638805</v>
      </c>
      <c r="CW128" s="20">
        <f t="shared" si="67"/>
        <v>471.4944842763955</v>
      </c>
      <c r="CX128" s="59">
        <f t="shared" si="68"/>
        <v>764.82781760972875</v>
      </c>
      <c r="CY128" s="59">
        <f ca="1">AVERAGE(OFFSET($CX$3,0,0,'Données projet'!$E$13+1,1))-AVERAGE(OFFSET($H$3,0,0,'Données projet'!$E$13+1,1))</f>
        <v>330.87173217110126</v>
      </c>
      <c r="CZ128" s="59">
        <f t="shared" si="96"/>
        <v>200.52697135436102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37.319862583989057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37.319862583989057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>
        <f>VLOOKUP(A129,'Données projet'!$A$35:$I$55,2,0)</f>
        <v>243</v>
      </c>
      <c r="L129" s="12">
        <f>VLOOKUP(A129,'Données projet'!$A$35:$I$55,9,0)</f>
        <v>4.583333333333333</v>
      </c>
      <c r="M129" s="12">
        <f t="array" ref="M129">INDEX(L:L,MIN(IF(ISNUMBER(L129:L325),ROW(L129:L325),"")))</f>
        <v>4.583333333333333</v>
      </c>
      <c r="N129" s="13">
        <f>IF('Données projet'!$A$36&gt;35,N128+M129-V128,IF(A129&lt;'Données projet'!$A$36,$K$205^A129,IF(A129='Données projet'!$A$36,'Données projet'!$B$36,N128+M129-V128)))</f>
        <v>243.00000000000014</v>
      </c>
      <c r="O129" s="13">
        <f>N129*VLOOKUP('Données projet'!$B$9,Paramètres!$A$1:$I$89,3,0)*VLOOKUP('Données projet'!$B$9,Paramètres!$A$1:$I$89,5,0)</f>
        <v>219.86640000000014</v>
      </c>
      <c r="P129" s="13">
        <f t="shared" si="87"/>
        <v>54.085847394182466</v>
      </c>
      <c r="Q129" s="20">
        <f t="shared" si="107"/>
        <v>477.13349754486808</v>
      </c>
      <c r="R129" s="59">
        <f t="shared" si="55"/>
        <v>770.46683087820134</v>
      </c>
      <c r="S129" s="59">
        <f ca="1">AVERAGE(OFFSET($R$3,0,0,'Données projet'!$E$9+1,1))-AVERAGE(OFFSET($H$3,0,0,'Données projet'!$E$9+1,1))</f>
        <v>328.8796193543036</v>
      </c>
      <c r="T129" s="59">
        <f t="shared" si="88"/>
        <v>199.43308683696642</v>
      </c>
      <c r="U129" s="15">
        <f>IF(ISNA(VLOOKUP(A129,'Données projet'!$A$35:$I$55,3,0)),0,VLOOKUP(A129,'Données projet'!$A$35:$I$55,3,0))</f>
        <v>10</v>
      </c>
      <c r="V129" s="15">
        <f>IF(ISNA(VLOOKUP(A129,'Données projet'!$A$35:$I$55,4,0)),0,VLOOKUP(A129,'Données projet'!$A$35:$I$55,4,0))</f>
        <v>38</v>
      </c>
      <c r="W129" s="16">
        <f>IF(ISNA(VLOOKUP(A129,'Données projet'!$A$35:$I$55,5,0)),0%,VLOOKUP(A129,'Données projet'!$A$35:$I$55,5,0)*VLOOKUP('Données projet'!$B$9,Paramètres!$A$1:$I$89,7,0))</f>
        <v>0.38700000000000001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51.04681629722122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51.04681629722122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351.77274930064431</v>
      </c>
      <c r="AO129" s="59">
        <f t="shared" si="90"/>
        <v>386.10758060007078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45.303514755552264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45.303514755552264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3.2</v>
      </c>
      <c r="BD129" s="12">
        <f>IF('Données projet'!$A$88&gt;35,BD128+BC129-BL128,IF(A129&lt;'Données projet'!$A$88,$BA$205^A129,IF(A129='Données projet'!$A$88,'Données projet'!$B$88,BD128+BC129-BL128)))</f>
        <v>287.19999999999919</v>
      </c>
      <c r="BE129" s="13">
        <f>BD129*VLOOKUP('Données projet'!$B$11,Paramètres!$A$1:$I$89,3,0)*VLOOKUP('Données projet'!$B$11,Paramètres!$A$1:$I$89,5,0)</f>
        <v>273.29951999999923</v>
      </c>
      <c r="BF129" s="13">
        <f t="shared" si="91"/>
        <v>65.54901492386152</v>
      </c>
      <c r="BG129" s="20">
        <f t="shared" si="61"/>
        <v>590.16119832572406</v>
      </c>
      <c r="BH129" s="59">
        <f t="shared" si="62"/>
        <v>883.49453165905743</v>
      </c>
      <c r="BI129" s="59">
        <f ca="1">AVERAGE(OFFSET($BH$3,0,0,'Données projet'!$E$11+1,1))-AVERAGE(OFFSET($H$3,0,0,'Données projet'!$E$11+1,1))</f>
        <v>438.62466697107681</v>
      </c>
      <c r="BJ129" s="59">
        <f t="shared" si="92"/>
        <v>241.18285512887627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-6.5028871176764376E-14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308.33000350259448</v>
      </c>
      <c r="CE129" s="59">
        <f t="shared" si="94"/>
        <v>282.64839194267171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56.350818772032</v>
      </c>
      <c r="CL129" s="21">
        <f>EXP(-LN(2)/25)*CL128+(1-EXP(-LN(2)/25))/(LN(2)/25)*Calculateur!CG129*Calculateur!CI129*VLOOKUP('Données projet'!$B$12,Paramètres!$A$1:$I$89,3,0)*0.475*44/12</f>
        <v>10.325508373735824</v>
      </c>
      <c r="CM129" s="21">
        <f>EXP(-LN(2)/2)*CM128+(1-EXP(-LN(2)/2))/(LN(2)/2)*CG129*CJ129*VLOOKUP('Données projet'!$B$12,Paramètres!$A$1:$I$89,3,0)*0.475*44/12</f>
        <v>8.7266043178214965E-6</v>
      </c>
      <c r="CN129" s="22">
        <f t="shared" si="66"/>
        <v>66.67633587237215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>
        <f>VLOOKUP(A129,'Données projet'!$A$139:$I$159,2,0)</f>
        <v>194.4</v>
      </c>
      <c r="CR129" s="12">
        <f>VLOOKUP(A129,'Données projet'!$A$139:$I$159,9,0)</f>
        <v>3.6666666666666665</v>
      </c>
      <c r="CS129" s="12">
        <f t="array" ref="CS129">INDEX(CR:CR,MIN(IF(ISNUMBER(CR129:CR325),ROW(CR129:CR325),"")))</f>
        <v>3.6666666666666665</v>
      </c>
      <c r="CT129" s="12">
        <f>IF('Données projet'!$A$140&gt;35,CT128+CS129-DB128,IF(A129&lt;'Données projet'!$A$140,$CQ$205^A129,IF(A129='Données projet'!$A$140,'Données projet'!$B$140,CT128+CS129-DB128)))</f>
        <v>194.39999999999981</v>
      </c>
      <c r="CU129" s="17">
        <f>CT129*VLOOKUP('Données projet'!$B$13,Paramètres!$A$1:$I$89,3,0)*VLOOKUP('Données projet'!$B$13,Paramètres!$A$1:$I$89,5,0)</f>
        <v>221.38271999999981</v>
      </c>
      <c r="CV129" s="13">
        <f t="shared" si="95"/>
        <v>54.415303406517403</v>
      </c>
      <c r="CW129" s="20">
        <f t="shared" si="67"/>
        <v>480.34822409968405</v>
      </c>
      <c r="CX129" s="59">
        <f t="shared" si="68"/>
        <v>773.68155743301736</v>
      </c>
      <c r="CY129" s="59">
        <f ca="1">AVERAGE(OFFSET($CX$3,0,0,'Données projet'!$E$13+1,1))-AVERAGE(OFFSET($H$3,0,0,'Données projet'!$E$13+1,1))</f>
        <v>330.87173217110126</v>
      </c>
      <c r="CZ129" s="59">
        <f t="shared" si="96"/>
        <v>200.52697135436102</v>
      </c>
      <c r="DA129" s="15">
        <f>IF(ISNA(VLOOKUP(A129,'Données projet'!$A$139:$I$159,3,0)),0,VLOOKUP(A129,'Données projet'!$A$139:$I$159,3,0))</f>
        <v>10</v>
      </c>
      <c r="DB129" s="15">
        <f>IF(ISNA(VLOOKUP(A129,'Données projet'!$A$139:$I$159,4,0)),0,VLOOKUP(A129,'Données projet'!$A$139:$I$159,4,0))</f>
        <v>30.400000000000002</v>
      </c>
      <c r="DC129" s="16">
        <f>IF(ISNA(VLOOKUP(A129,'Données projet'!$A$139:$I$159,5,0)),0%,VLOOKUP(A129,'Données projet'!$A$139:$I$159,5,0)*VLOOKUP('Données projet'!$B$13,Paramètres!$A$1:$I$89,7,0))</f>
        <v>0.38700000000000001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51.398863306167556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51.398863306167556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4.75</v>
      </c>
      <c r="N130" s="13">
        <f>IF('Données projet'!$A$36&gt;35,N129+M130-V129,IF(A130&lt;'Données projet'!$A$36,$K$205^A130,IF(A130='Données projet'!$A$36,'Données projet'!$B$36,N129+M130-V129)))</f>
        <v>209.75000000000014</v>
      </c>
      <c r="O130" s="13">
        <f>N130*VLOOKUP('Données projet'!$B$9,Paramètres!$A$1:$I$89,3,0)*VLOOKUP('Données projet'!$B$9,Paramètres!$A$1:$I$89,5,0)</f>
        <v>189.78180000000012</v>
      </c>
      <c r="P130" s="13">
        <f t="shared" si="87"/>
        <v>47.491708703567703</v>
      </c>
      <c r="Q130" s="20">
        <f t="shared" si="107"/>
        <v>413.25136099204724</v>
      </c>
      <c r="R130" s="59">
        <f t="shared" si="55"/>
        <v>706.5846943253805</v>
      </c>
      <c r="S130" s="59">
        <f ca="1">AVERAGE(OFFSET($R$3,0,0,'Données projet'!$E$9+1,1))-AVERAGE(OFFSET($H$3,0,0,'Données projet'!$E$9+1,1))</f>
        <v>328.8796193543036</v>
      </c>
      <c r="T130" s="59">
        <f t="shared" si="88"/>
        <v>199.43308683696642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50.04581936511628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50.04581936511628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351.77274930064431</v>
      </c>
      <c r="AO130" s="59">
        <f t="shared" si="90"/>
        <v>386.10758060007078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44.415140463611408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44.415140463611408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3.2</v>
      </c>
      <c r="BD130" s="12">
        <f>IF('Données projet'!$A$88&gt;35,BD129+BC130-BL129,IF(A130&lt;'Données projet'!$A$88,$BA$205^A130,IF(A130='Données projet'!$A$88,'Données projet'!$B$88,BD129+BC130-BL129)))</f>
        <v>290.39999999999918</v>
      </c>
      <c r="BE130" s="13">
        <f>BD130*VLOOKUP('Données projet'!$B$11,Paramètres!$A$1:$I$89,3,0)*VLOOKUP('Données projet'!$B$11,Paramètres!$A$1:$I$89,5,0)</f>
        <v>276.34463999999923</v>
      </c>
      <c r="BF130" s="13">
        <f t="shared" si="91"/>
        <v>66.193936436046002</v>
      </c>
      <c r="BG130" s="20">
        <f t="shared" si="61"/>
        <v>596.5880206261121</v>
      </c>
      <c r="BH130" s="59">
        <f t="shared" si="62"/>
        <v>889.92135395944547</v>
      </c>
      <c r="BI130" s="59">
        <f ca="1">AVERAGE(OFFSET($BH$3,0,0,'Données projet'!$E$11+1,1))-AVERAGE(OFFSET($H$3,0,0,'Données projet'!$E$11+1,1))</f>
        <v>438.62466697107681</v>
      </c>
      <c r="BJ130" s="59">
        <f t="shared" si="92"/>
        <v>241.18285512887627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-6.5028871176764376E-14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308.33000350259448</v>
      </c>
      <c r="CE130" s="59">
        <f t="shared" si="94"/>
        <v>282.64839194267171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55.245813586518089</v>
      </c>
      <c r="CL130" s="21">
        <f>EXP(-LN(2)/25)*CL129+(1-EXP(-LN(2)/25))/(LN(2)/25)*Calculateur!CG130*Calculateur!CI130*VLOOKUP('Données projet'!$B$12,Paramètres!$A$1:$I$89,3,0)*0.475*44/12</f>
        <v>10.043156804261132</v>
      </c>
      <c r="CM130" s="21">
        <f>EXP(-LN(2)/2)*CM129+(1-EXP(-LN(2)/2))/(LN(2)/2)*CG130*CJ130*VLOOKUP('Données projet'!$B$12,Paramètres!$A$1:$I$89,3,0)*0.475*44/12</f>
        <v>6.1706410898633859E-6</v>
      </c>
      <c r="CN130" s="22">
        <f t="shared" si="66"/>
        <v>65.288976561420313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3.800000000000002</v>
      </c>
      <c r="CT130" s="12">
        <f>IF('Données projet'!$A$140&gt;35,CT129+CS130-DB129,IF(A130&lt;'Données projet'!$A$140,$CQ$205^A130,IF(A130='Données projet'!$A$140,'Données projet'!$B$140,CT129+CS130-DB129)))</f>
        <v>167.79999999999981</v>
      </c>
      <c r="CU130" s="17">
        <f>CT130*VLOOKUP('Données projet'!$B$13,Paramètres!$A$1:$I$89,3,0)*VLOOKUP('Données projet'!$B$13,Paramètres!$A$1:$I$89,5,0)</f>
        <v>191.09063999999978</v>
      </c>
      <c r="CV130" s="13">
        <f t="shared" si="95"/>
        <v>47.78099748653559</v>
      </c>
      <c r="CW130" s="20">
        <f t="shared" si="67"/>
        <v>416.03476862238244</v>
      </c>
      <c r="CX130" s="59">
        <f t="shared" si="68"/>
        <v>709.3681019557157</v>
      </c>
      <c r="CY130" s="59">
        <f ca="1">AVERAGE(OFFSET($CX$3,0,0,'Données projet'!$E$13+1,1))-AVERAGE(OFFSET($H$3,0,0,'Données projet'!$E$13+1,1))</f>
        <v>330.87173217110126</v>
      </c>
      <c r="CZ130" s="59">
        <f t="shared" si="96"/>
        <v>200.52697135436102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50.390962946944647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50.390962946944647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4.75</v>
      </c>
      <c r="N131" s="13">
        <f>IF('Données projet'!$A$36&gt;35,N130+M131-V130,IF(A131&lt;'Données projet'!$A$36,$K$205^A131,IF(A131='Données projet'!$A$36,'Données projet'!$B$36,N130+M131-V130)))</f>
        <v>214.50000000000014</v>
      </c>
      <c r="O131" s="13">
        <f>N131*VLOOKUP('Données projet'!$B$9,Paramètres!$A$1:$I$89,3,0)*VLOOKUP('Données projet'!$B$9,Paramètres!$A$1:$I$89,5,0)</f>
        <v>194.07960000000011</v>
      </c>
      <c r="P131" s="13">
        <f t="shared" si="87"/>
        <v>48.440776285484404</v>
      </c>
      <c r="Q131" s="20">
        <f t="shared" ref="Q131:Q153" si="108">(O131+P131)*0.475*44/12</f>
        <v>422.38965536388554</v>
      </c>
      <c r="R131" s="59">
        <f t="shared" ref="R131:R194" si="109">Q131+(I131+J131)*44/12</f>
        <v>715.72298869721885</v>
      </c>
      <c r="S131" s="59">
        <f ca="1">AVERAGE(OFFSET($R$3,0,0,'Données projet'!$E$9+1,1))-AVERAGE(OFFSET($H$3,0,0,'Données projet'!$E$9+1,1))</f>
        <v>328.8796193543036</v>
      </c>
      <c r="T131" s="59">
        <f t="shared" si="88"/>
        <v>199.43308683696642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49.064451372302074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49.064451372302074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351.77274930064431</v>
      </c>
      <c r="AO131" s="59">
        <f t="shared" si="90"/>
        <v>386.10758060007078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43.544186649680704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43.544186649680704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3.2</v>
      </c>
      <c r="BD131" s="12">
        <f>IF('Données projet'!$A$88&gt;35,BD130+BC131-BL130,IF(A131&lt;'Données projet'!$A$88,$BA$205^A131,IF(A131='Données projet'!$A$88,'Données projet'!$B$88,BD130+BC131-BL130)))</f>
        <v>293.59999999999917</v>
      </c>
      <c r="BE131" s="13">
        <f>BD131*VLOOKUP('Données projet'!$B$11,Paramètres!$A$1:$I$89,3,0)*VLOOKUP('Données projet'!$B$11,Paramètres!$A$1:$I$89,5,0)</f>
        <v>279.38975999999923</v>
      </c>
      <c r="BF131" s="13">
        <f t="shared" si="91"/>
        <v>66.838031255702703</v>
      </c>
      <c r="BG131" s="20">
        <f t="shared" si="61"/>
        <v>603.01340310368084</v>
      </c>
      <c r="BH131" s="59">
        <f t="shared" si="62"/>
        <v>896.34673643701421</v>
      </c>
      <c r="BI131" s="59">
        <f ca="1">AVERAGE(OFFSET($BH$3,0,0,'Données projet'!$E$11+1,1))-AVERAGE(OFFSET($H$3,0,0,'Données projet'!$E$11+1,1))</f>
        <v>438.62466697107681</v>
      </c>
      <c r="BJ131" s="59">
        <f t="shared" si="92"/>
        <v>241.18285512887627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-6.5028871176764376E-14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308.33000350259448</v>
      </c>
      <c r="CE131" s="59">
        <f t="shared" si="94"/>
        <v>282.64839194267171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54.16247687870549</v>
      </c>
      <c r="CL131" s="21">
        <f>EXP(-LN(2)/25)*CL130+(1-EXP(-LN(2)/25))/(LN(2)/25)*Calculateur!CG131*Calculateur!CI131*VLOOKUP('Données projet'!$B$12,Paramètres!$A$1:$I$89,3,0)*0.475*44/12</f>
        <v>9.7685261533019485</v>
      </c>
      <c r="CM131" s="21">
        <f>EXP(-LN(2)/2)*CM130+(1-EXP(-LN(2)/2))/(LN(2)/2)*CG131*CJ131*VLOOKUP('Données projet'!$B$12,Paramètres!$A$1:$I$89,3,0)*0.475*44/12</f>
        <v>4.3633021589107482E-6</v>
      </c>
      <c r="CN131" s="22">
        <f t="shared" si="66"/>
        <v>63.931007395309599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3.800000000000002</v>
      </c>
      <c r="CT131" s="12">
        <f>IF('Données projet'!$A$140&gt;35,CT130+CS131-DB130,IF(A131&lt;'Données projet'!$A$140,$CQ$205^A131,IF(A131='Données projet'!$A$140,'Données projet'!$B$140,CT130+CS131-DB130)))</f>
        <v>171.59999999999982</v>
      </c>
      <c r="CU131" s="17">
        <f>CT131*VLOOKUP('Données projet'!$B$13,Paramètres!$A$1:$I$89,3,0)*VLOOKUP('Données projet'!$B$13,Paramètres!$A$1:$I$89,5,0)</f>
        <v>195.4180799999998</v>
      </c>
      <c r="CV131" s="13">
        <f t="shared" si="95"/>
        <v>48.735846174527893</v>
      </c>
      <c r="CW131" s="20">
        <f t="shared" si="67"/>
        <v>425.23475475396907</v>
      </c>
      <c r="CX131" s="59">
        <f t="shared" si="68"/>
        <v>718.56808808730239</v>
      </c>
      <c r="CY131" s="59">
        <f ca="1">AVERAGE(OFFSET($CX$3,0,0,'Données projet'!$E$13+1,1))-AVERAGE(OFFSET($H$3,0,0,'Données projet'!$E$13+1,1))</f>
        <v>330.87173217110126</v>
      </c>
      <c r="CZ131" s="59">
        <f t="shared" si="96"/>
        <v>200.52697135436102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49.402826899007586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49.402826899007586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4.75</v>
      </c>
      <c r="N132" s="13">
        <f>IF('Données projet'!$A$36&gt;35,N131+M132-V131,IF(A132&lt;'Données projet'!$A$36,$K$205^A132,IF(A132='Données projet'!$A$36,'Données projet'!$B$36,N131+M132-V131)))</f>
        <v>219.25000000000014</v>
      </c>
      <c r="O132" s="13">
        <f>N132*VLOOKUP('Données projet'!$B$9,Paramètres!$A$1:$I$89,3,0)*VLOOKUP('Données projet'!$B$9,Paramètres!$A$1:$I$89,5,0)</f>
        <v>198.37740000000014</v>
      </c>
      <c r="P132" s="13">
        <f t="shared" si="87"/>
        <v>49.387400468650199</v>
      </c>
      <c r="Q132" s="20">
        <f t="shared" si="108"/>
        <v>431.52369414956593</v>
      </c>
      <c r="R132" s="59">
        <f t="shared" si="109"/>
        <v>724.85702748289918</v>
      </c>
      <c r="S132" s="59">
        <f ca="1">AVERAGE(OFFSET($R$3,0,0,'Données projet'!$E$9+1,1))-AVERAGE(OFFSET($H$3,0,0,'Données projet'!$E$9+1,1))</f>
        <v>328.8796193543036</v>
      </c>
      <c r="T132" s="59">
        <f t="shared" si="88"/>
        <v>199.43308683696642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48.102327407251586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48.102327407251586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351.77274930064431</v>
      </c>
      <c r="AO132" s="59">
        <f t="shared" si="90"/>
        <v>386.10758060007078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42.690311708811805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42.690311708811805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3.2</v>
      </c>
      <c r="BD132" s="12">
        <f>IF('Données projet'!$A$88&gt;35,BD131+BC132-BL131,IF(A132&lt;'Données projet'!$A$88,$BA$205^A132,IF(A132='Données projet'!$A$88,'Données projet'!$B$88,BD131+BC132-BL131)))</f>
        <v>296.79999999999916</v>
      </c>
      <c r="BE132" s="13">
        <f>BD132*VLOOKUP('Données projet'!$B$11,Paramètres!$A$1:$I$89,3,0)*VLOOKUP('Données projet'!$B$11,Paramètres!$A$1:$I$89,5,0)</f>
        <v>282.43487999999923</v>
      </c>
      <c r="BF132" s="13">
        <f t="shared" si="91"/>
        <v>67.481309435922114</v>
      </c>
      <c r="BG132" s="20">
        <f t="shared" ref="BG132:BG153" si="115">(BE132+BF132)*0.475*44/12</f>
        <v>609.437363267563</v>
      </c>
      <c r="BH132" s="59">
        <f t="shared" ref="BH132:BH195" si="116">BG132+(AY132+AZ132)*44/12</f>
        <v>902.77069660089637</v>
      </c>
      <c r="BI132" s="59">
        <f ca="1">AVERAGE(OFFSET($BH$3,0,0,'Données projet'!$E$11+1,1))-AVERAGE(OFFSET($H$3,0,0,'Données projet'!$E$11+1,1))</f>
        <v>438.62466697107681</v>
      </c>
      <c r="BJ132" s="59">
        <f t="shared" si="92"/>
        <v>241.18285512887627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-6.5028871176764376E-14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308.33000350259448</v>
      </c>
      <c r="CE132" s="59">
        <f t="shared" si="94"/>
        <v>282.64839194267171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53.100383742962954</v>
      </c>
      <c r="CL132" s="21">
        <f>EXP(-LN(2)/25)*CL131+(1-EXP(-LN(2)/25))/(LN(2)/25)*Calculateur!CG132*Calculateur!CI132*VLOOKUP('Données projet'!$B$12,Paramètres!$A$1:$I$89,3,0)*0.475*44/12</f>
        <v>9.501405291935443</v>
      </c>
      <c r="CM132" s="21">
        <f>EXP(-LN(2)/2)*CM131+(1-EXP(-LN(2)/2))/(LN(2)/2)*CG132*CJ132*VLOOKUP('Données projet'!$B$12,Paramètres!$A$1:$I$89,3,0)*0.475*44/12</f>
        <v>3.0853205449316929E-6</v>
      </c>
      <c r="CN132" s="22">
        <f t="shared" ref="CN132:CN153" si="120">SUM(CK132:CM132)</f>
        <v>62.601792120218938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3.800000000000002</v>
      </c>
      <c r="CT132" s="12">
        <f>IF('Données projet'!$A$140&gt;35,CT131+CS132-DB131,IF(A132&lt;'Données projet'!$A$140,$CQ$205^A132,IF(A132='Données projet'!$A$140,'Données projet'!$B$140,CT131+CS132-DB131)))</f>
        <v>175.39999999999984</v>
      </c>
      <c r="CU132" s="17">
        <f>CT132*VLOOKUP('Données projet'!$B$13,Paramètres!$A$1:$I$89,3,0)*VLOOKUP('Données projet'!$B$13,Paramètres!$A$1:$I$89,5,0)</f>
        <v>199.74551999999983</v>
      </c>
      <c r="CV132" s="13">
        <f t="shared" si="95"/>
        <v>49.688236580163874</v>
      </c>
      <c r="CW132" s="20">
        <f t="shared" ref="CW132:CW153" si="121">(CU132+CV132)*0.475*44/12</f>
        <v>434.43045937711844</v>
      </c>
      <c r="CX132" s="59">
        <f t="shared" ref="CX132:CX195" si="122">CW132+(CO132+CP132)*44/12</f>
        <v>727.76379271045175</v>
      </c>
      <c r="CY132" s="59">
        <f ca="1">AVERAGE(OFFSET($CX$3,0,0,'Données projet'!$E$13+1,1))-AVERAGE(OFFSET($H$3,0,0,'Données projet'!$E$13+1,1))</f>
        <v>330.87173217110126</v>
      </c>
      <c r="CZ132" s="59">
        <f t="shared" si="96"/>
        <v>200.52697135436102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48.434067596267091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48.434067596267091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4.75</v>
      </c>
      <c r="N133" s="13">
        <f>IF('Données projet'!$A$36&gt;35,N132+M133-V132,IF(A133&lt;'Données projet'!$A$36,$K$205^A133,IF(A133='Données projet'!$A$36,'Données projet'!$B$36,N132+M133-V132)))</f>
        <v>224.00000000000014</v>
      </c>
      <c r="O133" s="13">
        <f>N133*VLOOKUP('Données projet'!$B$9,Paramètres!$A$1:$I$89,3,0)*VLOOKUP('Données projet'!$B$9,Paramètres!$A$1:$I$89,5,0)</f>
        <v>202.67520000000013</v>
      </c>
      <c r="P133" s="13">
        <f t="shared" ref="P133:P196" si="141">EXP(-1.0587+0.8836*LN(O133)+0.284)</f>
        <v>50.331640285313689</v>
      </c>
      <c r="Q133" s="20">
        <f t="shared" si="108"/>
        <v>440.65358016358823</v>
      </c>
      <c r="R133" s="59">
        <f t="shared" si="109"/>
        <v>733.98691349692149</v>
      </c>
      <c r="S133" s="59">
        <f ca="1">AVERAGE(OFFSET($R$3,0,0,'Données projet'!$E$9+1,1))-AVERAGE(OFFSET($H$3,0,0,'Données projet'!$E$9+1,1))</f>
        <v>328.8796193543036</v>
      </c>
      <c r="T133" s="59">
        <f t="shared" ref="T133:T196" si="142">$T$3</f>
        <v>199.43308683696642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47.159070106318062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47.159070106318062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351.77274930064431</v>
      </c>
      <c r="AO133" s="59">
        <f t="shared" ref="AO133:AO196" si="144">$AO$3</f>
        <v>386.10758060007078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41.853180734721057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41.853180734721057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300</v>
      </c>
      <c r="BB133" s="12">
        <f>VLOOKUP(A133,'Données projet'!$A$87:$I$107,9,0)</f>
        <v>3.2</v>
      </c>
      <c r="BC133" s="12">
        <f t="array" ref="BC133">INDEX(BB:BB,MIN(IF(ISNUMBER(BB133:BB329),ROW(BB133:BB329),"")))</f>
        <v>3.2</v>
      </c>
      <c r="BD133" s="12">
        <f>IF('Données projet'!$A$88&gt;35,BD132+BC133-BL132,IF(A133&lt;'Données projet'!$A$88,$BA$205^A133,IF(A133='Données projet'!$A$88,'Données projet'!$B$88,BD132+BC133-BL132)))</f>
        <v>299.99999999999915</v>
      </c>
      <c r="BE133" s="13">
        <f>BD133*VLOOKUP('Données projet'!$B$11,Paramètres!$A$1:$I$89,3,0)*VLOOKUP('Données projet'!$B$11,Paramètres!$A$1:$I$89,5,0)</f>
        <v>285.47999999999922</v>
      </c>
      <c r="BF133" s="13">
        <f t="shared" ref="BF133:BF153" si="145">EXP(-1.0587+0.8836*LN(BE133)+0.284)</f>
        <v>68.123780800530582</v>
      </c>
      <c r="BG133" s="20">
        <f t="shared" si="115"/>
        <v>615.85991822758945</v>
      </c>
      <c r="BH133" s="59">
        <f t="shared" si="116"/>
        <v>909.19325156092282</v>
      </c>
      <c r="BI133" s="59">
        <f ca="1">AVERAGE(OFFSET($BH$3,0,0,'Données projet'!$E$11+1,1))-AVERAGE(OFFSET($H$3,0,0,'Données projet'!$E$11+1,1))</f>
        <v>438.62466697107681</v>
      </c>
      <c r="BJ133" s="59">
        <f t="shared" ref="BJ133:BJ196" si="146">$BJ$3</f>
        <v>241.18285512887627</v>
      </c>
      <c r="BK133" s="15">
        <f>IF(ISNA(VLOOKUP(A133,'Données projet'!$A$87:$I$107,3,0)),0,VLOOKUP(A133,'Données projet'!$A$87:$I$107,3,0))</f>
        <v>18</v>
      </c>
      <c r="BL133" s="15">
        <f>IF(ISNA(VLOOKUP(A133,'Données projet'!$A$87:$I$107,4,0)),0,VLOOKUP(A133,'Données projet'!$A$87:$I$107,4,0))</f>
        <v>31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-6.5028871176764376E-14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308.33000350259448</v>
      </c>
      <c r="CE133" s="59">
        <f t="shared" ref="CE133:CE196" si="148">$CE$3</f>
        <v>282.64839194267171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52.059117605799479</v>
      </c>
      <c r="CL133" s="21">
        <f>EXP(-LN(2)/25)*CL132+(1-EXP(-LN(2)/25))/(LN(2)/25)*Calculateur!CG133*Calculateur!CI133*VLOOKUP('Données projet'!$B$12,Paramètres!$A$1:$I$89,3,0)*0.475*44/12</f>
        <v>9.2415888645702804</v>
      </c>
      <c r="CM133" s="21">
        <f>EXP(-LN(2)/2)*CM132+(1-EXP(-LN(2)/2))/(LN(2)/2)*CG133*CJ133*VLOOKUP('Données projet'!$B$12,Paramètres!$A$1:$I$89,3,0)*0.475*44/12</f>
        <v>2.1816510794553741E-6</v>
      </c>
      <c r="CN133" s="22">
        <f t="shared" si="120"/>
        <v>61.300708652020838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3.800000000000002</v>
      </c>
      <c r="CT133" s="12">
        <f>IF('Données projet'!$A$140&gt;35,CT132+CS133-DB132,IF(A133&lt;'Données projet'!$A$140,$CQ$205^A133,IF(A133='Données projet'!$A$140,'Données projet'!$B$140,CT132+CS133-DB132)))</f>
        <v>179.19999999999985</v>
      </c>
      <c r="CU133" s="17">
        <f>CT133*VLOOKUP('Données projet'!$B$13,Paramètres!$A$1:$I$89,3,0)*VLOOKUP('Données projet'!$B$13,Paramètres!$A$1:$I$89,5,0)</f>
        <v>204.07295999999982</v>
      </c>
      <c r="CV133" s="13">
        <f t="shared" ref="CV133:CV153" si="149">EXP(-1.0587+0.8836*LN(CU133)+0.284)</f>
        <v>50.638228095278549</v>
      </c>
      <c r="CW133" s="20">
        <f t="shared" si="121"/>
        <v>443.62198593260979</v>
      </c>
      <c r="CX133" s="59">
        <f t="shared" si="122"/>
        <v>736.9553192659431</v>
      </c>
      <c r="CY133" s="59">
        <f ca="1">AVERAGE(OFFSET($CX$3,0,0,'Données projet'!$E$13+1,1))-AVERAGE(OFFSET($H$3,0,0,'Données projet'!$E$13+1,1))</f>
        <v>330.87173217110126</v>
      </c>
      <c r="CZ133" s="59">
        <f t="shared" ref="CZ133:CZ196" si="150">$CZ$3</f>
        <v>200.52697135436102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47.48430507256851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47.48430507256851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4.75</v>
      </c>
      <c r="N134" s="13">
        <f>IF('Données projet'!$A$36&gt;35,N133+M134-V133,IF(A134&lt;'Données projet'!$A$36,$K$205^A134,IF(A134='Données projet'!$A$36,'Données projet'!$B$36,N133+M134-V133)))</f>
        <v>228.75000000000014</v>
      </c>
      <c r="O134" s="13">
        <f>N134*VLOOKUP('Données projet'!$B$9,Paramètres!$A$1:$I$89,3,0)*VLOOKUP('Données projet'!$B$9,Paramètres!$A$1:$I$89,5,0)</f>
        <v>206.97300000000013</v>
      </c>
      <c r="P134" s="13">
        <f t="shared" si="141"/>
        <v>51.273552121085558</v>
      </c>
      <c r="Q134" s="20">
        <f t="shared" si="108"/>
        <v>449.77941161089092</v>
      </c>
      <c r="R134" s="59">
        <f t="shared" si="109"/>
        <v>743.11274494422423</v>
      </c>
      <c r="S134" s="59">
        <f ca="1">AVERAGE(OFFSET($R$3,0,0,'Données projet'!$E$9+1,1))-AVERAGE(OFFSET($H$3,0,0,'Données projet'!$E$9+1,1))</f>
        <v>328.8796193543036</v>
      </c>
      <c r="T134" s="59">
        <f t="shared" si="142"/>
        <v>199.43308683696642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46.234309505725705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46.234309505725705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351.77274930064431</v>
      </c>
      <c r="AO134" s="59">
        <f t="shared" si="144"/>
        <v>386.10758060007078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41.032465388432755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41.032465388432755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2.7</v>
      </c>
      <c r="BD134" s="12">
        <f>IF('Données projet'!$A$88&gt;35,BD133+BC134-BL133,IF(A134&lt;'Données projet'!$A$88,$BA$205^A134,IF(A134='Données projet'!$A$88,'Données projet'!$B$88,BD133+BC134-BL133)))</f>
        <v>271.69999999999914</v>
      </c>
      <c r="BE134" s="13">
        <f>BD134*VLOOKUP('Données projet'!$B$11,Paramètres!$A$1:$I$89,3,0)*VLOOKUP('Données projet'!$B$11,Paramètres!$A$1:$I$89,5,0)</f>
        <v>258.54971999999918</v>
      </c>
      <c r="BF134" s="13">
        <f t="shared" si="145"/>
        <v>62.413136298925998</v>
      </c>
      <c r="BG134" s="20">
        <f t="shared" si="115"/>
        <v>559.01030805396135</v>
      </c>
      <c r="BH134" s="59">
        <f t="shared" si="116"/>
        <v>852.34364138729461</v>
      </c>
      <c r="BI134" s="59">
        <f ca="1">AVERAGE(OFFSET($BH$3,0,0,'Données projet'!$E$11+1,1))-AVERAGE(OFFSET($H$3,0,0,'Données projet'!$E$11+1,1))</f>
        <v>438.62466697107681</v>
      </c>
      <c r="BJ134" s="59">
        <f t="shared" si="146"/>
        <v>241.18285512887627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-6.5028871176764376E-14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308.33000350259448</v>
      </c>
      <c r="CE134" s="59">
        <f t="shared" si="148"/>
        <v>282.64839194267171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51.038270062476151</v>
      </c>
      <c r="CL134" s="21">
        <f>EXP(-LN(2)/25)*CL133+(1-EXP(-LN(2)/25))/(LN(2)/25)*Calculateur!CG134*Calculateur!CI134*VLOOKUP('Données projet'!$B$12,Paramètres!$A$1:$I$89,3,0)*0.475*44/12</f>
        <v>8.9888771310745703</v>
      </c>
      <c r="CM134" s="21">
        <f>EXP(-LN(2)/2)*CM133+(1-EXP(-LN(2)/2))/(LN(2)/2)*CG134*CJ134*VLOOKUP('Données projet'!$B$12,Paramètres!$A$1:$I$89,3,0)*0.475*44/12</f>
        <v>1.5426602724658465E-6</v>
      </c>
      <c r="CN134" s="22">
        <f t="shared" si="120"/>
        <v>60.027148736210989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3.800000000000002</v>
      </c>
      <c r="CT134" s="12">
        <f>IF('Données projet'!$A$140&gt;35,CT133+CS134-DB133,IF(A134&lt;'Données projet'!$A$140,$CQ$205^A134,IF(A134='Données projet'!$A$140,'Données projet'!$B$140,CT133+CS134-DB133)))</f>
        <v>182.99999999999986</v>
      </c>
      <c r="CU134" s="17">
        <f>CT134*VLOOKUP('Données projet'!$B$13,Paramètres!$A$1:$I$89,3,0)*VLOOKUP('Données projet'!$B$13,Paramètres!$A$1:$I$89,5,0)</f>
        <v>208.40039999999985</v>
      </c>
      <c r="CV134" s="13">
        <f t="shared" si="149"/>
        <v>51.585877448947201</v>
      </c>
      <c r="CW134" s="20">
        <f t="shared" si="121"/>
        <v>452.80943322358263</v>
      </c>
      <c r="CX134" s="59">
        <f t="shared" si="122"/>
        <v>746.14276655691594</v>
      </c>
      <c r="CY134" s="59">
        <f ca="1">AVERAGE(OFFSET($CX$3,0,0,'Données projet'!$E$13+1,1))-AVERAGE(OFFSET($H$3,0,0,'Données projet'!$E$13+1,1))</f>
        <v>330.87173217110126</v>
      </c>
      <c r="CZ134" s="59">
        <f t="shared" si="150"/>
        <v>200.52697135436102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46.553166812661722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46.553166812661722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4.75</v>
      </c>
      <c r="N135" s="13">
        <f>IF('Données projet'!$A$36&gt;35,N134+M135-V134,IF(A135&lt;'Données projet'!$A$36,$K$205^A135,IF(A135='Données projet'!$A$36,'Données projet'!$B$36,N134+M135-V134)))</f>
        <v>233.50000000000014</v>
      </c>
      <c r="O135" s="13">
        <f>N135*VLOOKUP('Données projet'!$B$9,Paramètres!$A$1:$I$89,3,0)*VLOOKUP('Données projet'!$B$9,Paramètres!$A$1:$I$89,5,0)</f>
        <v>211.27080000000009</v>
      </c>
      <c r="P135" s="13">
        <f t="shared" si="141"/>
        <v>52.213189886050465</v>
      </c>
      <c r="Q135" s="20">
        <f t="shared" si="108"/>
        <v>458.90128238487137</v>
      </c>
      <c r="R135" s="59">
        <f t="shared" si="109"/>
        <v>752.23461571820462</v>
      </c>
      <c r="S135" s="59">
        <f ca="1">AVERAGE(OFFSET($R$3,0,0,'Données projet'!$E$9+1,1))-AVERAGE(OFFSET($H$3,0,0,'Données projet'!$E$9+1,1))</f>
        <v>328.8796193543036</v>
      </c>
      <c r="T135" s="59">
        <f t="shared" si="142"/>
        <v>199.43308683696642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45.32768289646269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45.32768289646269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351.77274930064431</v>
      </c>
      <c r="AO135" s="59">
        <f t="shared" si="144"/>
        <v>386.10758060007078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40.227843769498229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40.227843769498229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2.7</v>
      </c>
      <c r="BD135" s="12">
        <f>IF('Données projet'!$A$88&gt;35,BD134+BC135-BL134,IF(A135&lt;'Données projet'!$A$88,$BA$205^A135,IF(A135='Données projet'!$A$88,'Données projet'!$B$88,BD134+BC135-BL134)))</f>
        <v>274.39999999999912</v>
      </c>
      <c r="BE135" s="13">
        <f>BD135*VLOOKUP('Données projet'!$B$11,Paramètres!$A$1:$I$89,3,0)*VLOOKUP('Données projet'!$B$11,Paramètres!$A$1:$I$89,5,0)</f>
        <v>261.11903999999919</v>
      </c>
      <c r="BF135" s="13">
        <f t="shared" si="145"/>
        <v>62.960852407139463</v>
      </c>
      <c r="BG135" s="20">
        <f t="shared" si="115"/>
        <v>564.43914594243313</v>
      </c>
      <c r="BH135" s="59">
        <f t="shared" si="116"/>
        <v>857.7724792757665</v>
      </c>
      <c r="BI135" s="59">
        <f ca="1">AVERAGE(OFFSET($BH$3,0,0,'Données projet'!$E$11+1,1))-AVERAGE(OFFSET($H$3,0,0,'Données projet'!$E$11+1,1))</f>
        <v>438.62466697107681</v>
      </c>
      <c r="BJ135" s="59">
        <f t="shared" si="146"/>
        <v>241.18285512887627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-6.5028871176764376E-14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308.33000350259448</v>
      </c>
      <c r="CE135" s="59">
        <f t="shared" si="148"/>
        <v>282.64839194267171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50.03744071682187</v>
      </c>
      <c r="CL135" s="21">
        <f>EXP(-LN(2)/25)*CL134+(1-EXP(-LN(2)/25))/(LN(2)/25)*Calculateur!CG135*Calculateur!CI135*VLOOKUP('Données projet'!$B$12,Paramètres!$A$1:$I$89,3,0)*0.475*44/12</f>
        <v>8.7430758132208322</v>
      </c>
      <c r="CM135" s="21">
        <f>EXP(-LN(2)/2)*CM134+(1-EXP(-LN(2)/2))/(LN(2)/2)*CG135*CJ135*VLOOKUP('Données projet'!$B$12,Paramètres!$A$1:$I$89,3,0)*0.475*44/12</f>
        <v>1.0908255397276871E-6</v>
      </c>
      <c r="CN135" s="22">
        <f t="shared" si="120"/>
        <v>58.780517620868245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3.800000000000002</v>
      </c>
      <c r="CT135" s="12">
        <f>IF('Données projet'!$A$140&gt;35,CT134+CS135-DB134,IF(A135&lt;'Données projet'!$A$140,$CQ$205^A135,IF(A135='Données projet'!$A$140,'Données projet'!$B$140,CT134+CS135-DB134)))</f>
        <v>186.79999999999987</v>
      </c>
      <c r="CU135" s="17">
        <f>CT135*VLOOKUP('Données projet'!$B$13,Paramètres!$A$1:$I$89,3,0)*VLOOKUP('Données projet'!$B$13,Paramètres!$A$1:$I$89,5,0)</f>
        <v>212.72783999999984</v>
      </c>
      <c r="CV135" s="13">
        <f t="shared" si="149"/>
        <v>52.53123887963978</v>
      </c>
      <c r="CW135" s="20">
        <f t="shared" si="121"/>
        <v>461.9928957153723</v>
      </c>
      <c r="CX135" s="59">
        <f t="shared" si="122"/>
        <v>755.32622904870561</v>
      </c>
      <c r="CY135" s="59">
        <f ca="1">AVERAGE(OFFSET($CX$3,0,0,'Données projet'!$E$13+1,1))-AVERAGE(OFFSET($H$3,0,0,'Données projet'!$E$13+1,1))</f>
        <v>330.87173217110126</v>
      </c>
      <c r="CZ135" s="59">
        <f t="shared" si="150"/>
        <v>200.52697135436102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45.640287606093445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45.640287606093445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4.75</v>
      </c>
      <c r="N136" s="13">
        <f>IF('Données projet'!$A$36&gt;35,N135+M136-V135,IF(A136&lt;'Données projet'!$A$36,$K$205^A136,IF(A136='Données projet'!$A$36,'Données projet'!$B$36,N135+M136-V135)))</f>
        <v>238.25000000000014</v>
      </c>
      <c r="O136" s="13">
        <f>N136*VLOOKUP('Données projet'!$B$9,Paramètres!$A$1:$I$89,3,0)*VLOOKUP('Données projet'!$B$9,Paramètres!$A$1:$I$89,5,0)</f>
        <v>215.56860000000009</v>
      </c>
      <c r="P136" s="13">
        <f t="shared" si="141"/>
        <v>53.150605171562319</v>
      </c>
      <c r="Q136" s="20">
        <f t="shared" si="108"/>
        <v>468.01928234047119</v>
      </c>
      <c r="R136" s="59">
        <f t="shared" si="109"/>
        <v>761.35261567380451</v>
      </c>
      <c r="S136" s="59">
        <f ca="1">AVERAGE(OFFSET($R$3,0,0,'Données projet'!$E$9+1,1))-AVERAGE(OFFSET($H$3,0,0,'Données projet'!$E$9+1,1))</f>
        <v>328.8796193543036</v>
      </c>
      <c r="T136" s="59">
        <f t="shared" si="142"/>
        <v>199.43308683696642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44.438834682019696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44.438834682019696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351.77274930064431</v>
      </c>
      <c r="AO136" s="59">
        <f t="shared" si="144"/>
        <v>386.10758060007078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39.439000289740285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39.439000289740285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2.7</v>
      </c>
      <c r="BD136" s="12">
        <f>IF('Données projet'!$A$88&gt;35,BD135+BC136-BL135,IF(A136&lt;'Données projet'!$A$88,$BA$205^A136,IF(A136='Données projet'!$A$88,'Données projet'!$B$88,BD135+BC136-BL135)))</f>
        <v>277.09999999999911</v>
      </c>
      <c r="BE136" s="13">
        <f>BD136*VLOOKUP('Données projet'!$B$11,Paramètres!$A$1:$I$89,3,0)*VLOOKUP('Données projet'!$B$11,Paramètres!$A$1:$I$89,5,0)</f>
        <v>263.68835999999919</v>
      </c>
      <c r="BF136" s="13">
        <f t="shared" si="145"/>
        <v>63.507941545180344</v>
      </c>
      <c r="BG136" s="20">
        <f t="shared" si="115"/>
        <v>569.8668918578544</v>
      </c>
      <c r="BH136" s="59">
        <f t="shared" si="116"/>
        <v>863.20022519118766</v>
      </c>
      <c r="BI136" s="59">
        <f ca="1">AVERAGE(OFFSET($BH$3,0,0,'Données projet'!$E$11+1,1))-AVERAGE(OFFSET($H$3,0,0,'Données projet'!$E$11+1,1))</f>
        <v>438.62466697107681</v>
      </c>
      <c r="BJ136" s="59">
        <f t="shared" si="146"/>
        <v>241.18285512887627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-6.5028871176764376E-14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308.33000350259448</v>
      </c>
      <c r="CE136" s="59">
        <f t="shared" si="148"/>
        <v>282.64839194267171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49.056237024190246</v>
      </c>
      <c r="CL136" s="21">
        <f>EXP(-LN(2)/25)*CL135+(1-EXP(-LN(2)/25))/(LN(2)/25)*Calculateur!CG136*Calculateur!CI136*VLOOKUP('Données projet'!$B$12,Paramètres!$A$1:$I$89,3,0)*0.475*44/12</f>
        <v>8.5039959453299332</v>
      </c>
      <c r="CM136" s="21">
        <f>EXP(-LN(2)/2)*CM135+(1-EXP(-LN(2)/2))/(LN(2)/2)*CG136*CJ136*VLOOKUP('Données projet'!$B$12,Paramètres!$A$1:$I$89,3,0)*0.475*44/12</f>
        <v>7.7133013623292324E-7</v>
      </c>
      <c r="CN136" s="22">
        <f t="shared" si="120"/>
        <v>57.560233740850315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3.800000000000002</v>
      </c>
      <c r="CT136" s="12">
        <f>IF('Données projet'!$A$140&gt;35,CT135+CS136-DB135,IF(A136&lt;'Données projet'!$A$140,$CQ$205^A136,IF(A136='Données projet'!$A$140,'Données projet'!$B$140,CT135+CS136-DB135)))</f>
        <v>190.59999999999988</v>
      </c>
      <c r="CU136" s="17">
        <f>CT136*VLOOKUP('Données projet'!$B$13,Paramètres!$A$1:$I$89,3,0)*VLOOKUP('Données projet'!$B$13,Paramètres!$A$1:$I$89,5,0)</f>
        <v>217.0552799999999</v>
      </c>
      <c r="CV136" s="13">
        <f t="shared" si="149"/>
        <v>53.474364292971501</v>
      </c>
      <c r="CW136" s="20">
        <f t="shared" si="121"/>
        <v>471.17246381025848</v>
      </c>
      <c r="CX136" s="59">
        <f t="shared" si="122"/>
        <v>764.50579714359174</v>
      </c>
      <c r="CY136" s="59">
        <f ca="1">AVERAGE(OFFSET($CX$3,0,0,'Données projet'!$E$13+1,1))-AVERAGE(OFFSET($H$3,0,0,'Données projet'!$E$13+1,1))</f>
        <v>330.87173217110126</v>
      </c>
      <c r="CZ136" s="59">
        <f t="shared" si="150"/>
        <v>200.52697135436102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44.745309403964633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44.745309403964633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4.75</v>
      </c>
      <c r="N137" s="13">
        <f>IF('Données projet'!$A$36&gt;35,N136+M137-V136,IF(A137&lt;'Données projet'!$A$36,$K$205^A137,IF(A137='Données projet'!$A$36,'Données projet'!$B$36,N136+M137-V136)))</f>
        <v>243.00000000000014</v>
      </c>
      <c r="O137" s="13">
        <f>N137*VLOOKUP('Données projet'!$B$9,Paramètres!$A$1:$I$89,3,0)*VLOOKUP('Données projet'!$B$9,Paramètres!$A$1:$I$89,5,0)</f>
        <v>219.86640000000014</v>
      </c>
      <c r="P137" s="13">
        <f t="shared" si="141"/>
        <v>54.085847394182466</v>
      </c>
      <c r="Q137" s="20">
        <f t="shared" si="108"/>
        <v>477.13349754486808</v>
      </c>
      <c r="R137" s="59">
        <f t="shared" si="109"/>
        <v>770.46683087820134</v>
      </c>
      <c r="S137" s="59">
        <f ca="1">AVERAGE(OFFSET($R$3,0,0,'Données projet'!$E$9+1,1))-AVERAGE(OFFSET($H$3,0,0,'Données projet'!$E$9+1,1))</f>
        <v>328.8796193543036</v>
      </c>
      <c r="T137" s="59">
        <f t="shared" si="142"/>
        <v>199.43308683696642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43.567416238918049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43.567416238918049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351.77274930064431</v>
      </c>
      <c r="AO137" s="59">
        <f t="shared" si="144"/>
        <v>386.10758060007078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38.665625549473383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38.665625549473383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2.7</v>
      </c>
      <c r="BD137" s="12">
        <f>IF('Données projet'!$A$88&gt;35,BD136+BC137-BL136,IF(A137&lt;'Données projet'!$A$88,$BA$205^A137,IF(A137='Données projet'!$A$88,'Données projet'!$B$88,BD136+BC137-BL136)))</f>
        <v>279.7999999999991</v>
      </c>
      <c r="BE137" s="13">
        <f>BD137*VLOOKUP('Données projet'!$B$11,Paramètres!$A$1:$I$89,3,0)*VLOOKUP('Données projet'!$B$11,Paramètres!$A$1:$I$89,5,0)</f>
        <v>266.25767999999914</v>
      </c>
      <c r="BF137" s="13">
        <f t="shared" si="145"/>
        <v>64.054410529549401</v>
      </c>
      <c r="BG137" s="20">
        <f t="shared" si="115"/>
        <v>575.29355767229697</v>
      </c>
      <c r="BH137" s="59">
        <f t="shared" si="116"/>
        <v>868.62689100563034</v>
      </c>
      <c r="BI137" s="59">
        <f ca="1">AVERAGE(OFFSET($BH$3,0,0,'Données projet'!$E$11+1,1))-AVERAGE(OFFSET($H$3,0,0,'Données projet'!$E$11+1,1))</f>
        <v>438.62466697107681</v>
      </c>
      <c r="BJ137" s="59">
        <f t="shared" si="146"/>
        <v>241.18285512887627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-6.5028871176764376E-14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308.33000350259448</v>
      </c>
      <c r="CE137" s="59">
        <f t="shared" si="148"/>
        <v>282.64839194267171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48.094274137495972</v>
      </c>
      <c r="CL137" s="21">
        <f>EXP(-LN(2)/25)*CL136+(1-EXP(-LN(2)/25))/(LN(2)/25)*Calculateur!CG137*Calculateur!CI137*VLOOKUP('Données projet'!$B$12,Paramètres!$A$1:$I$89,3,0)*0.475*44/12</f>
        <v>8.271453728999175</v>
      </c>
      <c r="CM137" s="21">
        <f>EXP(-LN(2)/2)*CM136+(1-EXP(-LN(2)/2))/(LN(2)/2)*CG137*CJ137*VLOOKUP('Données projet'!$B$12,Paramètres!$A$1:$I$89,3,0)*0.475*44/12</f>
        <v>5.4541276986384353E-7</v>
      </c>
      <c r="CN137" s="22">
        <f t="shared" si="120"/>
        <v>56.365728411907916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3.800000000000002</v>
      </c>
      <c r="CT137" s="12">
        <f>IF('Données projet'!$A$140&gt;35,CT136+CS137-DB136,IF(A137&lt;'Données projet'!$A$140,$CQ$205^A137,IF(A137='Données projet'!$A$140,'Données projet'!$B$140,CT136+CS137-DB136)))</f>
        <v>194.39999999999989</v>
      </c>
      <c r="CU137" s="17">
        <f>CT137*VLOOKUP('Données projet'!$B$13,Paramètres!$A$1:$I$89,3,0)*VLOOKUP('Données projet'!$B$13,Paramètres!$A$1:$I$89,5,0)</f>
        <v>221.38271999999989</v>
      </c>
      <c r="CV137" s="13">
        <f t="shared" si="149"/>
        <v>54.415303406517452</v>
      </c>
      <c r="CW137" s="20">
        <f t="shared" si="121"/>
        <v>480.34822409968433</v>
      </c>
      <c r="CX137" s="59">
        <f t="shared" si="122"/>
        <v>773.68155743301759</v>
      </c>
      <c r="CY137" s="59">
        <f ca="1">AVERAGE(OFFSET($CX$3,0,0,'Données projet'!$E$13+1,1))-AVERAGE(OFFSET($H$3,0,0,'Données projet'!$E$13+1,1))</f>
        <v>330.87173217110126</v>
      </c>
      <c r="CZ137" s="59">
        <f t="shared" si="150"/>
        <v>200.52697135436102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43.867881178496766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43.867881178496766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4.75</v>
      </c>
      <c r="N138" s="13">
        <f>IF('Données projet'!$A$36&gt;35,N137+M138-V137,IF(A138&lt;'Données projet'!$A$36,$K$205^A138,IF(A138='Données projet'!$A$36,'Données projet'!$B$36,N137+M138-V137)))</f>
        <v>247.75000000000014</v>
      </c>
      <c r="O138" s="13">
        <f>N138*VLOOKUP('Données projet'!$B$9,Paramètres!$A$1:$I$89,3,0)*VLOOKUP('Données projet'!$B$9,Paramètres!$A$1:$I$89,5,0)</f>
        <v>224.16420000000014</v>
      </c>
      <c r="P138" s="13">
        <f t="shared" si="141"/>
        <v>55.018963928045274</v>
      </c>
      <c r="Q138" s="20">
        <f t="shared" si="108"/>
        <v>486.24401050801248</v>
      </c>
      <c r="R138" s="59">
        <f t="shared" si="109"/>
        <v>779.57734384134574</v>
      </c>
      <c r="S138" s="59">
        <f ca="1">AVERAGE(OFFSET($R$3,0,0,'Données projet'!$E$9+1,1))-AVERAGE(OFFSET($H$3,0,0,'Données projet'!$E$9+1,1))</f>
        <v>328.8796193543036</v>
      </c>
      <c r="T138" s="59">
        <f t="shared" si="142"/>
        <v>199.43308683696642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42.713085779972857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42.713085779972857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351.77274930064431</v>
      </c>
      <c r="AO138" s="59">
        <f t="shared" si="144"/>
        <v>386.10758060007078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37.907416216151098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37.907416216151098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2.7</v>
      </c>
      <c r="BD138" s="12">
        <f>IF('Données projet'!$A$88&gt;35,BD137+BC138-BL137,IF(A138&lt;'Données projet'!$A$88,$BA$205^A138,IF(A138='Données projet'!$A$88,'Données projet'!$B$88,BD137+BC138-BL137)))</f>
        <v>282.49999999999909</v>
      </c>
      <c r="BE138" s="13">
        <f>BD138*VLOOKUP('Données projet'!$B$11,Paramètres!$A$1:$I$89,3,0)*VLOOKUP('Données projet'!$B$11,Paramètres!$A$1:$I$89,5,0)</f>
        <v>268.82699999999915</v>
      </c>
      <c r="BF138" s="13">
        <f t="shared" si="145"/>
        <v>64.600266037607781</v>
      </c>
      <c r="BG138" s="20">
        <f t="shared" si="115"/>
        <v>580.7191550154987</v>
      </c>
      <c r="BH138" s="59">
        <f t="shared" si="116"/>
        <v>874.05248834883196</v>
      </c>
      <c r="BI138" s="59">
        <f ca="1">AVERAGE(OFFSET($BH$3,0,0,'Données projet'!$E$11+1,1))-AVERAGE(OFFSET($H$3,0,0,'Données projet'!$E$11+1,1))</f>
        <v>438.62466697107681</v>
      </c>
      <c r="BJ138" s="59">
        <f t="shared" si="146"/>
        <v>241.18285512887627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-6.5028871176764376E-14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308.33000350259448</v>
      </c>
      <c r="CE138" s="59">
        <f t="shared" si="148"/>
        <v>282.64839194267171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47.15117475627035</v>
      </c>
      <c r="CL138" s="21">
        <f>EXP(-LN(2)/25)*CL137+(1-EXP(-LN(2)/25))/(LN(2)/25)*Calculateur!CG138*Calculateur!CI138*VLOOKUP('Données projet'!$B$12,Paramètres!$A$1:$I$89,3,0)*0.475*44/12</f>
        <v>8.0452703918028448</v>
      </c>
      <c r="CM138" s="21">
        <f>EXP(-LN(2)/2)*CM137+(1-EXP(-LN(2)/2))/(LN(2)/2)*CG138*CJ138*VLOOKUP('Données projet'!$B$12,Paramètres!$A$1:$I$89,3,0)*0.475*44/12</f>
        <v>3.8566506811646162E-7</v>
      </c>
      <c r="CN138" s="22">
        <f t="shared" si="120"/>
        <v>55.196445533738263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3.800000000000002</v>
      </c>
      <c r="CT138" s="12">
        <f>IF('Données projet'!$A$140&gt;35,CT137+CS138-DB137,IF(A138&lt;'Données projet'!$A$140,$CQ$205^A138,IF(A138='Données projet'!$A$140,'Données projet'!$B$140,CT137+CS138-DB137)))</f>
        <v>198.1999999999999</v>
      </c>
      <c r="CU138" s="17">
        <f>CT138*VLOOKUP('Données projet'!$B$13,Paramètres!$A$1:$I$89,3,0)*VLOOKUP('Données projet'!$B$13,Paramètres!$A$1:$I$89,5,0)</f>
        <v>225.71015999999989</v>
      </c>
      <c r="CV138" s="13">
        <f t="shared" si="149"/>
        <v>55.354103882984454</v>
      </c>
      <c r="CW138" s="20">
        <f t="shared" si="121"/>
        <v>489.52025959619772</v>
      </c>
      <c r="CX138" s="59">
        <f t="shared" si="122"/>
        <v>782.85359292953103</v>
      </c>
      <c r="CY138" s="59">
        <f ca="1">AVERAGE(OFFSET($CX$3,0,0,'Données projet'!$E$13+1,1))-AVERAGE(OFFSET($H$3,0,0,'Données projet'!$E$13+1,1))</f>
        <v>330.87173217110126</v>
      </c>
      <c r="CZ138" s="59">
        <f t="shared" si="150"/>
        <v>200.52697135436102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43.00765878535195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43.00765878535195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4.75</v>
      </c>
      <c r="N139" s="13">
        <f>IF('Données projet'!$A$36&gt;35,N138+M139-V138,IF(A139&lt;'Données projet'!$A$36,$K$205^A139,IF(A139='Données projet'!$A$36,'Données projet'!$B$36,N138+M139-V138)))</f>
        <v>252.50000000000014</v>
      </c>
      <c r="O139" s="13">
        <f>N139*VLOOKUP('Données projet'!$B$9,Paramètres!$A$1:$I$89,3,0)*VLOOKUP('Données projet'!$B$9,Paramètres!$A$1:$I$89,5,0)</f>
        <v>228.46200000000013</v>
      </c>
      <c r="P139" s="13">
        <f t="shared" si="141"/>
        <v>55.950000226785434</v>
      </c>
      <c r="Q139" s="20">
        <f t="shared" si="108"/>
        <v>495.35090039498482</v>
      </c>
      <c r="R139" s="59">
        <f t="shared" si="109"/>
        <v>788.68423372831808</v>
      </c>
      <c r="S139" s="59">
        <f ca="1">AVERAGE(OFFSET($R$3,0,0,'Données projet'!$E$9+1,1))-AVERAGE(OFFSET($H$3,0,0,'Données projet'!$E$9+1,1))</f>
        <v>328.8796193543036</v>
      </c>
      <c r="T139" s="59">
        <f t="shared" si="142"/>
        <v>199.43308683696642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41.875508220237457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41.875508220237457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351.77274930064431</v>
      </c>
      <c r="AO139" s="59">
        <f t="shared" si="144"/>
        <v>386.10758060007078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37.164074905393235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37.164074905393235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2.7</v>
      </c>
      <c r="BD139" s="12">
        <f>IF('Données projet'!$A$88&gt;35,BD138+BC139-BL138,IF(A139&lt;'Données projet'!$A$88,$BA$205^A139,IF(A139='Données projet'!$A$88,'Données projet'!$B$88,BD138+BC139-BL138)))</f>
        <v>285.19999999999908</v>
      </c>
      <c r="BE139" s="13">
        <f>BD139*VLOOKUP('Données projet'!$B$11,Paramètres!$A$1:$I$89,3,0)*VLOOKUP('Données projet'!$B$11,Paramètres!$A$1:$I$89,5,0)</f>
        <v>271.39631999999915</v>
      </c>
      <c r="BF139" s="13">
        <f t="shared" si="145"/>
        <v>65.145514611718752</v>
      </c>
      <c r="BG139" s="20">
        <f t="shared" si="115"/>
        <v>586.14369528207533</v>
      </c>
      <c r="BH139" s="59">
        <f t="shared" si="116"/>
        <v>879.4770286154087</v>
      </c>
      <c r="BI139" s="59">
        <f ca="1">AVERAGE(OFFSET($BH$3,0,0,'Données projet'!$E$11+1,1))-AVERAGE(OFFSET($H$3,0,0,'Données projet'!$E$11+1,1))</f>
        <v>438.62466697107681</v>
      </c>
      <c r="BJ139" s="59">
        <f t="shared" si="146"/>
        <v>241.18285512887627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-6.5028871176764376E-14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308.33000350259448</v>
      </c>
      <c r="CE139" s="59">
        <f t="shared" si="148"/>
        <v>282.64839194267171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46.226568978676738</v>
      </c>
      <c r="CL139" s="21">
        <f>EXP(-LN(2)/25)*CL138+(1-EXP(-LN(2)/25))/(LN(2)/25)*Calculateur!CG139*Calculateur!CI139*VLOOKUP('Données projet'!$B$12,Paramètres!$A$1:$I$89,3,0)*0.475*44/12</f>
        <v>7.825272049856614</v>
      </c>
      <c r="CM139" s="21">
        <f>EXP(-LN(2)/2)*CM138+(1-EXP(-LN(2)/2))/(LN(2)/2)*CG139*CJ139*VLOOKUP('Données projet'!$B$12,Paramètres!$A$1:$I$89,3,0)*0.475*44/12</f>
        <v>2.7270638493192177E-7</v>
      </c>
      <c r="CN139" s="22">
        <f t="shared" si="120"/>
        <v>54.05184130123974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3.800000000000002</v>
      </c>
      <c r="CT139" s="12">
        <f>IF('Données projet'!$A$140&gt;35,CT138+CS139-DB138,IF(A139&lt;'Données projet'!$A$140,$CQ$205^A139,IF(A139='Données projet'!$A$140,'Données projet'!$B$140,CT138+CS139-DB138)))</f>
        <v>201.99999999999991</v>
      </c>
      <c r="CU139" s="17">
        <f>CT139*VLOOKUP('Données projet'!$B$13,Paramètres!$A$1:$I$89,3,0)*VLOOKUP('Données projet'!$B$13,Paramètres!$A$1:$I$89,5,0)</f>
        <v>230.03759999999988</v>
      </c>
      <c r="CV139" s="13">
        <f t="shared" si="149"/>
        <v>56.290811452881492</v>
      </c>
      <c r="CW139" s="20">
        <f t="shared" si="121"/>
        <v>498.68864994710174</v>
      </c>
      <c r="CX139" s="59">
        <f t="shared" si="122"/>
        <v>792.02198328043505</v>
      </c>
      <c r="CY139" s="59">
        <f ca="1">AVERAGE(OFFSET($CX$3,0,0,'Données projet'!$E$13+1,1))-AVERAGE(OFFSET($H$3,0,0,'Données projet'!$E$13+1,1))</f>
        <v>330.87173217110126</v>
      </c>
      <c r="CZ139" s="59">
        <f t="shared" si="150"/>
        <v>200.52697135436102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42.164304828652853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42.164304828652853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4.75</v>
      </c>
      <c r="N140" s="13">
        <f>IF('Données projet'!$A$36&gt;35,N139+M140-V139,IF(A140&lt;'Données projet'!$A$36,$K$205^A140,IF(A140='Données projet'!$A$36,'Données projet'!$B$36,N139+M140-V139)))</f>
        <v>257.25000000000011</v>
      </c>
      <c r="O140" s="13">
        <f>N140*VLOOKUP('Données projet'!$B$9,Paramètres!$A$1:$I$89,3,0)*VLOOKUP('Données projet'!$B$9,Paramètres!$A$1:$I$89,5,0)</f>
        <v>232.75980000000013</v>
      </c>
      <c r="P140" s="13">
        <f t="shared" si="141"/>
        <v>56.878999936031292</v>
      </c>
      <c r="Q140" s="20">
        <f t="shared" si="108"/>
        <v>504.45424322192139</v>
      </c>
      <c r="R140" s="59">
        <f t="shared" si="109"/>
        <v>797.78757655525465</v>
      </c>
      <c r="S140" s="59">
        <f ca="1">AVERAGE(OFFSET($R$3,0,0,'Données projet'!$E$9+1,1))-AVERAGE(OFFSET($H$3,0,0,'Données projet'!$E$9+1,1))</f>
        <v>328.8796193543036</v>
      </c>
      <c r="T140" s="59">
        <f t="shared" si="142"/>
        <v>199.43308683696642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41.0543550455766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41.0543550455766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351.77274930064431</v>
      </c>
      <c r="AO140" s="59">
        <f t="shared" si="144"/>
        <v>386.10758060007078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36.435310064345899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36.435310064345899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2.7</v>
      </c>
      <c r="BD140" s="12">
        <f>IF('Données projet'!$A$88&gt;35,BD139+BC140-BL139,IF(A140&lt;'Données projet'!$A$88,$BA$205^A140,IF(A140='Données projet'!$A$88,'Données projet'!$B$88,BD139+BC140-BL139)))</f>
        <v>287.89999999999907</v>
      </c>
      <c r="BE140" s="13">
        <f>BD140*VLOOKUP('Données projet'!$B$11,Paramètres!$A$1:$I$89,3,0)*VLOOKUP('Données projet'!$B$11,Paramètres!$A$1:$I$89,5,0)</f>
        <v>273.9656399999991</v>
      </c>
      <c r="BF140" s="13">
        <f t="shared" si="145"/>
        <v>65.690162663229103</v>
      </c>
      <c r="BG140" s="20">
        <f t="shared" si="115"/>
        <v>591.56718963845572</v>
      </c>
      <c r="BH140" s="59">
        <f t="shared" si="116"/>
        <v>884.90052297178909</v>
      </c>
      <c r="BI140" s="59">
        <f ca="1">AVERAGE(OFFSET($BH$3,0,0,'Données projet'!$E$11+1,1))-AVERAGE(OFFSET($H$3,0,0,'Données projet'!$E$11+1,1))</f>
        <v>438.62466697107681</v>
      </c>
      <c r="BJ140" s="59">
        <f t="shared" si="146"/>
        <v>241.18285512887627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-6.5028871176764376E-14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308.33000350259448</v>
      </c>
      <c r="CE140" s="59">
        <f t="shared" si="148"/>
        <v>282.64839194267171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45.320094156427899</v>
      </c>
      <c r="CL140" s="21">
        <f>EXP(-LN(2)/25)*CL139+(1-EXP(-LN(2)/25))/(LN(2)/25)*Calculateur!CG140*Calculateur!CI140*VLOOKUP('Données projet'!$B$12,Paramètres!$A$1:$I$89,3,0)*0.475*44/12</f>
        <v>7.6112895741401125</v>
      </c>
      <c r="CM140" s="21">
        <f>EXP(-LN(2)/2)*CM139+(1-EXP(-LN(2)/2))/(LN(2)/2)*CG140*CJ140*VLOOKUP('Données projet'!$B$12,Paramètres!$A$1:$I$89,3,0)*0.475*44/12</f>
        <v>1.9283253405823081E-7</v>
      </c>
      <c r="CN140" s="22">
        <f t="shared" si="120"/>
        <v>52.931383923400553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3.800000000000002</v>
      </c>
      <c r="CT140" s="12">
        <f>IF('Données projet'!$A$140&gt;35,CT139+CS140-DB139,IF(A140&lt;'Données projet'!$A$140,$CQ$205^A140,IF(A140='Données projet'!$A$140,'Données projet'!$B$140,CT139+CS140-DB139)))</f>
        <v>205.79999999999993</v>
      </c>
      <c r="CU140" s="17">
        <f>CT140*VLOOKUP('Données projet'!$B$13,Paramètres!$A$1:$I$89,3,0)*VLOOKUP('Données projet'!$B$13,Paramètres!$A$1:$I$89,5,0)</f>
        <v>234.36503999999994</v>
      </c>
      <c r="CV140" s="13">
        <f t="shared" si="149"/>
        <v>57.225470027697867</v>
      </c>
      <c r="CW140" s="20">
        <f t="shared" si="121"/>
        <v>507.85347163157365</v>
      </c>
      <c r="CX140" s="59">
        <f t="shared" si="122"/>
        <v>801.18680496490697</v>
      </c>
      <c r="CY140" s="59">
        <f ca="1">AVERAGE(OFFSET($CX$3,0,0,'Données projet'!$E$13+1,1))-AVERAGE(OFFSET($H$3,0,0,'Données projet'!$E$13+1,1))</f>
        <v>330.87173217110126</v>
      </c>
      <c r="CZ140" s="59">
        <f t="shared" si="150"/>
        <v>200.52697135436102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41.337488528649502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41.337488528649502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>
        <f>VLOOKUP(A141,'Données projet'!$A$35:$I$55,2,0)</f>
        <v>262</v>
      </c>
      <c r="L141" s="12">
        <f>VLOOKUP(A141,'Données projet'!$A$35:$I$55,9,0)</f>
        <v>4.75</v>
      </c>
      <c r="M141" s="12">
        <f t="array" ref="M141">INDEX(L:L,MIN(IF(ISNUMBER(L141:L337),ROW(L141:L337),"")))</f>
        <v>4.75</v>
      </c>
      <c r="N141" s="13">
        <f>IF('Données projet'!$A$36&gt;35,N140+M141-V140,IF(A141&lt;'Données projet'!$A$36,$K$205^A141,IF(A141='Données projet'!$A$36,'Données projet'!$B$36,N140+M141-V140)))</f>
        <v>262.00000000000011</v>
      </c>
      <c r="O141" s="13">
        <f>N141*VLOOKUP('Données projet'!$B$9,Paramètres!$A$1:$I$89,3,0)*VLOOKUP('Données projet'!$B$9,Paramètres!$A$1:$I$89,5,0)</f>
        <v>237.05760000000012</v>
      </c>
      <c r="P141" s="13">
        <f t="shared" si="141"/>
        <v>57.806004997354698</v>
      </c>
      <c r="Q141" s="20">
        <f t="shared" si="108"/>
        <v>513.55411203705955</v>
      </c>
      <c r="R141" s="59">
        <f t="shared" si="109"/>
        <v>806.88744537039292</v>
      </c>
      <c r="S141" s="59">
        <f ca="1">AVERAGE(OFFSET($R$3,0,0,'Données projet'!$E$9+1,1))-AVERAGE(OFFSET($H$3,0,0,'Données projet'!$E$9+1,1))</f>
        <v>328.8796193543036</v>
      </c>
      <c r="T141" s="59">
        <f t="shared" si="142"/>
        <v>199.43308683696642</v>
      </c>
      <c r="U141" s="15">
        <f>IF(ISNA(VLOOKUP(A141,'Données projet'!$A$35:$I$55,3,0)),0,VLOOKUP(A141,'Données projet'!$A$35:$I$55,3,0))</f>
        <v>11</v>
      </c>
      <c r="V141" s="15">
        <f>IF(ISNA(VLOOKUP(A141,'Données projet'!$A$35:$I$55,4,0)),0,VLOOKUP(A141,'Données projet'!$A$35:$I$55,4,0))</f>
        <v>39</v>
      </c>
      <c r="W141" s="16">
        <f>IF(ISNA(VLOOKUP(A141,'Données projet'!$A$35:$I$55,5,0)),0%,VLOOKUP(A141,'Données projet'!$A$35:$I$55,5,0)*VLOOKUP('Données projet'!$B$9,Paramètres!$A$1:$I$89,7,0))</f>
        <v>0.38700000000000001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55.345769527582391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55.345769527582391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351.77274930064431</v>
      </c>
      <c r="AO141" s="59">
        <f t="shared" si="144"/>
        <v>386.10758060007078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35.720835857328844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35.720835857328844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2.7</v>
      </c>
      <c r="BD141" s="12">
        <f>IF('Données projet'!$A$88&gt;35,BD140+BC141-BL140,IF(A141&lt;'Données projet'!$A$88,$BA$205^A141,IF(A141='Données projet'!$A$88,'Données projet'!$B$88,BD140+BC141-BL140)))</f>
        <v>290.59999999999906</v>
      </c>
      <c r="BE141" s="13">
        <f>BD141*VLOOKUP('Données projet'!$B$11,Paramètres!$A$1:$I$89,3,0)*VLOOKUP('Données projet'!$B$11,Paramètres!$A$1:$I$89,5,0)</f>
        <v>276.5349599999991</v>
      </c>
      <c r="BF141" s="13">
        <f t="shared" si="145"/>
        <v>66.234216476296169</v>
      </c>
      <c r="BG141" s="20">
        <f t="shared" si="115"/>
        <v>596.98964902954754</v>
      </c>
      <c r="BH141" s="59">
        <f t="shared" si="116"/>
        <v>890.32298236288079</v>
      </c>
      <c r="BI141" s="59">
        <f ca="1">AVERAGE(OFFSET($BH$3,0,0,'Données projet'!$E$11+1,1))-AVERAGE(OFFSET($H$3,0,0,'Données projet'!$E$11+1,1))</f>
        <v>438.62466697107681</v>
      </c>
      <c r="BJ141" s="59">
        <f t="shared" si="146"/>
        <v>241.18285512887627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-6.5028871176764376E-14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308.33000350259448</v>
      </c>
      <c r="CE141" s="59">
        <f t="shared" si="148"/>
        <v>282.64839194267171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44.431394752548307</v>
      </c>
      <c r="CL141" s="21">
        <f>EXP(-LN(2)/25)*CL140+(1-EXP(-LN(2)/25))/(LN(2)/25)*Calculateur!CG141*Calculateur!CI141*VLOOKUP('Données projet'!$B$12,Paramètres!$A$1:$I$89,3,0)*0.475*44/12</f>
        <v>7.4031584604749279</v>
      </c>
      <c r="CM141" s="21">
        <f>EXP(-LN(2)/2)*CM140+(1-EXP(-LN(2)/2))/(LN(2)/2)*CG141*CJ141*VLOOKUP('Données projet'!$B$12,Paramètres!$A$1:$I$89,3,0)*0.475*44/12</f>
        <v>1.3635319246596088E-7</v>
      </c>
      <c r="CN141" s="22">
        <f t="shared" si="120"/>
        <v>51.834553349376428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>
        <f>VLOOKUP(A141,'Données projet'!$A$139:$I$159,2,0)</f>
        <v>209.60000000000002</v>
      </c>
      <c r="CR141" s="12">
        <f>VLOOKUP(A141,'Données projet'!$A$139:$I$159,9,0)</f>
        <v>3.800000000000002</v>
      </c>
      <c r="CS141" s="12">
        <f t="array" ref="CS141">INDEX(CR:CR,MIN(IF(ISNUMBER(CR141:CR337),ROW(CR141:CR337),"")))</f>
        <v>3.800000000000002</v>
      </c>
      <c r="CT141" s="12">
        <f>IF('Données projet'!$A$140&gt;35,CT140+CS141-DB140,IF(A141&lt;'Données projet'!$A$140,$CQ$205^A141,IF(A141='Données projet'!$A$140,'Données projet'!$B$140,CT140+CS141-DB140)))</f>
        <v>209.59999999999994</v>
      </c>
      <c r="CU141" s="17">
        <f>CT141*VLOOKUP('Données projet'!$B$13,Paramètres!$A$1:$I$89,3,0)*VLOOKUP('Données projet'!$B$13,Paramètres!$A$1:$I$89,5,0)</f>
        <v>238.69247999999993</v>
      </c>
      <c r="CV141" s="13">
        <f t="shared" si="149"/>
        <v>58.158121804486264</v>
      </c>
      <c r="CW141" s="20">
        <f t="shared" si="121"/>
        <v>517.01479814281345</v>
      </c>
      <c r="CX141" s="59">
        <f t="shared" si="122"/>
        <v>810.34813147614682</v>
      </c>
      <c r="CY141" s="59">
        <f ca="1">AVERAGE(OFFSET($CX$3,0,0,'Données projet'!$E$13+1,1))-AVERAGE(OFFSET($H$3,0,0,'Données projet'!$E$13+1,1))</f>
        <v>330.87173217110126</v>
      </c>
      <c r="CZ141" s="59">
        <f t="shared" si="150"/>
        <v>200.52697135436102</v>
      </c>
      <c r="DA141" s="15">
        <f>IF(ISNA(VLOOKUP(A141,'Données projet'!$A$139:$I$159,3,0)),0,VLOOKUP(A141,'Données projet'!$A$139:$I$159,3,0))</f>
        <v>11</v>
      </c>
      <c r="DB141" s="15">
        <f>IF(ISNA(VLOOKUP(A141,'Données projet'!$A$139:$I$159,4,0)),0,VLOOKUP(A141,'Données projet'!$A$139:$I$159,4,0))</f>
        <v>31.200000000000003</v>
      </c>
      <c r="DC141" s="16">
        <f>IF(ISNA(VLOOKUP(A141,'Données projet'!$A$139:$I$159,5,0)),0%,VLOOKUP(A141,'Données projet'!$A$139:$I$159,5,0)*VLOOKUP('Données projet'!$B$13,Paramètres!$A$1:$I$89,7,0))</f>
        <v>0.38700000000000001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55.727464489841537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55.727464489841537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4.8666666666666663</v>
      </c>
      <c r="N142" s="13">
        <f>IF('Données projet'!$A$36&gt;35,N141+M142-V141,IF(A142&lt;'Données projet'!$A$36,$K$205^A142,IF(A142='Données projet'!$A$36,'Données projet'!$B$36,N141+M142-V141)))</f>
        <v>227.86666666666679</v>
      </c>
      <c r="O142" s="13">
        <f>N142*VLOOKUP('Données projet'!$B$9,Paramètres!$A$1:$I$89,3,0)*VLOOKUP('Données projet'!$B$9,Paramètres!$A$1:$I$89,5,0)</f>
        <v>206.1737600000001</v>
      </c>
      <c r="P142" s="13">
        <f t="shared" si="141"/>
        <v>51.098563276577117</v>
      </c>
      <c r="Q142" s="20">
        <f t="shared" si="108"/>
        <v>448.08262970670529</v>
      </c>
      <c r="R142" s="59">
        <f t="shared" si="109"/>
        <v>741.4159630400386</v>
      </c>
      <c r="S142" s="59">
        <f ca="1">AVERAGE(OFFSET($R$3,0,0,'Données projet'!$E$9+1,1))-AVERAGE(OFFSET($H$3,0,0,'Données projet'!$E$9+1,1))</f>
        <v>328.8796193543036</v>
      </c>
      <c r="T142" s="59">
        <f t="shared" si="142"/>
        <v>199.43308683696642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54.260472744732624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54.260472744732624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351.77274930064431</v>
      </c>
      <c r="AO142" s="59">
        <f t="shared" si="144"/>
        <v>386.10758060007078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35.020372053725154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35.020372053725154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2.7</v>
      </c>
      <c r="BD142" s="12">
        <f>IF('Données projet'!$A$88&gt;35,BD141+BC142-BL141,IF(A142&lt;'Données projet'!$A$88,$BA$205^A142,IF(A142='Données projet'!$A$88,'Données projet'!$B$88,BD141+BC142-BL141)))</f>
        <v>293.29999999999905</v>
      </c>
      <c r="BE142" s="13">
        <f>BD142*VLOOKUP('Données projet'!$B$11,Paramètres!$A$1:$I$89,3,0)*VLOOKUP('Données projet'!$B$11,Paramètres!$A$1:$I$89,5,0)</f>
        <v>279.10427999999911</v>
      </c>
      <c r="BF142" s="13">
        <f t="shared" si="145"/>
        <v>66.777682211568745</v>
      </c>
      <c r="BG142" s="20">
        <f t="shared" si="115"/>
        <v>602.41108418514727</v>
      </c>
      <c r="BH142" s="59">
        <f t="shared" si="116"/>
        <v>895.74441751848053</v>
      </c>
      <c r="BI142" s="59">
        <f ca="1">AVERAGE(OFFSET($BH$3,0,0,'Données projet'!$E$11+1,1))-AVERAGE(OFFSET($H$3,0,0,'Données projet'!$E$11+1,1))</f>
        <v>438.62466697107681</v>
      </c>
      <c r="BJ142" s="59">
        <f t="shared" si="146"/>
        <v>241.18285512887627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-6.5028871176764376E-14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308.33000350259448</v>
      </c>
      <c r="CE142" s="59">
        <f t="shared" si="148"/>
        <v>282.64839194267171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43.560122201925687</v>
      </c>
      <c r="CL142" s="21">
        <f>EXP(-LN(2)/25)*CL141+(1-EXP(-LN(2)/25))/(LN(2)/25)*Calculateur!CG142*Calculateur!CI142*VLOOKUP('Données projet'!$B$12,Paramètres!$A$1:$I$89,3,0)*0.475*44/12</f>
        <v>7.2007187030580573</v>
      </c>
      <c r="CM142" s="21">
        <f>EXP(-LN(2)/2)*CM141+(1-EXP(-LN(2)/2))/(LN(2)/2)*CG142*CJ142*VLOOKUP('Données projet'!$B$12,Paramètres!$A$1:$I$89,3,0)*0.475*44/12</f>
        <v>9.6416267029115405E-8</v>
      </c>
      <c r="CN142" s="22">
        <f t="shared" si="120"/>
        <v>50.76084100140001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3.8933333333333318</v>
      </c>
      <c r="CT142" s="12">
        <f>IF('Données projet'!$A$140&gt;35,CT141+CS142-DB141,IF(A142&lt;'Données projet'!$A$140,$CQ$205^A142,IF(A142='Données projet'!$A$140,'Données projet'!$B$140,CT141+CS142-DB141)))</f>
        <v>182.29333333333329</v>
      </c>
      <c r="CU142" s="17">
        <f>CT142*VLOOKUP('Données projet'!$B$13,Paramètres!$A$1:$I$89,3,0)*VLOOKUP('Données projet'!$B$13,Paramètres!$A$1:$I$89,5,0)</f>
        <v>207.59564799999995</v>
      </c>
      <c r="CV142" s="13">
        <f t="shared" si="149"/>
        <v>51.409822685539595</v>
      </c>
      <c r="CW142" s="20">
        <f t="shared" si="121"/>
        <v>451.10119477731467</v>
      </c>
      <c r="CX142" s="59">
        <f t="shared" si="122"/>
        <v>744.43452811064799</v>
      </c>
      <c r="CY142" s="59">
        <f ca="1">AVERAGE(OFFSET($CX$3,0,0,'Données projet'!$E$13+1,1))-AVERAGE(OFFSET($H$3,0,0,'Données projet'!$E$13+1,1))</f>
        <v>330.87173217110126</v>
      </c>
      <c r="CZ142" s="59">
        <f t="shared" si="150"/>
        <v>200.52697135436102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54.634682901592811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54.634682901592811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4.8666666666666663</v>
      </c>
      <c r="N143" s="13">
        <f>IF('Données projet'!$A$36&gt;35,N142+M143-V142,IF(A143&lt;'Données projet'!$A$36,$K$205^A143,IF(A143='Données projet'!$A$36,'Données projet'!$B$36,N142+M143-V142)))</f>
        <v>232.73333333333346</v>
      </c>
      <c r="O143" s="13">
        <f>N143*VLOOKUP('Données projet'!$B$9,Paramètres!$A$1:$I$89,3,0)*VLOOKUP('Données projet'!$B$9,Paramètres!$A$1:$I$89,5,0)</f>
        <v>210.57712000000009</v>
      </c>
      <c r="P143" s="13">
        <f t="shared" si="141"/>
        <v>52.061680787565457</v>
      </c>
      <c r="Q143" s="20">
        <f t="shared" si="108"/>
        <v>457.42924470500998</v>
      </c>
      <c r="R143" s="59">
        <f t="shared" si="109"/>
        <v>750.76257803834324</v>
      </c>
      <c r="S143" s="59">
        <f ca="1">AVERAGE(OFFSET($R$3,0,0,'Données projet'!$E$9+1,1))-AVERAGE(OFFSET($H$3,0,0,'Données projet'!$E$9+1,1))</f>
        <v>328.8796193543036</v>
      </c>
      <c r="T143" s="59">
        <f t="shared" si="142"/>
        <v>199.43308683696642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53.19645796982887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53.19645796982887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351.77274930064431</v>
      </c>
      <c r="AO143" s="59">
        <f t="shared" si="144"/>
        <v>386.10758060007078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34.333643918069399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34.333643918069399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296</v>
      </c>
      <c r="BB143" s="12">
        <f>VLOOKUP(A143,'Données projet'!$A$87:$I$107,9,0)</f>
        <v>2.7</v>
      </c>
      <c r="BC143" s="12">
        <f t="array" ref="BC143">INDEX(BB:BB,MIN(IF(ISNUMBER(BB143:BB339),ROW(BB143:BB339),"")))</f>
        <v>2.7</v>
      </c>
      <c r="BD143" s="12">
        <f>IF('Données projet'!$A$88&gt;35,BD142+BC143-BL142,IF(A143&lt;'Données projet'!$A$88,$BA$205^A143,IF(A143='Données projet'!$A$88,'Données projet'!$B$88,BD142+BC143-BL142)))</f>
        <v>295.99999999999903</v>
      </c>
      <c r="BE143" s="13">
        <f>BD143*VLOOKUP('Données projet'!$B$11,Paramètres!$A$1:$I$89,3,0)*VLOOKUP('Données projet'!$B$11,Paramètres!$A$1:$I$89,5,0)</f>
        <v>281.67359999999906</v>
      </c>
      <c r="BF143" s="13">
        <f t="shared" si="145"/>
        <v>67.320565909728657</v>
      </c>
      <c r="BG143" s="20">
        <f t="shared" si="115"/>
        <v>607.83150562610911</v>
      </c>
      <c r="BH143" s="59">
        <f t="shared" si="116"/>
        <v>901.16483895944248</v>
      </c>
      <c r="BI143" s="59">
        <f ca="1">AVERAGE(OFFSET($BH$3,0,0,'Données projet'!$E$11+1,1))-AVERAGE(OFFSET($H$3,0,0,'Données projet'!$E$11+1,1))</f>
        <v>438.62466697107681</v>
      </c>
      <c r="BJ143" s="59">
        <f t="shared" si="146"/>
        <v>241.18285512887627</v>
      </c>
      <c r="BK143" s="15">
        <f>IF(ISNA(VLOOKUP(A143,'Données projet'!$A$87:$I$107,3,0)),0,VLOOKUP(A143,'Données projet'!$A$87:$I$107,3,0))</f>
        <v>19</v>
      </c>
      <c r="BL143" s="15">
        <f>IF(ISNA(VLOOKUP(A143,'Données projet'!$A$87:$I$107,4,0)),0,VLOOKUP(A143,'Données projet'!$A$87:$I$107,4,0))</f>
        <v>27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-6.5028871176764376E-14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308.33000350259448</v>
      </c>
      <c r="CE143" s="59">
        <f t="shared" si="148"/>
        <v>282.64839194267171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42.70593477459699</v>
      </c>
      <c r="CL143" s="21">
        <f>EXP(-LN(2)/25)*CL142+(1-EXP(-LN(2)/25))/(LN(2)/25)*Calculateur!CG143*Calculateur!CI143*VLOOKUP('Données projet'!$B$12,Paramètres!$A$1:$I$89,3,0)*0.475*44/12</f>
        <v>7.0038146714535952</v>
      </c>
      <c r="CM143" s="21">
        <f>EXP(-LN(2)/2)*CM142+(1-EXP(-LN(2)/2))/(LN(2)/2)*CG143*CJ143*VLOOKUP('Données projet'!$B$12,Paramètres!$A$1:$I$89,3,0)*0.475*44/12</f>
        <v>6.8176596232980441E-8</v>
      </c>
      <c r="CN143" s="22">
        <f t="shared" si="120"/>
        <v>49.709749514227184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3.8933333333333318</v>
      </c>
      <c r="CT143" s="12">
        <f>IF('Données projet'!$A$140&gt;35,CT142+CS143-DB142,IF(A143&lt;'Données projet'!$A$140,$CQ$205^A143,IF(A143='Données projet'!$A$140,'Données projet'!$B$140,CT142+CS143-DB142)))</f>
        <v>186.18666666666664</v>
      </c>
      <c r="CU143" s="17">
        <f>CT143*VLOOKUP('Données projet'!$B$13,Paramètres!$A$1:$I$89,3,0)*VLOOKUP('Données projet'!$B$13,Paramètres!$A$1:$I$89,5,0)</f>
        <v>212.02937599999998</v>
      </c>
      <c r="CV143" s="13">
        <f t="shared" si="149"/>
        <v>52.378806885687212</v>
      </c>
      <c r="CW143" s="20">
        <f t="shared" si="121"/>
        <v>460.51091852590525</v>
      </c>
      <c r="CX143" s="59">
        <f t="shared" si="122"/>
        <v>753.84425185923851</v>
      </c>
      <c r="CY143" s="59">
        <f ca="1">AVERAGE(OFFSET($CX$3,0,0,'Données projet'!$E$13+1,1))-AVERAGE(OFFSET($H$3,0,0,'Données projet'!$E$13+1,1))</f>
        <v>330.87173217110126</v>
      </c>
      <c r="CZ143" s="59">
        <f t="shared" si="150"/>
        <v>200.52697135436102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53.563330093758687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53.563330093758687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4.8666666666666663</v>
      </c>
      <c r="N144" s="13">
        <f>IF('Données projet'!$A$36&gt;35,N143+M144-V143,IF(A144&lt;'Données projet'!$A$36,$K$205^A144,IF(A144='Données projet'!$A$36,'Données projet'!$B$36,N143+M144-V143)))</f>
        <v>237.60000000000014</v>
      </c>
      <c r="O144" s="13">
        <f>N144*VLOOKUP('Données projet'!$B$9,Paramètres!$A$1:$I$89,3,0)*VLOOKUP('Données projet'!$B$9,Paramètres!$A$1:$I$89,5,0)</f>
        <v>214.98048000000014</v>
      </c>
      <c r="P144" s="13">
        <f t="shared" si="141"/>
        <v>53.022456711590657</v>
      </c>
      <c r="Q144" s="20">
        <f t="shared" si="108"/>
        <v>466.7717814393539</v>
      </c>
      <c r="R144" s="59">
        <f t="shared" si="109"/>
        <v>760.10511477268722</v>
      </c>
      <c r="S144" s="59">
        <f ca="1">AVERAGE(OFFSET($R$3,0,0,'Données projet'!$E$9+1,1))-AVERAGE(OFFSET($H$3,0,0,'Données projet'!$E$9+1,1))</f>
        <v>328.8796193543036</v>
      </c>
      <c r="T144" s="59">
        <f t="shared" si="142"/>
        <v>199.43308683696642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52.153307875676049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52.153307875676049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351.77274930064431</v>
      </c>
      <c r="AO144" s="59">
        <f t="shared" si="144"/>
        <v>386.10758060007078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33.660382102291052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33.660382102291052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2.4</v>
      </c>
      <c r="BD144" s="12">
        <f>IF('Données projet'!$A$88&gt;35,BD143+BC144-BL143,IF(A144&lt;'Données projet'!$A$88,$BA$205^A144,IF(A144='Données projet'!$A$88,'Données projet'!$B$88,BD143+BC144-BL143)))</f>
        <v>271.39999999999901</v>
      </c>
      <c r="BE144" s="13">
        <f>BD144*VLOOKUP('Données projet'!$B$11,Paramètres!$A$1:$I$89,3,0)*VLOOKUP('Données projet'!$B$11,Paramètres!$A$1:$I$89,5,0)</f>
        <v>258.26423999999906</v>
      </c>
      <c r="BF144" s="13">
        <f t="shared" si="145"/>
        <v>62.352239950787933</v>
      </c>
      <c r="BG144" s="20">
        <f t="shared" si="115"/>
        <v>558.40703591428735</v>
      </c>
      <c r="BH144" s="59">
        <f t="shared" si="116"/>
        <v>851.74036924762072</v>
      </c>
      <c r="BI144" s="59">
        <f ca="1">AVERAGE(OFFSET($BH$3,0,0,'Données projet'!$E$11+1,1))-AVERAGE(OFFSET($H$3,0,0,'Données projet'!$E$11+1,1))</f>
        <v>438.62466697107681</v>
      </c>
      <c r="BJ144" s="59">
        <f t="shared" si="146"/>
        <v>241.18285512887627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-6.5028871176764376E-14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308.33000350259448</v>
      </c>
      <c r="CE144" s="59">
        <f t="shared" si="148"/>
        <v>282.64839194267171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41.868497441715327</v>
      </c>
      <c r="CL144" s="21">
        <f>EXP(-LN(2)/25)*CL143+(1-EXP(-LN(2)/25))/(LN(2)/25)*Calculateur!CG144*Calculateur!CI144*VLOOKUP('Données projet'!$B$12,Paramètres!$A$1:$I$89,3,0)*0.475*44/12</f>
        <v>6.8122949909480903</v>
      </c>
      <c r="CM144" s="21">
        <f>EXP(-LN(2)/2)*CM143+(1-EXP(-LN(2)/2))/(LN(2)/2)*CG144*CJ144*VLOOKUP('Données projet'!$B$12,Paramètres!$A$1:$I$89,3,0)*0.475*44/12</f>
        <v>4.8208133514557702E-8</v>
      </c>
      <c r="CN144" s="22">
        <f t="shared" si="120"/>
        <v>48.680792480871553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3.8933333333333318</v>
      </c>
      <c r="CT144" s="12">
        <f>IF('Données projet'!$A$140&gt;35,CT143+CS144-DB143,IF(A144&lt;'Données projet'!$A$140,$CQ$205^A144,IF(A144='Données projet'!$A$140,'Données projet'!$B$140,CT143+CS144-DB143)))</f>
        <v>190.07999999999998</v>
      </c>
      <c r="CU144" s="17">
        <f>CT144*VLOOKUP('Données projet'!$B$13,Paramètres!$A$1:$I$89,3,0)*VLOOKUP('Données projet'!$B$13,Paramètres!$A$1:$I$89,5,0)</f>
        <v>216.46310399999999</v>
      </c>
      <c r="CV144" s="13">
        <f t="shared" si="149"/>
        <v>53.345435235437989</v>
      </c>
      <c r="CW144" s="20">
        <f t="shared" si="121"/>
        <v>469.91653916838783</v>
      </c>
      <c r="CX144" s="59">
        <f t="shared" si="122"/>
        <v>763.24987250172114</v>
      </c>
      <c r="CY144" s="59">
        <f ca="1">AVERAGE(OFFSET($CX$3,0,0,'Données projet'!$E$13+1,1))-AVERAGE(OFFSET($H$3,0,0,'Données projet'!$E$13+1,1))</f>
        <v>330.87173217110126</v>
      </c>
      <c r="CZ144" s="59">
        <f t="shared" si="150"/>
        <v>200.52697135436102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52.512985861025498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52.512985861025498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4.8666666666666663</v>
      </c>
      <c r="N145" s="13">
        <f>IF('Données projet'!$A$36&gt;35,N144+M145-V144,IF(A145&lt;'Données projet'!$A$36,$K$205^A145,IF(A145='Données projet'!$A$36,'Données projet'!$B$36,N144+M145-V144)))</f>
        <v>242.46666666666681</v>
      </c>
      <c r="O145" s="13">
        <f>N145*VLOOKUP('Données projet'!$B$9,Paramètres!$A$1:$I$89,3,0)*VLOOKUP('Données projet'!$B$9,Paramètres!$A$1:$I$89,5,0)</f>
        <v>219.38384000000013</v>
      </c>
      <c r="P145" s="13">
        <f t="shared" si="141"/>
        <v>53.980944536975159</v>
      </c>
      <c r="Q145" s="20">
        <f t="shared" si="108"/>
        <v>476.11033306856535</v>
      </c>
      <c r="R145" s="59">
        <f t="shared" si="109"/>
        <v>769.44366640189867</v>
      </c>
      <c r="S145" s="59">
        <f ca="1">AVERAGE(OFFSET($R$3,0,0,'Données projet'!$E$9+1,1))-AVERAGE(OFFSET($H$3,0,0,'Données projet'!$E$9+1,1))</f>
        <v>328.8796193543036</v>
      </c>
      <c r="T145" s="59">
        <f t="shared" si="142"/>
        <v>199.43308683696642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51.130613318610834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51.130613318610834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351.77274930064431</v>
      </c>
      <c r="AO145" s="59">
        <f t="shared" si="144"/>
        <v>386.10758060007078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33.000322540070961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33.000322540070961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2.4</v>
      </c>
      <c r="BD145" s="12">
        <f>IF('Données projet'!$A$88&gt;35,BD144+BC145-BL144,IF(A145&lt;'Données projet'!$A$88,$BA$205^A145,IF(A145='Données projet'!$A$88,'Données projet'!$B$88,BD144+BC145-BL144)))</f>
        <v>273.79999999999899</v>
      </c>
      <c r="BE145" s="13">
        <f>BD145*VLOOKUP('Données projet'!$B$11,Paramètres!$A$1:$I$89,3,0)*VLOOKUP('Données projet'!$B$11,Paramètres!$A$1:$I$89,5,0)</f>
        <v>260.54807999999906</v>
      </c>
      <c r="BF145" s="13">
        <f t="shared" si="145"/>
        <v>62.8391921418038</v>
      </c>
      <c r="BG145" s="20">
        <f t="shared" si="115"/>
        <v>563.23283231363996</v>
      </c>
      <c r="BH145" s="59">
        <f t="shared" si="116"/>
        <v>856.56616564697333</v>
      </c>
      <c r="BI145" s="59">
        <f ca="1">AVERAGE(OFFSET($BH$3,0,0,'Données projet'!$E$11+1,1))-AVERAGE(OFFSET($H$3,0,0,'Données projet'!$E$11+1,1))</f>
        <v>438.62466697107681</v>
      </c>
      <c r="BJ145" s="59">
        <f t="shared" si="146"/>
        <v>241.18285512887627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-6.5028871176764376E-14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308.33000350259448</v>
      </c>
      <c r="CE145" s="59">
        <f t="shared" si="148"/>
        <v>282.64839194267171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41.047481744145131</v>
      </c>
      <c r="CL145" s="21">
        <f>EXP(-LN(2)/25)*CL144+(1-EXP(-LN(2)/25))/(LN(2)/25)*Calculateur!CG145*Calculateur!CI145*VLOOKUP('Données projet'!$B$12,Paramètres!$A$1:$I$89,3,0)*0.475*44/12</f>
        <v>6.6260124261775912</v>
      </c>
      <c r="CM145" s="21">
        <f>EXP(-LN(2)/2)*CM144+(1-EXP(-LN(2)/2))/(LN(2)/2)*CG145*CJ145*VLOOKUP('Données projet'!$B$12,Paramètres!$A$1:$I$89,3,0)*0.475*44/12</f>
        <v>3.4088298116490221E-8</v>
      </c>
      <c r="CN145" s="22">
        <f t="shared" si="120"/>
        <v>47.673494204411014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3.8933333333333318</v>
      </c>
      <c r="CT145" s="12">
        <f>IF('Données projet'!$A$140&gt;35,CT144+CS145-DB144,IF(A145&lt;'Données projet'!$A$140,$CQ$205^A145,IF(A145='Données projet'!$A$140,'Données projet'!$B$140,CT144+CS145-DB144)))</f>
        <v>193.97333333333333</v>
      </c>
      <c r="CU145" s="17">
        <f>CT145*VLOOKUP('Données projet'!$B$13,Paramètres!$A$1:$I$89,3,0)*VLOOKUP('Données projet'!$B$13,Paramètres!$A$1:$I$89,5,0)</f>
        <v>220.89683199999999</v>
      </c>
      <c r="CV145" s="13">
        <f t="shared" si="149"/>
        <v>54.30976154893046</v>
      </c>
      <c r="CW145" s="20">
        <f t="shared" si="121"/>
        <v>479.31815043105394</v>
      </c>
      <c r="CX145" s="59">
        <f t="shared" si="122"/>
        <v>772.65148376438719</v>
      </c>
      <c r="CY145" s="59">
        <f ca="1">AVERAGE(OFFSET($CX$3,0,0,'Données projet'!$E$13+1,1))-AVERAGE(OFFSET($H$3,0,0,'Données projet'!$E$13+1,1))</f>
        <v>330.87173217110126</v>
      </c>
      <c r="CZ145" s="59">
        <f t="shared" si="150"/>
        <v>200.52697135436102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51.483238238049488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51.483238238049488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4.8666666666666663</v>
      </c>
      <c r="N146" s="13">
        <f>IF('Données projet'!$A$36&gt;35,N145+M146-V145,IF(A146&lt;'Données projet'!$A$36,$K$205^A146,IF(A146='Données projet'!$A$36,'Données projet'!$B$36,N145+M146-V145)))</f>
        <v>247.33333333333348</v>
      </c>
      <c r="O146" s="13">
        <f>N146*VLOOKUP('Données projet'!$B$9,Paramètres!$A$1:$I$89,3,0)*VLOOKUP('Données projet'!$B$9,Paramètres!$A$1:$I$89,5,0)</f>
        <v>223.78720000000013</v>
      </c>
      <c r="P146" s="13">
        <f t="shared" si="141"/>
        <v>54.937195482089855</v>
      </c>
      <c r="Q146" s="20">
        <f t="shared" si="108"/>
        <v>485.44498879797328</v>
      </c>
      <c r="R146" s="59">
        <f t="shared" si="109"/>
        <v>778.7783221313066</v>
      </c>
      <c r="S146" s="59">
        <f ca="1">AVERAGE(OFFSET($R$3,0,0,'Données projet'!$E$9+1,1))-AVERAGE(OFFSET($H$3,0,0,'Données projet'!$E$9+1,1))</f>
        <v>328.8796193543036</v>
      </c>
      <c r="T146" s="59">
        <f t="shared" si="142"/>
        <v>199.43308683696642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50.127973178027581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50.127973178027581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351.77274930064431</v>
      </c>
      <c r="AO146" s="59">
        <f t="shared" si="144"/>
        <v>386.10758060007078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32.35320634326942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32.35320634326942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2.4</v>
      </c>
      <c r="BD146" s="12">
        <f>IF('Données projet'!$A$88&gt;35,BD145+BC146-BL145,IF(A146&lt;'Données projet'!$A$88,$BA$205^A146,IF(A146='Données projet'!$A$88,'Données projet'!$B$88,BD145+BC146-BL145)))</f>
        <v>276.19999999999897</v>
      </c>
      <c r="BE146" s="13">
        <f>BD146*VLOOKUP('Données projet'!$B$11,Paramètres!$A$1:$I$89,3,0)*VLOOKUP('Données projet'!$B$11,Paramètres!$A$1:$I$89,5,0)</f>
        <v>262.83191999999906</v>
      </c>
      <c r="BF146" s="13">
        <f t="shared" si="145"/>
        <v>63.325647738843898</v>
      </c>
      <c r="BG146" s="20">
        <f t="shared" si="115"/>
        <v>568.05776381181806</v>
      </c>
      <c r="BH146" s="59">
        <f t="shared" si="116"/>
        <v>861.39109714515143</v>
      </c>
      <c r="BI146" s="59">
        <f ca="1">AVERAGE(OFFSET($BH$3,0,0,'Données projet'!$E$11+1,1))-AVERAGE(OFFSET($H$3,0,0,'Données projet'!$E$11+1,1))</f>
        <v>438.62466697107681</v>
      </c>
      <c r="BJ146" s="59">
        <f t="shared" si="146"/>
        <v>241.18285512887627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-6.5028871176764376E-14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308.33000350259448</v>
      </c>
      <c r="CE146" s="59">
        <f t="shared" si="148"/>
        <v>282.64839194267171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40.24256566363416</v>
      </c>
      <c r="CL146" s="21">
        <f>EXP(-LN(2)/25)*CL145+(1-EXP(-LN(2)/25))/(LN(2)/25)*Calculateur!CG146*Calculateur!CI146*VLOOKUP('Données projet'!$B$12,Paramètres!$A$1:$I$89,3,0)*0.475*44/12</f>
        <v>6.4448237679369154</v>
      </c>
      <c r="CM146" s="21">
        <f>EXP(-LN(2)/2)*CM145+(1-EXP(-LN(2)/2))/(LN(2)/2)*CG146*CJ146*VLOOKUP('Données projet'!$B$12,Paramètres!$A$1:$I$89,3,0)*0.475*44/12</f>
        <v>2.4104066757278851E-8</v>
      </c>
      <c r="CN146" s="22">
        <f t="shared" si="120"/>
        <v>46.687389455675145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3.8933333333333318</v>
      </c>
      <c r="CT146" s="12">
        <f>IF('Données projet'!$A$140&gt;35,CT145+CS146-DB145,IF(A146&lt;'Données projet'!$A$140,$CQ$205^A146,IF(A146='Données projet'!$A$140,'Données projet'!$B$140,CT145+CS146-DB145)))</f>
        <v>197.86666666666667</v>
      </c>
      <c r="CU146" s="17">
        <f>CT146*VLOOKUP('Données projet'!$B$13,Paramètres!$A$1:$I$89,3,0)*VLOOKUP('Données projet'!$B$13,Paramètres!$A$1:$I$89,5,0)</f>
        <v>225.33056000000002</v>
      </c>
      <c r="CV146" s="13">
        <f t="shared" si="149"/>
        <v>55.271837356524948</v>
      </c>
      <c r="CW146" s="20">
        <f t="shared" si="121"/>
        <v>488.71584206261429</v>
      </c>
      <c r="CX146" s="59">
        <f t="shared" si="122"/>
        <v>782.0491753959476</v>
      </c>
      <c r="CY146" s="59">
        <f ca="1">AVERAGE(OFFSET($CX$3,0,0,'Données projet'!$E$13+1,1))-AVERAGE(OFFSET($H$3,0,0,'Données projet'!$E$13+1,1))</f>
        <v>330.87173217110126</v>
      </c>
      <c r="CZ146" s="59">
        <f t="shared" si="150"/>
        <v>200.52697135436102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50.473683337876004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50.473683337876004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4.8666666666666663</v>
      </c>
      <c r="N147" s="13">
        <f>IF('Données projet'!$A$36&gt;35,N146+M147-V146,IF(A147&lt;'Données projet'!$A$36,$K$205^A147,IF(A147='Données projet'!$A$36,'Données projet'!$B$36,N146+M147-V146)))</f>
        <v>252.20000000000016</v>
      </c>
      <c r="O147" s="13">
        <f>N147*VLOOKUP('Données projet'!$B$9,Paramètres!$A$1:$I$89,3,0)*VLOOKUP('Données projet'!$B$9,Paramètres!$A$1:$I$89,5,0)</f>
        <v>228.19056000000015</v>
      </c>
      <c r="P147" s="13">
        <f t="shared" si="141"/>
        <v>55.891258634424659</v>
      </c>
      <c r="Q147" s="20">
        <f t="shared" si="108"/>
        <v>494.77583412162318</v>
      </c>
      <c r="R147" s="59">
        <f t="shared" si="109"/>
        <v>788.10916745495649</v>
      </c>
      <c r="S147" s="59">
        <f ca="1">AVERAGE(OFFSET($R$3,0,0,'Données projet'!$E$9+1,1))-AVERAGE(OFFSET($H$3,0,0,'Données projet'!$E$9+1,1))</f>
        <v>328.8796193543036</v>
      </c>
      <c r="T147" s="59">
        <f t="shared" si="142"/>
        <v>199.43308683696642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49.144994199051062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49.144994199051062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351.77274930064431</v>
      </c>
      <c r="AO147" s="59">
        <f t="shared" si="144"/>
        <v>386.10758060007078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31.718779700385255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31.718779700385255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2.4</v>
      </c>
      <c r="BD147" s="12">
        <f>IF('Données projet'!$A$88&gt;35,BD146+BC147-BL146,IF(A147&lt;'Données projet'!$A$88,$BA$205^A147,IF(A147='Données projet'!$A$88,'Données projet'!$B$88,BD146+BC147-BL146)))</f>
        <v>278.59999999999894</v>
      </c>
      <c r="BE147" s="13">
        <f>BD147*VLOOKUP('Données projet'!$B$11,Paramètres!$A$1:$I$89,3,0)*VLOOKUP('Données projet'!$B$11,Paramètres!$A$1:$I$89,5,0)</f>
        <v>265.115759999999</v>
      </c>
      <c r="BF147" s="13">
        <f t="shared" si="145"/>
        <v>63.811611556951576</v>
      </c>
      <c r="BG147" s="20">
        <f t="shared" si="115"/>
        <v>572.88183879502219</v>
      </c>
      <c r="BH147" s="59">
        <f t="shared" si="116"/>
        <v>866.21517212835556</v>
      </c>
      <c r="BI147" s="59">
        <f ca="1">AVERAGE(OFFSET($BH$3,0,0,'Données projet'!$E$11+1,1))-AVERAGE(OFFSET($H$3,0,0,'Données projet'!$E$11+1,1))</f>
        <v>438.62466697107681</v>
      </c>
      <c r="BJ147" s="59">
        <f t="shared" si="146"/>
        <v>241.18285512887627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-6.5028871176764376E-14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308.33000350259448</v>
      </c>
      <c r="CE147" s="59">
        <f t="shared" si="148"/>
        <v>282.64839194267171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39.453433496511678</v>
      </c>
      <c r="CL147" s="21">
        <f>EXP(-LN(2)/25)*CL146+(1-EXP(-LN(2)/25))/(LN(2)/25)*Calculateur!CG147*Calculateur!CI147*VLOOKUP('Données projet'!$B$12,Paramètres!$A$1:$I$89,3,0)*0.475*44/12</f>
        <v>6.2685897230841281</v>
      </c>
      <c r="CM147" s="21">
        <f>EXP(-LN(2)/2)*CM146+(1-EXP(-LN(2)/2))/(LN(2)/2)*CG147*CJ147*VLOOKUP('Données projet'!$B$12,Paramètres!$A$1:$I$89,3,0)*0.475*44/12</f>
        <v>1.704414905824511E-8</v>
      </c>
      <c r="CN147" s="22">
        <f t="shared" si="120"/>
        <v>45.722023236639956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3.8933333333333318</v>
      </c>
      <c r="CT147" s="12">
        <f>IF('Données projet'!$A$140&gt;35,CT146+CS147-DB146,IF(A147&lt;'Données projet'!$A$140,$CQ$205^A147,IF(A147='Données projet'!$A$140,'Données projet'!$B$140,CT146+CS147-DB146)))</f>
        <v>201.76000000000002</v>
      </c>
      <c r="CU147" s="17">
        <f>CT147*VLOOKUP('Données projet'!$B$13,Paramètres!$A$1:$I$89,3,0)*VLOOKUP('Données projet'!$B$13,Paramètres!$A$1:$I$89,5,0)</f>
        <v>229.76428800000005</v>
      </c>
      <c r="CV147" s="13">
        <f t="shared" si="149"/>
        <v>56.231712044720332</v>
      </c>
      <c r="CW147" s="20">
        <f t="shared" si="121"/>
        <v>498.10970007788796</v>
      </c>
      <c r="CX147" s="59">
        <f t="shared" si="122"/>
        <v>791.44303341122122</v>
      </c>
      <c r="CY147" s="59">
        <f ca="1">AVERAGE(OFFSET($CX$3,0,0,'Données projet'!$E$13+1,1))-AVERAGE(OFFSET($H$3,0,0,'Données projet'!$E$13+1,1))</f>
        <v>330.87173217110126</v>
      </c>
      <c r="CZ147" s="59">
        <f t="shared" si="150"/>
        <v>200.52697135436102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49.483925193527234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49.483925193527234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4.8666666666666663</v>
      </c>
      <c r="N148" s="13">
        <f>IF('Données projet'!$A$36&gt;35,N147+M148-V147,IF(A148&lt;'Données projet'!$A$36,$K$205^A148,IF(A148='Données projet'!$A$36,'Données projet'!$B$36,N147+M148-V147)))</f>
        <v>257.06666666666683</v>
      </c>
      <c r="O148" s="13">
        <f>N148*VLOOKUP('Données projet'!$B$9,Paramètres!$A$1:$I$89,3,0)*VLOOKUP('Données projet'!$B$9,Paramètres!$A$1:$I$89,5,0)</f>
        <v>232.59392000000014</v>
      </c>
      <c r="P148" s="13">
        <f t="shared" si="141"/>
        <v>56.843181078620042</v>
      </c>
      <c r="Q148" s="20">
        <f t="shared" si="108"/>
        <v>504.10295104526352</v>
      </c>
      <c r="R148" s="59">
        <f t="shared" si="109"/>
        <v>797.43628437859684</v>
      </c>
      <c r="S148" s="59">
        <f ca="1">AVERAGE(OFFSET($R$3,0,0,'Données projet'!$E$9+1,1))-AVERAGE(OFFSET($H$3,0,0,'Données projet'!$E$9+1,1))</f>
        <v>328.8796193543036</v>
      </c>
      <c r="T148" s="59">
        <f t="shared" si="142"/>
        <v>199.43308683696642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48.181290838294302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48.181290838294302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351.77274930064431</v>
      </c>
      <c r="AO148" s="59">
        <f t="shared" si="144"/>
        <v>386.10758060007078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31.096793777006006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31.096793777006006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2.4</v>
      </c>
      <c r="BD148" s="12">
        <f>IF('Données projet'!$A$88&gt;35,BD147+BC148-BL147,IF(A148&lt;'Données projet'!$A$88,$BA$205^A148,IF(A148='Données projet'!$A$88,'Données projet'!$B$88,BD147+BC148-BL147)))</f>
        <v>280.99999999999892</v>
      </c>
      <c r="BE148" s="13">
        <f>BD148*VLOOKUP('Données projet'!$B$11,Paramètres!$A$1:$I$89,3,0)*VLOOKUP('Données projet'!$B$11,Paramètres!$A$1:$I$89,5,0)</f>
        <v>267.399599999999</v>
      </c>
      <c r="BF148" s="13">
        <f t="shared" si="145"/>
        <v>64.297088323424362</v>
      </c>
      <c r="BG148" s="20">
        <f t="shared" si="115"/>
        <v>577.705065496629</v>
      </c>
      <c r="BH148" s="59">
        <f t="shared" si="116"/>
        <v>871.03839882996226</v>
      </c>
      <c r="BI148" s="59">
        <f ca="1">AVERAGE(OFFSET($BH$3,0,0,'Données projet'!$E$11+1,1))-AVERAGE(OFFSET($H$3,0,0,'Données projet'!$E$11+1,1))</f>
        <v>438.62466697107681</v>
      </c>
      <c r="BJ148" s="59">
        <f t="shared" si="146"/>
        <v>241.18285512887627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-6.5028871176764376E-14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308.33000350259448</v>
      </c>
      <c r="CE148" s="59">
        <f t="shared" si="148"/>
        <v>282.64839194267171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38.679775729863373</v>
      </c>
      <c r="CL148" s="21">
        <f>EXP(-LN(2)/25)*CL147+(1-EXP(-LN(2)/25))/(LN(2)/25)*Calculateur!CG148*Calculateur!CI148*VLOOKUP('Données projet'!$B$12,Paramètres!$A$1:$I$89,3,0)*0.475*44/12</f>
        <v>6.0971748074555858</v>
      </c>
      <c r="CM148" s="21">
        <f>EXP(-LN(2)/2)*CM147+(1-EXP(-LN(2)/2))/(LN(2)/2)*CG148*CJ148*VLOOKUP('Données projet'!$B$12,Paramètres!$A$1:$I$89,3,0)*0.475*44/12</f>
        <v>1.2052033378639426E-8</v>
      </c>
      <c r="CN148" s="22">
        <f t="shared" si="120"/>
        <v>44.776950549370994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3.8933333333333318</v>
      </c>
      <c r="CT148" s="12">
        <f>IF('Données projet'!$A$140&gt;35,CT147+CS148-DB147,IF(A148&lt;'Données projet'!$A$140,$CQ$205^A148,IF(A148='Données projet'!$A$140,'Données projet'!$B$140,CT147+CS148-DB147)))</f>
        <v>205.65333333333336</v>
      </c>
      <c r="CU148" s="17">
        <f>CT148*VLOOKUP('Données projet'!$B$13,Paramètres!$A$1:$I$89,3,0)*VLOOKUP('Données projet'!$B$13,Paramètres!$A$1:$I$89,5,0)</f>
        <v>234.19801600000002</v>
      </c>
      <c r="CV148" s="13">
        <f t="shared" si="149"/>
        <v>57.189432984966473</v>
      </c>
      <c r="CW148" s="20">
        <f t="shared" si="121"/>
        <v>507.49980698214995</v>
      </c>
      <c r="CX148" s="59">
        <f t="shared" si="122"/>
        <v>800.83314031548321</v>
      </c>
      <c r="CY148" s="59">
        <f ca="1">AVERAGE(OFFSET($CX$3,0,0,'Données projet'!$E$13+1,1))-AVERAGE(OFFSET($H$3,0,0,'Données projet'!$E$13+1,1))</f>
        <v>330.87173217110126</v>
      </c>
      <c r="CZ148" s="59">
        <f t="shared" si="150"/>
        <v>200.52697135436102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48.513575602696285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48.513575602696285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4.8666666666666663</v>
      </c>
      <c r="N149" s="13">
        <f>IF('Données projet'!$A$36&gt;35,N148+M149-V148,IF(A149&lt;'Données projet'!$A$36,$K$205^A149,IF(A149='Données projet'!$A$36,'Données projet'!$B$36,N148+M149-V148)))</f>
        <v>261.93333333333351</v>
      </c>
      <c r="O149" s="13">
        <f>N149*VLOOKUP('Données projet'!$B$9,Paramètres!$A$1:$I$89,3,0)*VLOOKUP('Données projet'!$B$9,Paramètres!$A$1:$I$89,5,0)</f>
        <v>236.99728000000016</v>
      </c>
      <c r="P149" s="13">
        <f t="shared" si="141"/>
        <v>57.793008014530166</v>
      </c>
      <c r="Q149" s="20">
        <f t="shared" si="108"/>
        <v>513.42641829197362</v>
      </c>
      <c r="R149" s="59">
        <f t="shared" si="109"/>
        <v>806.75975162530699</v>
      </c>
      <c r="S149" s="59">
        <f ca="1">AVERAGE(OFFSET($R$3,0,0,'Données projet'!$E$9+1,1))-AVERAGE(OFFSET($H$3,0,0,'Données projet'!$E$9+1,1))</f>
        <v>328.8796193543036</v>
      </c>
      <c r="T149" s="59">
        <f t="shared" si="142"/>
        <v>199.43308683696642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47.23648511264097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47.23648511264097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351.77274930064431</v>
      </c>
      <c r="AO149" s="59">
        <f t="shared" si="144"/>
        <v>386.10758060007078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30.487004618210271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30.487004618210271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2.4</v>
      </c>
      <c r="BD149" s="12">
        <f>IF('Données projet'!$A$88&gt;35,BD148+BC149-BL148,IF(A149&lt;'Données projet'!$A$88,$BA$205^A149,IF(A149='Données projet'!$A$88,'Données projet'!$B$88,BD148+BC149-BL148)))</f>
        <v>283.3999999999989</v>
      </c>
      <c r="BE149" s="13">
        <f>BD149*VLOOKUP('Données projet'!$B$11,Paramètres!$A$1:$I$89,3,0)*VLOOKUP('Données projet'!$B$11,Paramètres!$A$1:$I$89,5,0)</f>
        <v>269.68343999999894</v>
      </c>
      <c r="BF149" s="13">
        <f t="shared" si="145"/>
        <v>64.782082680148491</v>
      </c>
      <c r="BG149" s="20">
        <f t="shared" si="115"/>
        <v>582.52745200125673</v>
      </c>
      <c r="BH149" s="59">
        <f t="shared" si="116"/>
        <v>875.86078533458999</v>
      </c>
      <c r="BI149" s="59">
        <f ca="1">AVERAGE(OFFSET($BH$3,0,0,'Données projet'!$E$11+1,1))-AVERAGE(OFFSET($H$3,0,0,'Données projet'!$E$11+1,1))</f>
        <v>438.62466697107681</v>
      </c>
      <c r="BJ149" s="59">
        <f t="shared" si="146"/>
        <v>241.18285512887627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-6.5028871176764376E-14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308.33000350259448</v>
      </c>
      <c r="CE149" s="59">
        <f t="shared" si="148"/>
        <v>282.64839194267171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37.921288920134394</v>
      </c>
      <c r="CL149" s="21">
        <f>EXP(-LN(2)/25)*CL148+(1-EXP(-LN(2)/25))/(LN(2)/25)*Calculateur!CG149*Calculateur!CI149*VLOOKUP('Données projet'!$B$12,Paramètres!$A$1:$I$89,3,0)*0.475*44/12</f>
        <v>5.9304472417092251</v>
      </c>
      <c r="CM149" s="21">
        <f>EXP(-LN(2)/2)*CM148+(1-EXP(-LN(2)/2))/(LN(2)/2)*CG149*CJ149*VLOOKUP('Données projet'!$B$12,Paramètres!$A$1:$I$89,3,0)*0.475*44/12</f>
        <v>8.5220745291225552E-9</v>
      </c>
      <c r="CN149" s="22">
        <f t="shared" si="120"/>
        <v>43.85173617036569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3.8933333333333318</v>
      </c>
      <c r="CT149" s="12">
        <f>IF('Données projet'!$A$140&gt;35,CT148+CS149-DB148,IF(A149&lt;'Données projet'!$A$140,$CQ$205^A149,IF(A149='Données projet'!$A$140,'Données projet'!$B$140,CT148+CS149-DB148)))</f>
        <v>209.54666666666671</v>
      </c>
      <c r="CU149" s="17">
        <f>CT149*VLOOKUP('Données projet'!$B$13,Paramètres!$A$1:$I$89,3,0)*VLOOKUP('Données projet'!$B$13,Paramètres!$A$1:$I$89,5,0)</f>
        <v>238.63174400000005</v>
      </c>
      <c r="CV149" s="13">
        <f t="shared" si="149"/>
        <v>58.145045652445702</v>
      </c>
      <c r="CW149" s="20">
        <f t="shared" si="121"/>
        <v>516.88624197800971</v>
      </c>
      <c r="CX149" s="59">
        <f t="shared" si="122"/>
        <v>810.21957531134308</v>
      </c>
      <c r="CY149" s="59">
        <f ca="1">AVERAGE(OFFSET($CX$3,0,0,'Données projet'!$E$13+1,1))-AVERAGE(OFFSET($H$3,0,0,'Données projet'!$E$13+1,1))</f>
        <v>330.87173217110126</v>
      </c>
      <c r="CZ149" s="59">
        <f t="shared" si="150"/>
        <v>200.52697135436102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47.562253975486726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47.562253975486726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4.8666666666666663</v>
      </c>
      <c r="N150" s="13">
        <f>IF('Données projet'!$A$36&gt;35,N149+M150-V149,IF(A150&lt;'Données projet'!$A$36,$K$205^A150,IF(A150='Données projet'!$A$36,'Données projet'!$B$36,N149+M150-V149)))</f>
        <v>266.80000000000018</v>
      </c>
      <c r="O150" s="13">
        <f>N150*VLOOKUP('Données projet'!$B$9,Paramètres!$A$1:$I$89,3,0)*VLOOKUP('Données projet'!$B$9,Paramètres!$A$1:$I$89,5,0)</f>
        <v>241.40064000000015</v>
      </c>
      <c r="P150" s="13">
        <f t="shared" si="141"/>
        <v>58.740782866262748</v>
      </c>
      <c r="Q150" s="20">
        <f t="shared" si="108"/>
        <v>522.7463114920746</v>
      </c>
      <c r="R150" s="59">
        <f t="shared" si="109"/>
        <v>816.07964482540797</v>
      </c>
      <c r="S150" s="59">
        <f ca="1">AVERAGE(OFFSET($R$3,0,0,'Données projet'!$E$9+1,1))-AVERAGE(OFFSET($H$3,0,0,'Données projet'!$E$9+1,1))</f>
        <v>328.8796193543036</v>
      </c>
      <c r="T150" s="59">
        <f t="shared" si="142"/>
        <v>199.43308683696642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46.310206450993107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46.310206450993107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351.77274930064431</v>
      </c>
      <c r="AO150" s="59">
        <f t="shared" si="144"/>
        <v>386.10758060007078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29.889173052883859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29.889173052883859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2.4</v>
      </c>
      <c r="BD150" s="12">
        <f>IF('Données projet'!$A$88&gt;35,BD149+BC150-BL149,IF(A150&lt;'Données projet'!$A$88,$BA$205^A150,IF(A150='Données projet'!$A$88,'Données projet'!$B$88,BD149+BC150-BL149)))</f>
        <v>285.79999999999887</v>
      </c>
      <c r="BE150" s="13">
        <f>BD150*VLOOKUP('Données projet'!$B$11,Paramètres!$A$1:$I$89,3,0)*VLOOKUP('Données projet'!$B$11,Paramètres!$A$1:$I$89,5,0)</f>
        <v>271.96727999999894</v>
      </c>
      <c r="BF150" s="13">
        <f t="shared" si="145"/>
        <v>65.266599185852129</v>
      </c>
      <c r="BG150" s="20">
        <f t="shared" si="115"/>
        <v>587.34900624869056</v>
      </c>
      <c r="BH150" s="59">
        <f t="shared" si="116"/>
        <v>880.68233958202381</v>
      </c>
      <c r="BI150" s="59">
        <f ca="1">AVERAGE(OFFSET($BH$3,0,0,'Données projet'!$E$11+1,1))-AVERAGE(OFFSET($H$3,0,0,'Données projet'!$E$11+1,1))</f>
        <v>438.62466697107681</v>
      </c>
      <c r="BJ150" s="59">
        <f t="shared" si="146"/>
        <v>241.18285512887627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-6.5028871176764376E-14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308.33000350259448</v>
      </c>
      <c r="CE150" s="59">
        <f t="shared" si="148"/>
        <v>282.64839194267171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37.177675574112932</v>
      </c>
      <c r="CL150" s="21">
        <f>EXP(-LN(2)/25)*CL149+(1-EXP(-LN(2)/25))/(LN(2)/25)*Calculateur!CG150*Calculateur!CI150*VLOOKUP('Données projet'!$B$12,Paramètres!$A$1:$I$89,3,0)*0.475*44/12</f>
        <v>5.7682788500160198</v>
      </c>
      <c r="CM150" s="21">
        <f>EXP(-LN(2)/2)*CM149+(1-EXP(-LN(2)/2))/(LN(2)/2)*CG150*CJ150*VLOOKUP('Données projet'!$B$12,Paramètres!$A$1:$I$89,3,0)*0.475*44/12</f>
        <v>6.0260166893197128E-9</v>
      </c>
      <c r="CN150" s="22">
        <f t="shared" si="120"/>
        <v>42.945954430154963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3.8933333333333318</v>
      </c>
      <c r="CT150" s="12">
        <f>IF('Données projet'!$A$140&gt;35,CT149+CS150-DB149,IF(A150&lt;'Données projet'!$A$140,$CQ$205^A150,IF(A150='Données projet'!$A$140,'Données projet'!$B$140,CT149+CS150-DB149)))</f>
        <v>213.44000000000005</v>
      </c>
      <c r="CU150" s="17">
        <f>CT150*VLOOKUP('Données projet'!$B$13,Paramètres!$A$1:$I$89,3,0)*VLOOKUP('Données projet'!$B$13,Paramètres!$A$1:$I$89,5,0)</f>
        <v>243.06547200000009</v>
      </c>
      <c r="CV150" s="13">
        <f t="shared" si="149"/>
        <v>59.098593735777548</v>
      </c>
      <c r="CW150" s="20">
        <f t="shared" si="121"/>
        <v>526.26908115647927</v>
      </c>
      <c r="CX150" s="59">
        <f t="shared" si="122"/>
        <v>819.60241448981265</v>
      </c>
      <c r="CY150" s="59">
        <f ca="1">AVERAGE(OFFSET($CX$3,0,0,'Données projet'!$E$13+1,1))-AVERAGE(OFFSET($H$3,0,0,'Données projet'!$E$13+1,1))</f>
        <v>330.87173217110126</v>
      </c>
      <c r="CZ150" s="59">
        <f t="shared" si="150"/>
        <v>200.52697135436102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46.629587185137844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46.629587185137844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4.8666666666666663</v>
      </c>
      <c r="N151" s="13">
        <f>IF('Données projet'!$A$36&gt;35,N150+M151-V150,IF(A151&lt;'Données projet'!$A$36,$K$205^A151,IF(A151='Données projet'!$A$36,'Données projet'!$B$36,N150+M151-V150)))</f>
        <v>271.66666666666686</v>
      </c>
      <c r="O151" s="13">
        <f>N151*VLOOKUP('Données projet'!$B$9,Paramètres!$A$1:$I$89,3,0)*VLOOKUP('Données projet'!$B$9,Paramètres!$A$1:$I$89,5,0)</f>
        <v>245.80400000000017</v>
      </c>
      <c r="P151" s="13">
        <f t="shared" si="141"/>
        <v>59.68654738303843</v>
      </c>
      <c r="Q151" s="20">
        <f t="shared" si="108"/>
        <v>532.06270335879219</v>
      </c>
      <c r="R151" s="59">
        <f t="shared" si="109"/>
        <v>825.39603669212556</v>
      </c>
      <c r="S151" s="59">
        <f ca="1">AVERAGE(OFFSET($R$3,0,0,'Données projet'!$E$9+1,1))-AVERAGE(OFFSET($H$3,0,0,'Données projet'!$E$9+1,1))</f>
        <v>328.8796193543036</v>
      </c>
      <c r="T151" s="59">
        <f t="shared" si="142"/>
        <v>199.43308683696642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45.402091548925966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45.402091548925966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351.77274930064431</v>
      </c>
      <c r="AO151" s="59">
        <f t="shared" si="144"/>
        <v>386.10758060007078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29.303064599912247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29.303064599912247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2.4</v>
      </c>
      <c r="BD151" s="12">
        <f>IF('Données projet'!$A$88&gt;35,BD150+BC151-BL150,IF(A151&lt;'Données projet'!$A$88,$BA$205^A151,IF(A151='Données projet'!$A$88,'Données projet'!$B$88,BD150+BC151-BL150)))</f>
        <v>288.19999999999885</v>
      </c>
      <c r="BE151" s="13">
        <f>BD151*VLOOKUP('Données projet'!$B$11,Paramètres!$A$1:$I$89,3,0)*VLOOKUP('Données projet'!$B$11,Paramètres!$A$1:$I$89,5,0)</f>
        <v>274.25111999999888</v>
      </c>
      <c r="BF151" s="13">
        <f t="shared" si="145"/>
        <v>65.750642318280327</v>
      </c>
      <c r="BG151" s="20">
        <f t="shared" si="115"/>
        <v>592.16973603766962</v>
      </c>
      <c r="BH151" s="59">
        <f t="shared" si="116"/>
        <v>885.50306937100299</v>
      </c>
      <c r="BI151" s="59">
        <f ca="1">AVERAGE(OFFSET($BH$3,0,0,'Données projet'!$E$11+1,1))-AVERAGE(OFFSET($H$3,0,0,'Données projet'!$E$11+1,1))</f>
        <v>438.62466697107681</v>
      </c>
      <c r="BJ151" s="59">
        <f t="shared" si="146"/>
        <v>241.18285512887627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-6.5028871176764376E-14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308.33000350259448</v>
      </c>
      <c r="CE151" s="59">
        <f t="shared" si="148"/>
        <v>282.64839194267171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36.448644032247593</v>
      </c>
      <c r="CL151" s="21">
        <f>EXP(-LN(2)/25)*CL150+(1-EXP(-LN(2)/25))/(LN(2)/25)*Calculateur!CG151*Calculateur!CI151*VLOOKUP('Données projet'!$B$12,Paramètres!$A$1:$I$89,3,0)*0.475*44/12</f>
        <v>5.6105449615217307</v>
      </c>
      <c r="CM151" s="21">
        <f>EXP(-LN(2)/2)*CM150+(1-EXP(-LN(2)/2))/(LN(2)/2)*CG151*CJ151*VLOOKUP('Données projet'!$B$12,Paramètres!$A$1:$I$89,3,0)*0.475*44/12</f>
        <v>4.2610372645612776E-9</v>
      </c>
      <c r="CN151" s="22">
        <f t="shared" si="120"/>
        <v>42.059188998030365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3.8933333333333318</v>
      </c>
      <c r="CT151" s="12">
        <f>IF('Données projet'!$A$140&gt;35,CT150+CS151-DB150,IF(A151&lt;'Données projet'!$A$140,$CQ$205^A151,IF(A151='Données projet'!$A$140,'Données projet'!$B$140,CT150+CS151-DB150)))</f>
        <v>217.3333333333334</v>
      </c>
      <c r="CU151" s="17">
        <f>CT151*VLOOKUP('Données projet'!$B$13,Paramètres!$A$1:$I$89,3,0)*VLOOKUP('Données projet'!$B$13,Paramètres!$A$1:$I$89,5,0)</f>
        <v>247.49920000000006</v>
      </c>
      <c r="CV151" s="13">
        <f t="shared" si="149"/>
        <v>60.050119238491639</v>
      </c>
      <c r="CW151" s="20">
        <f t="shared" si="121"/>
        <v>535.64839767370643</v>
      </c>
      <c r="CX151" s="59">
        <f t="shared" si="122"/>
        <v>828.9817310070398</v>
      </c>
      <c r="CY151" s="59">
        <f ca="1">AVERAGE(OFFSET($CX$3,0,0,'Données projet'!$E$13+1,1))-AVERAGE(OFFSET($H$3,0,0,'Données projet'!$E$13+1,1))</f>
        <v>330.87173217110126</v>
      </c>
      <c r="CZ151" s="59">
        <f t="shared" si="150"/>
        <v>200.52697135436102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45.715209421677137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45.715209421677137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4.8666666666666663</v>
      </c>
      <c r="N152" s="13">
        <f>IF('Données projet'!$A$36&gt;35,N151+M152-V151,IF(A152&lt;'Données projet'!$A$36,$K$205^A152,IF(A152='Données projet'!$A$36,'Données projet'!$B$36,N151+M152-V151)))</f>
        <v>276.53333333333353</v>
      </c>
      <c r="O152" s="13">
        <f>N152*VLOOKUP('Données projet'!$B$9,Paramètres!$A$1:$I$89,3,0)*VLOOKUP('Données projet'!$B$9,Paramètres!$A$1:$I$89,5,0)</f>
        <v>250.20736000000016</v>
      </c>
      <c r="P152" s="13">
        <f t="shared" si="141"/>
        <v>60.630341732617801</v>
      </c>
      <c r="Q152" s="20">
        <f t="shared" si="108"/>
        <v>541.37566385097637</v>
      </c>
      <c r="R152" s="59">
        <f t="shared" si="109"/>
        <v>834.70899718430974</v>
      </c>
      <c r="S152" s="59">
        <f ca="1">AVERAGE(OFFSET($R$3,0,0,'Données projet'!$E$9+1,1))-AVERAGE(OFFSET($H$3,0,0,'Données projet'!$E$9+1,1))</f>
        <v>328.8796193543036</v>
      </c>
      <c r="T152" s="59">
        <f t="shared" si="142"/>
        <v>199.43308683696642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44.511784226192965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44.511784226192965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351.77274930064431</v>
      </c>
      <c r="AO152" s="59">
        <f t="shared" si="144"/>
        <v>386.10758060007078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28.728449376212552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28.728449376212552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2.4</v>
      </c>
      <c r="BD152" s="12">
        <f>IF('Données projet'!$A$88&gt;35,BD151+BC152-BL151,IF(A152&lt;'Données projet'!$A$88,$BA$205^A152,IF(A152='Données projet'!$A$88,'Données projet'!$B$88,BD151+BC152-BL151)))</f>
        <v>290.59999999999883</v>
      </c>
      <c r="BE152" s="13">
        <f>BD152*VLOOKUP('Données projet'!$B$11,Paramètres!$A$1:$I$89,3,0)*VLOOKUP('Données projet'!$B$11,Paramètres!$A$1:$I$89,5,0)</f>
        <v>276.53495999999888</v>
      </c>
      <c r="BF152" s="13">
        <f t="shared" si="145"/>
        <v>66.234216476296112</v>
      </c>
      <c r="BG152" s="20">
        <f t="shared" si="115"/>
        <v>596.98964902954719</v>
      </c>
      <c r="BH152" s="59">
        <f t="shared" si="116"/>
        <v>890.32298236288057</v>
      </c>
      <c r="BI152" s="59">
        <f ca="1">AVERAGE(OFFSET($BH$3,0,0,'Données projet'!$E$11+1,1))-AVERAGE(OFFSET($H$3,0,0,'Données projet'!$E$11+1,1))</f>
        <v>438.62466697107681</v>
      </c>
      <c r="BJ152" s="59">
        <f t="shared" si="146"/>
        <v>241.18285512887627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-6.5028871176764376E-14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308.33000350259448</v>
      </c>
      <c r="CE152" s="59">
        <f t="shared" si="148"/>
        <v>282.64839194267171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35.733908354252904</v>
      </c>
      <c r="CL152" s="21">
        <f>EXP(-LN(2)/25)*CL151+(1-EXP(-LN(2)/25))/(LN(2)/25)*Calculateur!CG152*Calculateur!CI152*VLOOKUP('Données projet'!$B$12,Paramètres!$A$1:$I$89,3,0)*0.475*44/12</f>
        <v>5.4571243145031829</v>
      </c>
      <c r="CM152" s="21">
        <f>EXP(-LN(2)/2)*CM151+(1-EXP(-LN(2)/2))/(LN(2)/2)*CG152*CJ152*VLOOKUP('Données projet'!$B$12,Paramètres!$A$1:$I$89,3,0)*0.475*44/12</f>
        <v>3.0130083446598564E-9</v>
      </c>
      <c r="CN152" s="22">
        <f t="shared" si="120"/>
        <v>41.191032671769094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3.8933333333333318</v>
      </c>
      <c r="CT152" s="12">
        <f>IF('Données projet'!$A$140&gt;35,CT151+CS152-DB151,IF(A152&lt;'Données projet'!$A$140,$CQ$205^A152,IF(A152='Données projet'!$A$140,'Données projet'!$B$140,CT151+CS152-DB151)))</f>
        <v>221.22666666666674</v>
      </c>
      <c r="CU152" s="17">
        <f>CT152*VLOOKUP('Données projet'!$B$13,Paramètres!$A$1:$I$89,3,0)*VLOOKUP('Données projet'!$B$13,Paramètres!$A$1:$I$89,5,0)</f>
        <v>251.93292800000009</v>
      </c>
      <c r="CV152" s="13">
        <f t="shared" si="149"/>
        <v>60.999662573024644</v>
      </c>
      <c r="CW152" s="20">
        <f t="shared" si="121"/>
        <v>545.02426191468476</v>
      </c>
      <c r="CX152" s="59">
        <f t="shared" si="122"/>
        <v>838.35759524801801</v>
      </c>
      <c r="CY152" s="59">
        <f ca="1">AVERAGE(OFFSET($CX$3,0,0,'Données projet'!$E$13+1,1))-AVERAGE(OFFSET($H$3,0,0,'Données projet'!$E$13+1,1))</f>
        <v>330.87173217110126</v>
      </c>
      <c r="CZ152" s="59">
        <f t="shared" si="150"/>
        <v>200.52697135436102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44.81876204844253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44.81876204844253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4.8666666666666663</v>
      </c>
      <c r="N153" s="13">
        <f>IF('Données projet'!$A$36&gt;35,N152+M153-V152,IF(A153&lt;'Données projet'!$A$36,$K$205^A153,IF(A153='Données projet'!$A$36,'Données projet'!$B$36,N152+M153-V152)))</f>
        <v>281.4000000000002</v>
      </c>
      <c r="O153" s="13">
        <f>N153*VLOOKUP('Données projet'!$B$9,Paramètres!$A$1:$I$89,3,0)*VLOOKUP('Données projet'!$B$9,Paramètres!$A$1:$I$89,5,0)</f>
        <v>254.61072000000016</v>
      </c>
      <c r="P153" s="13">
        <f t="shared" si="141"/>
        <v>61.572204587965729</v>
      </c>
      <c r="Q153" s="20">
        <f t="shared" si="108"/>
        <v>550.68526032404054</v>
      </c>
      <c r="R153" s="59">
        <f t="shared" si="109"/>
        <v>844.01859365737391</v>
      </c>
      <c r="S153" s="59">
        <f ca="1">AVERAGE(OFFSET($R$3,0,0,'Données projet'!$E$9+1,1))-AVERAGE(OFFSET($H$3,0,0,'Données projet'!$E$9+1,1))</f>
        <v>328.8796193543036</v>
      </c>
      <c r="T153" s="59">
        <f t="shared" si="142"/>
        <v>199.43308683696642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43.638935287024907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43.638935287024907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351.77274930064431</v>
      </c>
      <c r="AO153" s="59">
        <f t="shared" si="144"/>
        <v>386.10758060007078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28.165102006568929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28.165102006568929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293</v>
      </c>
      <c r="BB153" s="12">
        <f>VLOOKUP(A153,'Données projet'!$A$87:$I$107,9,0)</f>
        <v>2.4</v>
      </c>
      <c r="BC153" s="12">
        <f t="array" ref="BC153">INDEX(BB:BB,MIN(IF(ISNUMBER(BB153:BB349),ROW(BB153:BB349),"")))</f>
        <v>2.4</v>
      </c>
      <c r="BD153" s="12">
        <f>IF('Données projet'!$A$88&gt;35,BD152+BC153-BL152,IF(A153&lt;'Données projet'!$A$88,$BA$205^A153,IF(A153='Données projet'!$A$88,'Données projet'!$B$88,BD152+BC153-BL152)))</f>
        <v>292.99999999999881</v>
      </c>
      <c r="BE153" s="13">
        <f>BD153*VLOOKUP('Données projet'!$B$11,Paramètres!$A$1:$I$89,3,0)*VLOOKUP('Données projet'!$B$11,Paramètres!$A$1:$I$89,5,0)</f>
        <v>278.81879999999887</v>
      </c>
      <c r="BF153" s="13">
        <f t="shared" si="145"/>
        <v>66.717325981909696</v>
      </c>
      <c r="BG153" s="20">
        <f t="shared" si="115"/>
        <v>601.80875275182416</v>
      </c>
      <c r="BH153" s="59">
        <f t="shared" si="116"/>
        <v>895.14208608515742</v>
      </c>
      <c r="BI153" s="59">
        <f ca="1">AVERAGE(OFFSET($BH$3,0,0,'Données projet'!$E$11+1,1))-AVERAGE(OFFSET($H$3,0,0,'Données projet'!$E$11+1,1))</f>
        <v>438.62466697107681</v>
      </c>
      <c r="BJ153" s="59">
        <f t="shared" si="146"/>
        <v>241.18285512887627</v>
      </c>
      <c r="BK153" s="15" t="str">
        <f>IF(ISNA(VLOOKUP(A153,'Données projet'!$A$87:$I$107,3,0)),0,VLOOKUP(A153,'Données projet'!$A$87:$I$107,3,0))</f>
        <v>CR</v>
      </c>
      <c r="BL153" s="15">
        <f>IF(ISNA(VLOOKUP(A153,'Données projet'!$A$87:$I$107,4,0)),0,VLOOKUP(A153,'Données projet'!$A$87:$I$107,4,0))</f>
        <v>293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-6.5028871176764376E-14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308.33000350259448</v>
      </c>
      <c r="CE153" s="59">
        <f t="shared" si="148"/>
        <v>282.64839194267171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35.033188206957973</v>
      </c>
      <c r="CL153" s="21">
        <f>EXP(-LN(2)/25)*CL152+(1-EXP(-LN(2)/25))/(LN(2)/25)*Calculateur!CG153*Calculateur!CI153*VLOOKUP('Données projet'!$B$12,Paramètres!$A$1:$I$89,3,0)*0.475*44/12</f>
        <v>5.3078989631453979</v>
      </c>
      <c r="CM153" s="21">
        <f>EXP(-LN(2)/2)*CM152+(1-EXP(-LN(2)/2))/(LN(2)/2)*CG153*CJ153*VLOOKUP('Données projet'!$B$12,Paramètres!$A$1:$I$89,3,0)*0.475*44/12</f>
        <v>2.1305186322806388E-9</v>
      </c>
      <c r="CN153" s="22">
        <f t="shared" si="120"/>
        <v>40.341087172233891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3.8933333333333318</v>
      </c>
      <c r="CT153" s="12">
        <f>IF('Données projet'!$A$140&gt;35,CT152+CS153-DB152,IF(A153&lt;'Données projet'!$A$140,$CQ$205^A153,IF(A153='Données projet'!$A$140,'Données projet'!$B$140,CT152+CS153-DB152)))</f>
        <v>225.12000000000009</v>
      </c>
      <c r="CU153" s="17">
        <f>CT153*VLOOKUP('Données projet'!$B$13,Paramètres!$A$1:$I$89,3,0)*VLOOKUP('Données projet'!$B$13,Paramètres!$A$1:$I$89,5,0)</f>
        <v>256.36665600000009</v>
      </c>
      <c r="CV153" s="13">
        <f t="shared" si="149"/>
        <v>61.947262647912247</v>
      </c>
      <c r="CW153" s="20">
        <f t="shared" si="121"/>
        <v>554.39674164511393</v>
      </c>
      <c r="CX153" s="59">
        <f t="shared" si="122"/>
        <v>847.73007497844719</v>
      </c>
      <c r="CY153" s="59">
        <f ca="1">AVERAGE(OFFSET($CX$3,0,0,'Données projet'!$E$13+1,1))-AVERAGE(OFFSET($H$3,0,0,'Données projet'!$E$13+1,1))</f>
        <v>330.87173217110126</v>
      </c>
      <c r="CZ153" s="59">
        <f t="shared" si="150"/>
        <v>200.52697135436102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43.939893461418144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43.939893461418144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4.8666666666666663</v>
      </c>
      <c r="N154" s="13">
        <f>IF('Données projet'!$A$36&gt;35,N153+M154-V153,IF(A154&lt;'Données projet'!$A$36,$K$205^A154,IF(A154='Données projet'!$A$36,'Données projet'!$B$36,N153+M154-V153)))</f>
        <v>286.26666666666688</v>
      </c>
      <c r="O154" s="13">
        <f>N154*VLOOKUP('Données projet'!$B$9,Paramètres!$A$1:$I$89,3,0)*VLOOKUP('Données projet'!$B$9,Paramètres!$A$1:$I$89,5,0)</f>
        <v>259.01408000000015</v>
      </c>
      <c r="P154" s="13">
        <f t="shared" si="141"/>
        <v>62.512173207750891</v>
      </c>
      <c r="Q154" s="20">
        <f t="shared" ref="Q154:Q203" si="162">(O154+P154)*0.475*44/12</f>
        <v>559.99155767016634</v>
      </c>
      <c r="R154" s="59">
        <f t="shared" si="109"/>
        <v>853.32489100349972</v>
      </c>
      <c r="S154" s="59">
        <f ca="1">AVERAGE(OFFSET($R$3,0,0,'Données projet'!$E$9+1,1))-AVERAGE(OFFSET($H$3,0,0,'Données projet'!$E$9+1,1))</f>
        <v>328.8796193543036</v>
      </c>
      <c r="T154" s="59">
        <f t="shared" si="142"/>
        <v>199.43308683696642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42.78320238316865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42.78320238316865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351.77274930064431</v>
      </c>
      <c r="AO154" s="59">
        <f t="shared" si="144"/>
        <v>386.10758060007078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27.612801535236049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27.612801535236049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-1.1937117960769683E-12</v>
      </c>
      <c r="BE154" s="13">
        <f>BD154*VLOOKUP('Données projet'!$B$11,Paramètres!$A$1:$I$89,3,0)*VLOOKUP('Données projet'!$B$11,Paramètres!$A$1:$I$89,5,0)</f>
        <v>-1.1359361451468432E-12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438.62466697107681</v>
      </c>
      <c r="BJ154" s="59">
        <f t="shared" si="146"/>
        <v>241.18285512887627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-6.5028871176764376E-14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308.33000350259448</v>
      </c>
      <c r="CE154" s="59">
        <f t="shared" si="148"/>
        <v>282.64839194267171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34.346208754354407</v>
      </c>
      <c r="CL154" s="21">
        <f>EXP(-LN(2)/25)*CL153+(1-EXP(-LN(2)/25))/(LN(2)/25)*Calculateur!CG154*Calculateur!CI154*VLOOKUP('Données projet'!$B$12,Paramètres!$A$1:$I$89,3,0)*0.475*44/12</f>
        <v>5.1627541868679119</v>
      </c>
      <c r="CM154" s="21">
        <f>EXP(-LN(2)/2)*CM153+(1-EXP(-LN(2)/2))/(LN(2)/2)*CG154*CJ154*VLOOKUP('Données projet'!$B$12,Paramètres!$A$1:$I$89,3,0)*0.475*44/12</f>
        <v>1.5065041723299282E-9</v>
      </c>
      <c r="CN154" s="22">
        <f t="shared" ref="CN154:CN203" si="172">SUM(CK154:CM154)</f>
        <v>39.508962942728829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3.8933333333333318</v>
      </c>
      <c r="CT154" s="12">
        <f>IF('Données projet'!$A$140&gt;35,CT153+CS154-DB153,IF(A154&lt;'Données projet'!$A$140,$CQ$205^A154,IF(A154='Données projet'!$A$140,'Données projet'!$B$140,CT153+CS154-DB153)))</f>
        <v>229.01333333333343</v>
      </c>
      <c r="CU154" s="17">
        <f>CT154*VLOOKUP('Données projet'!$B$13,Paramètres!$A$1:$I$89,3,0)*VLOOKUP('Données projet'!$B$13,Paramètres!$A$1:$I$89,5,0)</f>
        <v>260.80038400000012</v>
      </c>
      <c r="CV154" s="13">
        <f t="shared" ref="CV154:CV203" si="173">EXP(-1.0587+0.8836*LN(CU154)+0.284)</f>
        <v>62.892956948778817</v>
      </c>
      <c r="CW154" s="20">
        <f t="shared" ref="CW154:CW203" si="174">(CU154+CV154)*0.475*44/12</f>
        <v>563.76590215245665</v>
      </c>
      <c r="CX154" s="59">
        <f t="shared" si="122"/>
        <v>857.0992354857899</v>
      </c>
      <c r="CY154" s="59">
        <f ca="1">AVERAGE(OFFSET($CX$3,0,0,'Données projet'!$E$13+1,1))-AVERAGE(OFFSET($H$3,0,0,'Données projet'!$E$13+1,1))</f>
        <v>330.87173217110126</v>
      </c>
      <c r="CZ154" s="59">
        <f t="shared" si="150"/>
        <v>200.52697135436102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43.078258951328401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43.078258951328401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4.8666666666666663</v>
      </c>
      <c r="N155" s="13">
        <f>IF('Données projet'!$A$36&gt;35,N154+M155-V154,IF(A155&lt;'Données projet'!$A$36,$K$205^A155,IF(A155='Données projet'!$A$36,'Données projet'!$B$36,N154+M155-V154)))</f>
        <v>291.13333333333355</v>
      </c>
      <c r="O155" s="13">
        <f>N155*VLOOKUP('Données projet'!$B$9,Paramètres!$A$1:$I$89,3,0)*VLOOKUP('Données projet'!$B$9,Paramètres!$A$1:$I$89,5,0)</f>
        <v>263.41744000000023</v>
      </c>
      <c r="P155" s="13">
        <f t="shared" si="141"/>
        <v>63.450283511215474</v>
      </c>
      <c r="Q155" s="20">
        <f t="shared" si="162"/>
        <v>569.29461844870059</v>
      </c>
      <c r="R155" s="59">
        <f t="shared" si="109"/>
        <v>862.62795178203396</v>
      </c>
      <c r="S155" s="59">
        <f ca="1">AVERAGE(OFFSET($R$3,0,0,'Données projet'!$E$9+1,1))-AVERAGE(OFFSET($H$3,0,0,'Données projet'!$E$9+1,1))</f>
        <v>328.8796193543036</v>
      </c>
      <c r="T155" s="59">
        <f t="shared" si="142"/>
        <v>199.43308683696642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41.944249879611483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41.944249879611483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351.77274930064431</v>
      </c>
      <c r="AO155" s="59">
        <f t="shared" si="144"/>
        <v>386.10758060007078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27.071331339275982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27.071331339275982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-1.1937117960769683E-12</v>
      </c>
      <c r="BE155" s="13">
        <f>BD155*VLOOKUP('Données projet'!$B$11,Paramètres!$A$1:$I$89,3,0)*VLOOKUP('Données projet'!$B$11,Paramètres!$A$1:$I$89,5,0)</f>
        <v>-1.1359361451468432E-12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438.62466697107681</v>
      </c>
      <c r="BJ155" s="59">
        <f t="shared" si="146"/>
        <v>241.18285512887627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-6.5028871176764376E-14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308.33000350259448</v>
      </c>
      <c r="CE155" s="59">
        <f t="shared" si="148"/>
        <v>282.64839194267171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33.672700549800304</v>
      </c>
      <c r="CL155" s="21">
        <f>EXP(-LN(2)/25)*CL154+(1-EXP(-LN(2)/25))/(LN(2)/25)*Calculateur!CG155*Calculateur!CI155*VLOOKUP('Données projet'!$B$12,Paramètres!$A$1:$I$89,3,0)*0.475*44/12</f>
        <v>5.0215784021305661</v>
      </c>
      <c r="CM155" s="21">
        <f>EXP(-LN(2)/2)*CM154+(1-EXP(-LN(2)/2))/(LN(2)/2)*CG155*CJ155*VLOOKUP('Données projet'!$B$12,Paramètres!$A$1:$I$89,3,0)*0.475*44/12</f>
        <v>1.0652593161403194E-9</v>
      </c>
      <c r="CN155" s="22">
        <f t="shared" si="172"/>
        <v>38.694278952996129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3.8933333333333318</v>
      </c>
      <c r="CT155" s="12">
        <f>IF('Données projet'!$A$140&gt;35,CT154+CS155-DB154,IF(A155&lt;'Données projet'!$A$140,$CQ$205^A155,IF(A155='Données projet'!$A$140,'Données projet'!$B$140,CT154+CS155-DB154)))</f>
        <v>232.90666666666678</v>
      </c>
      <c r="CU155" s="17">
        <f>CT155*VLOOKUP('Données projet'!$B$13,Paramètres!$A$1:$I$89,3,0)*VLOOKUP('Données projet'!$B$13,Paramètres!$A$1:$I$89,5,0)</f>
        <v>265.2341120000001</v>
      </c>
      <c r="CV155" s="13">
        <f t="shared" si="173"/>
        <v>63.836781613663213</v>
      </c>
      <c r="CW155" s="20">
        <f t="shared" si="174"/>
        <v>573.13180637713015</v>
      </c>
      <c r="CX155" s="59">
        <f t="shared" si="122"/>
        <v>866.46513971046352</v>
      </c>
      <c r="CY155" s="59">
        <f ca="1">AVERAGE(OFFSET($CX$3,0,0,'Données projet'!$E$13+1,1))-AVERAGE(OFFSET($H$3,0,0,'Données projet'!$E$13+1,1))</f>
        <v>330.87173217110126</v>
      </c>
      <c r="CZ155" s="59">
        <f t="shared" si="150"/>
        <v>200.52697135436102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42.233520568436354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42.233520568436354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296</v>
      </c>
      <c r="L156" s="12">
        <f>VLOOKUP(A156,'Données projet'!$A$35:$I$55,9,0)</f>
        <v>4.8666666666666663</v>
      </c>
      <c r="M156" s="12">
        <f t="array" ref="M156">INDEX(L:L,MIN(IF(ISNUMBER(L156:L352),ROW(L156:L352),"")))</f>
        <v>4.8666666666666663</v>
      </c>
      <c r="N156" s="13">
        <f>IF('Données projet'!$A$36&gt;35,N155+M156-V155,IF(A156&lt;'Données projet'!$A$36,$K$205^A156,IF(A156='Données projet'!$A$36,'Données projet'!$B$36,N155+M156-V155)))</f>
        <v>296.00000000000023</v>
      </c>
      <c r="O156" s="13">
        <f>N156*VLOOKUP('Données projet'!$B$9,Paramètres!$A$1:$I$89,3,0)*VLOOKUP('Données projet'!$B$9,Paramètres!$A$1:$I$89,5,0)</f>
        <v>267.82080000000019</v>
      </c>
      <c r="P156" s="13">
        <f t="shared" si="141"/>
        <v>64.386570147897373</v>
      </c>
      <c r="Q156" s="20">
        <f t="shared" si="162"/>
        <v>578.59450300758829</v>
      </c>
      <c r="R156" s="59">
        <f t="shared" si="109"/>
        <v>871.92783634092166</v>
      </c>
      <c r="S156" s="59">
        <f ca="1">AVERAGE(OFFSET($R$3,0,0,'Données projet'!$E$9+1,1))-AVERAGE(OFFSET($H$3,0,0,'Données projet'!$E$9+1,1))</f>
        <v>328.8796193543036</v>
      </c>
      <c r="T156" s="59">
        <f t="shared" si="142"/>
        <v>199.43308683696642</v>
      </c>
      <c r="U156" s="15" t="str">
        <f>IF(ISNA(VLOOKUP(A156,'Données projet'!$A$35:$I$55,3,0)),0,VLOOKUP(A156,'Données projet'!$A$35:$I$55,3,0))</f>
        <v>CR</v>
      </c>
      <c r="V156" s="15">
        <f>IF(ISNA(VLOOKUP(A156,'Données projet'!$A$35:$I$55,4,0)),0,VLOOKUP(A156,'Données projet'!$A$35:$I$55,4,0))</f>
        <v>296</v>
      </c>
      <c r="W156" s="16">
        <f>IF(ISNA(VLOOKUP(A156,'Données projet'!$A$35:$I$55,5,0)),0%,VLOOKUP(A156,'Données projet'!$A$35:$I$55,5,0)*VLOOKUP('Données projet'!$B$9,Paramètres!$A$1:$I$89,7,0))</f>
        <v>0.38700000000000001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155.70004979356926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155.70004979356926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351.77274930064431</v>
      </c>
      <c r="AO156" s="59">
        <f t="shared" si="144"/>
        <v>386.10758060007078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26.540479043594484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26.540479043594484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-1.1937117960769683E-12</v>
      </c>
      <c r="BE156" s="13">
        <f>BD156*VLOOKUP('Données projet'!$B$11,Paramètres!$A$1:$I$89,3,0)*VLOOKUP('Données projet'!$B$11,Paramètres!$A$1:$I$89,5,0)</f>
        <v>-1.1359361451468432E-12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438.62466697107681</v>
      </c>
      <c r="BJ156" s="59">
        <f t="shared" si="146"/>
        <v>241.18285512887627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-6.5028871176764376E-14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308.33000350259448</v>
      </c>
      <c r="CE156" s="59">
        <f t="shared" si="148"/>
        <v>282.64839194267171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33.012399430338064</v>
      </c>
      <c r="CL156" s="21">
        <f>EXP(-LN(2)/25)*CL155+(1-EXP(-LN(2)/25))/(LN(2)/25)*Calculateur!CG156*Calculateur!CI156*VLOOKUP('Données projet'!$B$12,Paramètres!$A$1:$I$89,3,0)*0.475*44/12</f>
        <v>4.8842630766509743</v>
      </c>
      <c r="CM156" s="21">
        <f>EXP(-LN(2)/2)*CM155+(1-EXP(-LN(2)/2))/(LN(2)/2)*CG156*CJ156*VLOOKUP('Données projet'!$B$12,Paramètres!$A$1:$I$89,3,0)*0.475*44/12</f>
        <v>7.532520861649641E-10</v>
      </c>
      <c r="CN156" s="22">
        <f t="shared" si="172"/>
        <v>37.896662507742292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236.8</v>
      </c>
      <c r="CR156" s="12">
        <f>VLOOKUP(A156,'Données projet'!$A$139:$I$159,9,0)</f>
        <v>3.8933333333333318</v>
      </c>
      <c r="CS156" s="12">
        <f t="array" ref="CS156">INDEX(CR:CR,MIN(IF(ISNUMBER(CR156:CR352),ROW(CR156:CR352),"")))</f>
        <v>3.8933333333333318</v>
      </c>
      <c r="CT156" s="12">
        <f>IF('Données projet'!$A$140&gt;35,CT155+CS156-DB155,IF(A156&lt;'Données projet'!$A$140,$CQ$205^A156,IF(A156='Données projet'!$A$140,'Données projet'!$B$140,CT155+CS156-DB155)))</f>
        <v>236.80000000000013</v>
      </c>
      <c r="CU156" s="17">
        <f>CT156*VLOOKUP('Données projet'!$B$13,Paramètres!$A$1:$I$89,3,0)*VLOOKUP('Données projet'!$B$13,Paramètres!$A$1:$I$89,5,0)</f>
        <v>269.66784000000013</v>
      </c>
      <c r="CV156" s="13">
        <f t="shared" si="173"/>
        <v>64.778771503166098</v>
      </c>
      <c r="CW156" s="20">
        <f t="shared" si="174"/>
        <v>582.49451503468106</v>
      </c>
      <c r="CX156" s="59">
        <f t="shared" si="122"/>
        <v>875.82784836801443</v>
      </c>
      <c r="CY156" s="59">
        <f ca="1">AVERAGE(OFFSET($CX$3,0,0,'Données projet'!$E$13+1,1))-AVERAGE(OFFSET($H$3,0,0,'Données projet'!$E$13+1,1))</f>
        <v>330.87173217110126</v>
      </c>
      <c r="CZ156" s="59">
        <f t="shared" si="150"/>
        <v>200.52697135436102</v>
      </c>
      <c r="DA156" s="15" t="str">
        <f>IF(ISNA(VLOOKUP(A156,'Données projet'!$A$139:$I$159,3,0)),0,VLOOKUP(A156,'Données projet'!$A$139:$I$159,3,0))</f>
        <v>CR</v>
      </c>
      <c r="DB156" s="15">
        <f>IF(ISNA(VLOOKUP(A156,'Données projet'!$A$139:$I$159,4,0)),0,VLOOKUP(A156,'Données projet'!$A$139:$I$159,4,0))</f>
        <v>236.8</v>
      </c>
      <c r="DC156" s="16">
        <f>IF(ISNA(VLOOKUP(A156,'Données projet'!$A$139:$I$159,5,0)),0%,VLOOKUP(A156,'Données projet'!$A$139:$I$159,5,0)*VLOOKUP('Données projet'!$B$13,Paramètres!$A$1:$I$89,7,0))</f>
        <v>0.38700000000000001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156.77384324042146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156.77384324042146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2.0572770154103635E-13</v>
      </c>
      <c r="P157" s="13">
        <f t="shared" si="141"/>
        <v>2.8416956338469711E-12</v>
      </c>
      <c r="Q157" s="20">
        <f t="shared" si="162"/>
        <v>5.3075956424674458E-12</v>
      </c>
      <c r="R157" s="59">
        <f t="shared" si="109"/>
        <v>293.3333333333386</v>
      </c>
      <c r="S157" s="59">
        <f ca="1">AVERAGE(OFFSET($R$3,0,0,'Données projet'!$E$9+1,1))-AVERAGE(OFFSET($H$3,0,0,'Données projet'!$E$9+1,1))</f>
        <v>328.8796193543036</v>
      </c>
      <c r="T157" s="59">
        <f t="shared" si="142"/>
        <v>199.43308683696642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152.64686678477048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152.64686678477048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351.77274930064431</v>
      </c>
      <c r="AO157" s="59">
        <f t="shared" si="144"/>
        <v>386.10758060007078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26.02003643764337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26.02003643764337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-1.1937117960769683E-12</v>
      </c>
      <c r="BE157" s="13">
        <f>BD157*VLOOKUP('Données projet'!$B$11,Paramètres!$A$1:$I$89,3,0)*VLOOKUP('Données projet'!$B$11,Paramètres!$A$1:$I$89,5,0)</f>
        <v>-1.1359361451468432E-12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438.62466697107681</v>
      </c>
      <c r="BJ157" s="59">
        <f t="shared" si="146"/>
        <v>241.18285512887627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-6.5028871176764376E-14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308.33000350259448</v>
      </c>
      <c r="CE157" s="59">
        <f t="shared" si="148"/>
        <v>282.64839194267171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32.365046413084563</v>
      </c>
      <c r="CL157" s="21">
        <f>EXP(-LN(2)/25)*CL156+(1-EXP(-LN(2)/25))/(LN(2)/25)*Calculateur!CG157*Calculateur!CI157*VLOOKUP('Données projet'!$B$12,Paramètres!$A$1:$I$89,3,0)*0.475*44/12</f>
        <v>4.7507026459677215</v>
      </c>
      <c r="CM157" s="21">
        <f>EXP(-LN(2)/2)*CM156+(1-EXP(-LN(2)/2))/(LN(2)/2)*CG157*CJ157*VLOOKUP('Données projet'!$B$12,Paramètres!$A$1:$I$89,3,0)*0.475*44/12</f>
        <v>5.326296580701597E-10</v>
      </c>
      <c r="CN157" s="22">
        <f t="shared" si="172"/>
        <v>37.115749059584914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1.2946657079737634E-13</v>
      </c>
      <c r="CV157" s="13">
        <f t="shared" si="173"/>
        <v>1.8873591890224769E-12</v>
      </c>
      <c r="CW157" s="20">
        <f t="shared" si="174"/>
        <v>3.5126381983529106E-12</v>
      </c>
      <c r="CX157" s="59">
        <f t="shared" si="122"/>
        <v>293.33333333333684</v>
      </c>
      <c r="CY157" s="59">
        <f ca="1">AVERAGE(OFFSET($CX$3,0,0,'Données projet'!$E$13+1,1))-AVERAGE(OFFSET($H$3,0,0,'Données projet'!$E$13+1,1))</f>
        <v>330.87173217110126</v>
      </c>
      <c r="CZ157" s="59">
        <f t="shared" si="150"/>
        <v>200.52697135436102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153.69960379707922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153.69960379707922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2.0572770154103635E-13</v>
      </c>
      <c r="P158" s="13">
        <f t="shared" si="141"/>
        <v>2.8416956338469711E-12</v>
      </c>
      <c r="Q158" s="20">
        <f t="shared" si="162"/>
        <v>5.3075956424674458E-12</v>
      </c>
      <c r="R158" s="59">
        <f t="shared" si="109"/>
        <v>293.3333333333386</v>
      </c>
      <c r="S158" s="59">
        <f ca="1">AVERAGE(OFFSET($R$3,0,0,'Données projet'!$E$9+1,1))-AVERAGE(OFFSET($H$3,0,0,'Données projet'!$E$9+1,1))</f>
        <v>328.8796193543036</v>
      </c>
      <c r="T158" s="59">
        <f t="shared" si="142"/>
        <v>199.43308683696642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149.65355483251648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149.65355483251648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351.77274930064431</v>
      </c>
      <c r="AO158" s="59">
        <f t="shared" si="144"/>
        <v>386.10758060007078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25.509799393756314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25.509799393756314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-1.1937117960769683E-12</v>
      </c>
      <c r="BE158" s="13">
        <f>BD158*VLOOKUP('Données projet'!$B$11,Paramètres!$A$1:$I$89,3,0)*VLOOKUP('Données projet'!$B$11,Paramètres!$A$1:$I$89,5,0)</f>
        <v>-1.1359361451468432E-12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438.62466697107681</v>
      </c>
      <c r="BJ158" s="59">
        <f t="shared" si="146"/>
        <v>241.18285512887627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-6.5028871176764376E-14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308.33000350259448</v>
      </c>
      <c r="CE158" s="59">
        <f t="shared" si="148"/>
        <v>282.64839194267171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31.730387593653052</v>
      </c>
      <c r="CL158" s="21">
        <f>EXP(-LN(2)/25)*CL157+(1-EXP(-LN(2)/25))/(LN(2)/25)*Calculateur!CG158*Calculateur!CI158*VLOOKUP('Données projet'!$B$12,Paramètres!$A$1:$I$89,3,0)*0.475*44/12</f>
        <v>4.6207944322851402</v>
      </c>
      <c r="CM158" s="21">
        <f>EXP(-LN(2)/2)*CM157+(1-EXP(-LN(2)/2))/(LN(2)/2)*CG158*CJ158*VLOOKUP('Données projet'!$B$12,Paramètres!$A$1:$I$89,3,0)*0.475*44/12</f>
        <v>3.7662604308248205E-10</v>
      </c>
      <c r="CN158" s="22">
        <f t="shared" si="172"/>
        <v>36.351182026314817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1.2946657079737634E-13</v>
      </c>
      <c r="CV158" s="13">
        <f t="shared" si="173"/>
        <v>1.8873591890224769E-12</v>
      </c>
      <c r="CW158" s="20">
        <f t="shared" si="174"/>
        <v>3.5126381983529106E-12</v>
      </c>
      <c r="CX158" s="59">
        <f t="shared" si="122"/>
        <v>293.33333333333684</v>
      </c>
      <c r="CY158" s="59">
        <f ca="1">AVERAGE(OFFSET($CX$3,0,0,'Données projet'!$E$13+1,1))-AVERAGE(OFFSET($H$3,0,0,'Données projet'!$E$13+1,1))</f>
        <v>330.87173217110126</v>
      </c>
      <c r="CZ158" s="59">
        <f t="shared" si="150"/>
        <v>200.52697135436102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150.68564831412002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150.68564831412002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2.0572770154103635E-13</v>
      </c>
      <c r="P159" s="13">
        <f t="shared" si="141"/>
        <v>2.8416956338469711E-12</v>
      </c>
      <c r="Q159" s="20">
        <f t="shared" si="162"/>
        <v>5.3075956424674458E-12</v>
      </c>
      <c r="R159" s="59">
        <f t="shared" si="109"/>
        <v>293.3333333333386</v>
      </c>
      <c r="S159" s="59">
        <f ca="1">AVERAGE(OFFSET($R$3,0,0,'Données projet'!$E$9+1,1))-AVERAGE(OFFSET($H$3,0,0,'Données projet'!$E$9+1,1))</f>
        <v>328.8796193543036</v>
      </c>
      <c r="T159" s="59">
        <f t="shared" si="142"/>
        <v>199.43308683696642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146.71893990190617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146.71893990190617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351.77274930064431</v>
      </c>
      <c r="AO159" s="59">
        <f t="shared" si="144"/>
        <v>386.10758060007078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25.009567787086016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25.009567787086016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-1.1937117960769683E-12</v>
      </c>
      <c r="BE159" s="13">
        <f>BD159*VLOOKUP('Données projet'!$B$11,Paramètres!$A$1:$I$89,3,0)*VLOOKUP('Données projet'!$B$11,Paramètres!$A$1:$I$89,5,0)</f>
        <v>-1.1359361451468432E-12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438.62466697107681</v>
      </c>
      <c r="BJ159" s="59">
        <f t="shared" si="146"/>
        <v>241.18285512887627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-6.5028871176764376E-14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308.33000350259448</v>
      </c>
      <c r="CE159" s="59">
        <f t="shared" si="148"/>
        <v>282.64839194267171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31.108174046566937</v>
      </c>
      <c r="CL159" s="21">
        <f>EXP(-LN(2)/25)*CL158+(1-EXP(-LN(2)/25))/(LN(2)/25)*Calculateur!CG159*Calculateur!CI159*VLOOKUP('Données projet'!$B$12,Paramètres!$A$1:$I$89,3,0)*0.475*44/12</f>
        <v>4.4944385655372852</v>
      </c>
      <c r="CM159" s="21">
        <f>EXP(-LN(2)/2)*CM158+(1-EXP(-LN(2)/2))/(LN(2)/2)*CG159*CJ159*VLOOKUP('Données projet'!$B$12,Paramètres!$A$1:$I$89,3,0)*0.475*44/12</f>
        <v>2.6631482903507985E-10</v>
      </c>
      <c r="CN159" s="22">
        <f t="shared" si="172"/>
        <v>35.602612612370535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1.2946657079737634E-13</v>
      </c>
      <c r="CV159" s="13">
        <f t="shared" si="173"/>
        <v>1.8873591890224769E-12</v>
      </c>
      <c r="CW159" s="20">
        <f t="shared" si="174"/>
        <v>3.5126381983529106E-12</v>
      </c>
      <c r="CX159" s="59">
        <f t="shared" si="122"/>
        <v>293.33333333333684</v>
      </c>
      <c r="CY159" s="59">
        <f ca="1">AVERAGE(OFFSET($CX$3,0,0,'Données projet'!$E$13+1,1))-AVERAGE(OFFSET($H$3,0,0,'Données projet'!$E$13+1,1))</f>
        <v>330.87173217110126</v>
      </c>
      <c r="CZ159" s="59">
        <f t="shared" si="150"/>
        <v>200.52697135436102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147.73079465985032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147.73079465985032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2.0572770154103635E-13</v>
      </c>
      <c r="P160" s="13">
        <f t="shared" si="141"/>
        <v>2.8416956338469711E-12</v>
      </c>
      <c r="Q160" s="20">
        <f t="shared" si="162"/>
        <v>5.3075956424674458E-12</v>
      </c>
      <c r="R160" s="59">
        <f t="shared" si="109"/>
        <v>293.3333333333386</v>
      </c>
      <c r="S160" s="59">
        <f ca="1">AVERAGE(OFFSET($R$3,0,0,'Données projet'!$E$9+1,1))-AVERAGE(OFFSET($H$3,0,0,'Données projet'!$E$9+1,1))</f>
        <v>328.8796193543036</v>
      </c>
      <c r="T160" s="59">
        <f t="shared" si="142"/>
        <v>199.43308683696642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143.84187098014675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143.84187098014675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351.77274930064431</v>
      </c>
      <c r="AO160" s="59">
        <f t="shared" si="144"/>
        <v>386.10758060007078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24.519145417111371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24.519145417111371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-1.1937117960769683E-12</v>
      </c>
      <c r="BE160" s="13">
        <f>BD160*VLOOKUP('Données projet'!$B$11,Paramètres!$A$1:$I$89,3,0)*VLOOKUP('Données projet'!$B$11,Paramètres!$A$1:$I$89,5,0)</f>
        <v>-1.1359361451468432E-12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438.62466697107681</v>
      </c>
      <c r="BJ160" s="59">
        <f t="shared" si="146"/>
        <v>241.18285512887627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-6.5028871176764376E-14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308.33000350259448</v>
      </c>
      <c r="CE160" s="59">
        <f t="shared" si="148"/>
        <v>282.64839194267171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30.498161727626389</v>
      </c>
      <c r="CL160" s="21">
        <f>EXP(-LN(2)/25)*CL159+(1-EXP(-LN(2)/25))/(LN(2)/25)*Calculateur!CG160*Calculateur!CI160*VLOOKUP('Données projet'!$B$12,Paramètres!$A$1:$I$89,3,0)*0.475*44/12</f>
        <v>4.3715379066104161</v>
      </c>
      <c r="CM160" s="21">
        <f>EXP(-LN(2)/2)*CM159+(1-EXP(-LN(2)/2))/(LN(2)/2)*CG160*CJ160*VLOOKUP('Données projet'!$B$12,Paramètres!$A$1:$I$89,3,0)*0.475*44/12</f>
        <v>1.8831302154124102E-10</v>
      </c>
      <c r="CN160" s="22">
        <f t="shared" si="172"/>
        <v>34.869699634425118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1.2946657079737634E-13</v>
      </c>
      <c r="CV160" s="13">
        <f t="shared" si="173"/>
        <v>1.8873591890224769E-12</v>
      </c>
      <c r="CW160" s="20">
        <f t="shared" si="174"/>
        <v>3.5126381983529106E-12</v>
      </c>
      <c r="CX160" s="59">
        <f t="shared" si="122"/>
        <v>293.33333333333684</v>
      </c>
      <c r="CY160" s="59">
        <f ca="1">AVERAGE(OFFSET($CX$3,0,0,'Données projet'!$E$13+1,1))-AVERAGE(OFFSET($H$3,0,0,'Données projet'!$E$13+1,1))</f>
        <v>330.87173217110126</v>
      </c>
      <c r="CZ160" s="59">
        <f t="shared" si="150"/>
        <v>200.52697135436102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144.83388388345807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144.83388388345807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2.0572770154103635E-13</v>
      </c>
      <c r="P161" s="13">
        <f t="shared" si="141"/>
        <v>2.8416956338469711E-12</v>
      </c>
      <c r="Q161" s="20">
        <f t="shared" si="162"/>
        <v>5.3075956424674458E-12</v>
      </c>
      <c r="R161" s="59">
        <f t="shared" si="109"/>
        <v>293.3333333333386</v>
      </c>
      <c r="S161" s="59">
        <f ca="1">AVERAGE(OFFSET($R$3,0,0,'Données projet'!$E$9+1,1))-AVERAGE(OFFSET($H$3,0,0,'Données projet'!$E$9+1,1))</f>
        <v>328.8796193543036</v>
      </c>
      <c r="T161" s="59">
        <f t="shared" si="142"/>
        <v>199.43308683696642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141.02121962510427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141.02121962510427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351.77274930064431</v>
      </c>
      <c r="AO161" s="59">
        <f t="shared" si="144"/>
        <v>386.10758060007078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24.038339930683819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24.038339930683819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-1.1937117960769683E-12</v>
      </c>
      <c r="BE161" s="13">
        <f>BD161*VLOOKUP('Données projet'!$B$11,Paramètres!$A$1:$I$89,3,0)*VLOOKUP('Données projet'!$B$11,Paramètres!$A$1:$I$89,5,0)</f>
        <v>-1.1359361451468432E-12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438.62466697107681</v>
      </c>
      <c r="BJ161" s="59">
        <f t="shared" si="146"/>
        <v>241.18285512887627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-6.5028871176764376E-14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308.33000350259448</v>
      </c>
      <c r="CE161" s="59">
        <f t="shared" si="148"/>
        <v>282.64839194267171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29.900111378189489</v>
      </c>
      <c r="CL161" s="21">
        <f>EXP(-LN(2)/25)*CL160+(1-EXP(-LN(2)/25))/(LN(2)/25)*Calculateur!CG161*Calculateur!CI161*VLOOKUP('Données projet'!$B$12,Paramètres!$A$1:$I$89,3,0)*0.475*44/12</f>
        <v>4.2519979726649666</v>
      </c>
      <c r="CM161" s="21">
        <f>EXP(-LN(2)/2)*CM160+(1-EXP(-LN(2)/2))/(LN(2)/2)*CG161*CJ161*VLOOKUP('Données projet'!$B$12,Paramètres!$A$1:$I$89,3,0)*0.475*44/12</f>
        <v>1.3315741451753992E-10</v>
      </c>
      <c r="CN161" s="22">
        <f t="shared" si="172"/>
        <v>34.152109350987615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1.2946657079737634E-13</v>
      </c>
      <c r="CV161" s="13">
        <f t="shared" si="173"/>
        <v>1.8873591890224769E-12</v>
      </c>
      <c r="CW161" s="20">
        <f t="shared" si="174"/>
        <v>3.5126381983529106E-12</v>
      </c>
      <c r="CX161" s="59">
        <f t="shared" si="122"/>
        <v>293.33333333333684</v>
      </c>
      <c r="CY161" s="59">
        <f ca="1">AVERAGE(OFFSET($CX$3,0,0,'Données projet'!$E$13+1,1))-AVERAGE(OFFSET($H$3,0,0,'Données projet'!$E$13+1,1))</f>
        <v>330.87173217110126</v>
      </c>
      <c r="CZ161" s="59">
        <f t="shared" si="150"/>
        <v>200.52697135436102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141.99377976044977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141.99377976044977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2.0572770154103635E-13</v>
      </c>
      <c r="P162" s="13">
        <f t="shared" si="141"/>
        <v>2.8416956338469711E-12</v>
      </c>
      <c r="Q162" s="20">
        <f t="shared" si="162"/>
        <v>5.3075956424674458E-12</v>
      </c>
      <c r="R162" s="59">
        <f t="shared" si="109"/>
        <v>293.3333333333386</v>
      </c>
      <c r="S162" s="59">
        <f ca="1">AVERAGE(OFFSET($R$3,0,0,'Données projet'!$E$9+1,1))-AVERAGE(OFFSET($H$3,0,0,'Données projet'!$E$9+1,1))</f>
        <v>328.8796193543036</v>
      </c>
      <c r="T162" s="59">
        <f t="shared" si="142"/>
        <v>199.43308683696642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138.25587952270672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138.25587952270672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351.77274930064431</v>
      </c>
      <c r="AO162" s="59">
        <f t="shared" si="144"/>
        <v>386.10758060007078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23.566962746582721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23.566962746582721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-1.1937117960769683E-12</v>
      </c>
      <c r="BE162" s="13">
        <f>BD162*VLOOKUP('Données projet'!$B$11,Paramètres!$A$1:$I$89,3,0)*VLOOKUP('Données projet'!$B$11,Paramètres!$A$1:$I$89,5,0)</f>
        <v>-1.1359361451468432E-12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438.62466697107681</v>
      </c>
      <c r="BJ162" s="59">
        <f t="shared" si="146"/>
        <v>241.18285512887627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-6.5028871176764376E-14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308.33000350259448</v>
      </c>
      <c r="CE162" s="59">
        <f t="shared" si="148"/>
        <v>282.64839194267171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29.313788431330355</v>
      </c>
      <c r="CL162" s="21">
        <f>EXP(-LN(2)/25)*CL161+(1-EXP(-LN(2)/25))/(LN(2)/25)*Calculateur!CG162*Calculateur!CI162*VLOOKUP('Données projet'!$B$12,Paramètres!$A$1:$I$89,3,0)*0.475*44/12</f>
        <v>4.1357268644995875</v>
      </c>
      <c r="CM162" s="21">
        <f>EXP(-LN(2)/2)*CM161+(1-EXP(-LN(2)/2))/(LN(2)/2)*CG162*CJ162*VLOOKUP('Données projet'!$B$12,Paramètres!$A$1:$I$89,3,0)*0.475*44/12</f>
        <v>9.4156510770620512E-11</v>
      </c>
      <c r="CN162" s="22">
        <f t="shared" si="172"/>
        <v>33.449515295924094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1.2946657079737634E-13</v>
      </c>
      <c r="CV162" s="13">
        <f t="shared" si="173"/>
        <v>1.8873591890224769E-12</v>
      </c>
      <c r="CW162" s="20">
        <f t="shared" si="174"/>
        <v>3.5126381983529106E-12</v>
      </c>
      <c r="CX162" s="59">
        <f t="shared" si="122"/>
        <v>293.33333333333684</v>
      </c>
      <c r="CY162" s="59">
        <f ca="1">AVERAGE(OFFSET($CX$3,0,0,'Données projet'!$E$13+1,1))-AVERAGE(OFFSET($H$3,0,0,'Données projet'!$E$13+1,1))</f>
        <v>330.87173217110126</v>
      </c>
      <c r="CZ162" s="59">
        <f t="shared" si="150"/>
        <v>200.52697135436102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139.2093683470012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139.2093683470012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2.0572770154103635E-13</v>
      </c>
      <c r="P163" s="13">
        <f t="shared" si="141"/>
        <v>2.8416956338469711E-12</v>
      </c>
      <c r="Q163" s="20">
        <f t="shared" si="162"/>
        <v>5.3075956424674458E-12</v>
      </c>
      <c r="R163" s="59">
        <f t="shared" si="109"/>
        <v>293.3333333333386</v>
      </c>
      <c r="S163" s="59">
        <f ca="1">AVERAGE(OFFSET($R$3,0,0,'Données projet'!$E$9+1,1))-AVERAGE(OFFSET($H$3,0,0,'Données projet'!$E$9+1,1))</f>
        <v>328.8796193543036</v>
      </c>
      <c r="T163" s="59">
        <f t="shared" si="142"/>
        <v>199.43308683696642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135.54476605302628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135.54476605302628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351.77274930064431</v>
      </c>
      <c r="AO163" s="59">
        <f t="shared" si="144"/>
        <v>386.10758060007078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23.104828981550153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23.104828981550153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-1.1937117960769683E-12</v>
      </c>
      <c r="BE163" s="13">
        <f>BD163*VLOOKUP('Données projet'!$B$11,Paramètres!$A$1:$I$89,3,0)*VLOOKUP('Données projet'!$B$11,Paramètres!$A$1:$I$89,5,0)</f>
        <v>-1.1359361451468432E-12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438.62466697107681</v>
      </c>
      <c r="BJ163" s="59">
        <f t="shared" si="146"/>
        <v>241.18285512887627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-6.5028871176764376E-14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308.33000350259448</v>
      </c>
      <c r="CE163" s="59">
        <f t="shared" si="148"/>
        <v>282.64839194267171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28.738962919837441</v>
      </c>
      <c r="CL163" s="21">
        <f>EXP(-LN(2)/25)*CL162+(1-EXP(-LN(2)/25))/(LN(2)/25)*Calculateur!CG163*Calculateur!CI163*VLOOKUP('Données projet'!$B$12,Paramètres!$A$1:$I$89,3,0)*0.475*44/12</f>
        <v>4.0226351959014224</v>
      </c>
      <c r="CM163" s="21">
        <f>EXP(-LN(2)/2)*CM162+(1-EXP(-LN(2)/2))/(LN(2)/2)*CG163*CJ163*VLOOKUP('Données projet'!$B$12,Paramètres!$A$1:$I$89,3,0)*0.475*44/12</f>
        <v>6.6578707258769962E-11</v>
      </c>
      <c r="CN163" s="22">
        <f t="shared" si="172"/>
        <v>32.761598115805441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1.2946657079737634E-13</v>
      </c>
      <c r="CV163" s="13">
        <f t="shared" si="173"/>
        <v>1.8873591890224769E-12</v>
      </c>
      <c r="CW163" s="20">
        <f t="shared" si="174"/>
        <v>3.5126381983529106E-12</v>
      </c>
      <c r="CX163" s="59">
        <f t="shared" si="122"/>
        <v>293.33333333333684</v>
      </c>
      <c r="CY163" s="59">
        <f ca="1">AVERAGE(OFFSET($CX$3,0,0,'Données projet'!$E$13+1,1))-AVERAGE(OFFSET($H$3,0,0,'Données projet'!$E$13+1,1))</f>
        <v>330.87173217110126</v>
      </c>
      <c r="CZ163" s="59">
        <f t="shared" si="150"/>
        <v>200.52697135436102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136.47955754304709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136.47955754304709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2.0572770154103635E-13</v>
      </c>
      <c r="P164" s="13">
        <f t="shared" si="141"/>
        <v>2.8416956338469711E-12</v>
      </c>
      <c r="Q164" s="20">
        <f t="shared" si="162"/>
        <v>5.3075956424674458E-12</v>
      </c>
      <c r="R164" s="59">
        <f t="shared" si="109"/>
        <v>293.3333333333386</v>
      </c>
      <c r="S164" s="59">
        <f ca="1">AVERAGE(OFFSET($R$3,0,0,'Données projet'!$E$9+1,1))-AVERAGE(OFFSET($H$3,0,0,'Données projet'!$E$9+1,1))</f>
        <v>328.8796193543036</v>
      </c>
      <c r="T164" s="59">
        <f t="shared" si="142"/>
        <v>199.43308683696642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132.88681586487033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132.88681586487033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351.77274930064431</v>
      </c>
      <c r="AO164" s="59">
        <f t="shared" si="144"/>
        <v>386.10758060007078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22.651757377776107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22.651757377776107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-1.1937117960769683E-12</v>
      </c>
      <c r="BE164" s="13">
        <f>BD164*VLOOKUP('Données projet'!$B$11,Paramètres!$A$1:$I$89,3,0)*VLOOKUP('Données projet'!$B$11,Paramètres!$A$1:$I$89,5,0)</f>
        <v>-1.1359361451468432E-12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438.62466697107681</v>
      </c>
      <c r="BJ164" s="59">
        <f t="shared" si="146"/>
        <v>241.18285512887627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-6.5028871176764376E-14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308.33000350259448</v>
      </c>
      <c r="CE164" s="59">
        <f t="shared" si="148"/>
        <v>282.64839194267171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28.175409386015961</v>
      </c>
      <c r="CL164" s="21">
        <f>EXP(-LN(2)/25)*CL163+(1-EXP(-LN(2)/25))/(LN(2)/25)*Calculateur!CG164*Calculateur!CI164*VLOOKUP('Données projet'!$B$12,Paramètres!$A$1:$I$89,3,0)*0.475*44/12</f>
        <v>3.912636024928307</v>
      </c>
      <c r="CM164" s="21">
        <f>EXP(-LN(2)/2)*CM163+(1-EXP(-LN(2)/2))/(LN(2)/2)*CG164*CJ164*VLOOKUP('Données projet'!$B$12,Paramètres!$A$1:$I$89,3,0)*0.475*44/12</f>
        <v>4.7078255385310256E-11</v>
      </c>
      <c r="CN164" s="22">
        <f t="shared" si="172"/>
        <v>32.088045410991349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1.2946657079737634E-13</v>
      </c>
      <c r="CV164" s="13">
        <f t="shared" si="173"/>
        <v>1.8873591890224769E-12</v>
      </c>
      <c r="CW164" s="20">
        <f t="shared" si="174"/>
        <v>3.5126381983529106E-12</v>
      </c>
      <c r="CX164" s="59">
        <f t="shared" si="122"/>
        <v>293.33333333333684</v>
      </c>
      <c r="CY164" s="59">
        <f ca="1">AVERAGE(OFFSET($CX$3,0,0,'Données projet'!$E$13+1,1))-AVERAGE(OFFSET($H$3,0,0,'Données projet'!$E$13+1,1))</f>
        <v>330.87173217110126</v>
      </c>
      <c r="CZ164" s="59">
        <f t="shared" si="150"/>
        <v>200.52697135436102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133.80327666393833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133.80327666393833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2.0572770154103635E-13</v>
      </c>
      <c r="P165" s="13">
        <f t="shared" si="141"/>
        <v>2.8416956338469711E-12</v>
      </c>
      <c r="Q165" s="20">
        <f t="shared" si="162"/>
        <v>5.3075956424674458E-12</v>
      </c>
      <c r="R165" s="59">
        <f t="shared" si="109"/>
        <v>293.3333333333386</v>
      </c>
      <c r="S165" s="59">
        <f ca="1">AVERAGE(OFFSET($R$3,0,0,'Données projet'!$E$9+1,1))-AVERAGE(OFFSET($H$3,0,0,'Données projet'!$E$9+1,1))</f>
        <v>328.8796193543036</v>
      </c>
      <c r="T165" s="59">
        <f t="shared" si="142"/>
        <v>199.43308683696642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130.28098645871458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130.28098645871458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351.77274930064431</v>
      </c>
      <c r="AO165" s="59">
        <f t="shared" si="144"/>
        <v>386.10758060007078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22.207570231805683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22.207570231805683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-1.1937117960769683E-12</v>
      </c>
      <c r="BE165" s="13">
        <f>BD165*VLOOKUP('Données projet'!$B$11,Paramètres!$A$1:$I$89,3,0)*VLOOKUP('Données projet'!$B$11,Paramètres!$A$1:$I$89,5,0)</f>
        <v>-1.1359361451468432E-12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438.62466697107681</v>
      </c>
      <c r="BJ165" s="59">
        <f t="shared" si="146"/>
        <v>241.18285512887627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-6.5028871176764376E-14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308.33000350259448</v>
      </c>
      <c r="CE165" s="59">
        <f t="shared" si="148"/>
        <v>282.64839194267171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27.622906793259006</v>
      </c>
      <c r="CL165" s="21">
        <f>EXP(-LN(2)/25)*CL164+(1-EXP(-LN(2)/25))/(LN(2)/25)*Calculateur!CG165*Calculateur!CI165*VLOOKUP('Données projet'!$B$12,Paramètres!$A$1:$I$89,3,0)*0.475*44/12</f>
        <v>3.8056447870700563</v>
      </c>
      <c r="CM165" s="21">
        <f>EXP(-LN(2)/2)*CM164+(1-EXP(-LN(2)/2))/(LN(2)/2)*CG165*CJ165*VLOOKUP('Données projet'!$B$12,Paramètres!$A$1:$I$89,3,0)*0.475*44/12</f>
        <v>3.3289353629384981E-11</v>
      </c>
      <c r="CN165" s="22">
        <f t="shared" si="172"/>
        <v>31.428551580362353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1.2946657079737634E-13</v>
      </c>
      <c r="CV165" s="13">
        <f t="shared" si="173"/>
        <v>1.8873591890224769E-12</v>
      </c>
      <c r="CW165" s="20">
        <f t="shared" si="174"/>
        <v>3.5126381983529106E-12</v>
      </c>
      <c r="CX165" s="59">
        <f t="shared" si="122"/>
        <v>293.33333333333684</v>
      </c>
      <c r="CY165" s="59">
        <f ca="1">AVERAGE(OFFSET($CX$3,0,0,'Données projet'!$E$13+1,1))-AVERAGE(OFFSET($H$3,0,0,'Données projet'!$E$13+1,1))</f>
        <v>330.87173217110126</v>
      </c>
      <c r="CZ165" s="59">
        <f t="shared" si="150"/>
        <v>200.52697135436102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131.17947602049875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131.17947602049875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2.0572770154103635E-13</v>
      </c>
      <c r="P166" s="13">
        <f t="shared" si="141"/>
        <v>2.8416956338469711E-12</v>
      </c>
      <c r="Q166" s="20">
        <f t="shared" si="162"/>
        <v>5.3075956424674458E-12</v>
      </c>
      <c r="R166" s="59">
        <f t="shared" si="109"/>
        <v>293.3333333333386</v>
      </c>
      <c r="S166" s="59">
        <f ca="1">AVERAGE(OFFSET($R$3,0,0,'Données projet'!$E$9+1,1))-AVERAGE(OFFSET($H$3,0,0,'Données projet'!$E$9+1,1))</f>
        <v>328.8796193543036</v>
      </c>
      <c r="T166" s="59">
        <f t="shared" si="142"/>
        <v>199.43308683696642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127.72625577781456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127.72625577781456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351.77274930064431</v>
      </c>
      <c r="AO166" s="59">
        <f t="shared" si="144"/>
        <v>386.10758060007078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21.772093324840331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21.772093324840331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-1.1937117960769683E-12</v>
      </c>
      <c r="BE166" s="13">
        <f>BD166*VLOOKUP('Données projet'!$B$11,Paramètres!$A$1:$I$89,3,0)*VLOOKUP('Données projet'!$B$11,Paramètres!$A$1:$I$89,5,0)</f>
        <v>-1.1359361451468432E-12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438.62466697107681</v>
      </c>
      <c r="BJ166" s="59">
        <f t="shared" si="146"/>
        <v>241.18285512887627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-6.5028871176764376E-14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308.33000350259448</v>
      </c>
      <c r="CE166" s="59">
        <f t="shared" si="148"/>
        <v>282.64839194267171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27.08123843935271</v>
      </c>
      <c r="CL166" s="21">
        <f>EXP(-LN(2)/25)*CL165+(1-EXP(-LN(2)/25))/(LN(2)/25)*Calculateur!CG166*Calculateur!CI166*VLOOKUP('Données projet'!$B$12,Paramètres!$A$1:$I$89,3,0)*0.475*44/12</f>
        <v>3.7015792302374639</v>
      </c>
      <c r="CM166" s="21">
        <f>EXP(-LN(2)/2)*CM165+(1-EXP(-LN(2)/2))/(LN(2)/2)*CG166*CJ166*VLOOKUP('Données projet'!$B$12,Paramètres!$A$1:$I$89,3,0)*0.475*44/12</f>
        <v>2.3539127692655128E-11</v>
      </c>
      <c r="CN166" s="22">
        <f t="shared" si="172"/>
        <v>30.782817669613713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1.2946657079737634E-13</v>
      </c>
      <c r="CV166" s="13">
        <f t="shared" si="173"/>
        <v>1.8873591890224769E-12</v>
      </c>
      <c r="CW166" s="20">
        <f t="shared" si="174"/>
        <v>3.5126381983529106E-12</v>
      </c>
      <c r="CX166" s="59">
        <f t="shared" si="122"/>
        <v>293.33333333333684</v>
      </c>
      <c r="CY166" s="59">
        <f ca="1">AVERAGE(OFFSET($CX$3,0,0,'Données projet'!$E$13+1,1))-AVERAGE(OFFSET($H$3,0,0,'Données projet'!$E$13+1,1))</f>
        <v>330.87173217110126</v>
      </c>
      <c r="CZ166" s="59">
        <f t="shared" si="150"/>
        <v>200.52697135436102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128.60712650731665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128.60712650731665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2.0572770154103635E-13</v>
      </c>
      <c r="P167" s="13">
        <f t="shared" si="141"/>
        <v>2.8416956338469711E-12</v>
      </c>
      <c r="Q167" s="20">
        <f t="shared" si="162"/>
        <v>5.3075956424674458E-12</v>
      </c>
      <c r="R167" s="59">
        <f t="shared" si="109"/>
        <v>293.3333333333386</v>
      </c>
      <c r="S167" s="59">
        <f ca="1">AVERAGE(OFFSET($R$3,0,0,'Données projet'!$E$9+1,1))-AVERAGE(OFFSET($H$3,0,0,'Données projet'!$E$9+1,1))</f>
        <v>328.8796193543036</v>
      </c>
      <c r="T167" s="59">
        <f t="shared" si="142"/>
        <v>199.43308683696642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125.22162180733513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125.22162180733513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351.77274930064431</v>
      </c>
      <c r="AO167" s="59">
        <f t="shared" si="144"/>
        <v>386.10758060007078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21.345155854405881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21.345155854405881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-1.1937117960769683E-12</v>
      </c>
      <c r="BE167" s="13">
        <f>BD167*VLOOKUP('Données projet'!$B$11,Paramètres!$A$1:$I$89,3,0)*VLOOKUP('Données projet'!$B$11,Paramètres!$A$1:$I$89,5,0)</f>
        <v>-1.1359361451468432E-12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438.62466697107681</v>
      </c>
      <c r="BJ167" s="59">
        <f t="shared" si="146"/>
        <v>241.18285512887627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-6.5028871176764376E-14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308.33000350259448</v>
      </c>
      <c r="CE167" s="59">
        <f t="shared" si="148"/>
        <v>282.64839194267171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26.550191871481442</v>
      </c>
      <c r="CL167" s="21">
        <f>EXP(-LN(2)/25)*CL166+(1-EXP(-LN(2)/25))/(LN(2)/25)*Calculateur!CG167*Calculateur!CI167*VLOOKUP('Données projet'!$B$12,Paramètres!$A$1:$I$89,3,0)*0.475*44/12</f>
        <v>3.6003593515290286</v>
      </c>
      <c r="CM167" s="21">
        <f>EXP(-LN(2)/2)*CM166+(1-EXP(-LN(2)/2))/(LN(2)/2)*CG167*CJ167*VLOOKUP('Données projet'!$B$12,Paramètres!$A$1:$I$89,3,0)*0.475*44/12</f>
        <v>1.6644676814692491E-11</v>
      </c>
      <c r="CN167" s="22">
        <f t="shared" si="172"/>
        <v>30.150551223027115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1.2946657079737634E-13</v>
      </c>
      <c r="CV167" s="13">
        <f t="shared" si="173"/>
        <v>1.8873591890224769E-12</v>
      </c>
      <c r="CW167" s="20">
        <f t="shared" si="174"/>
        <v>3.5126381983529106E-12</v>
      </c>
      <c r="CX167" s="59">
        <f t="shared" si="122"/>
        <v>293.33333333333684</v>
      </c>
      <c r="CY167" s="59">
        <f ca="1">AVERAGE(OFFSET($CX$3,0,0,'Données projet'!$E$13+1,1))-AVERAGE(OFFSET($H$3,0,0,'Données projet'!$E$13+1,1))</f>
        <v>330.87173217110126</v>
      </c>
      <c r="CZ167" s="59">
        <f t="shared" si="150"/>
        <v>200.52697135436102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126.08521919910977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126.08521919910977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2.0572770154103635E-13</v>
      </c>
      <c r="P168" s="13">
        <f t="shared" si="141"/>
        <v>2.8416956338469711E-12</v>
      </c>
      <c r="Q168" s="20">
        <f t="shared" si="162"/>
        <v>5.3075956424674458E-12</v>
      </c>
      <c r="R168" s="59">
        <f t="shared" si="109"/>
        <v>293.3333333333386</v>
      </c>
      <c r="S168" s="59">
        <f ca="1">AVERAGE(OFFSET($R$3,0,0,'Données projet'!$E$9+1,1))-AVERAGE(OFFSET($H$3,0,0,'Données projet'!$E$9+1,1))</f>
        <v>328.8796193543036</v>
      </c>
      <c r="T168" s="59">
        <f t="shared" si="142"/>
        <v>199.43308683696642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122.76610218134093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122.76610218134093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351.77274930064431</v>
      </c>
      <c r="AO168" s="59">
        <f t="shared" si="144"/>
        <v>386.10758060007078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20.926590367360507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20.926590367360507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-1.1937117960769683E-12</v>
      </c>
      <c r="BE168" s="13">
        <f>BD168*VLOOKUP('Données projet'!$B$11,Paramètres!$A$1:$I$89,3,0)*VLOOKUP('Données projet'!$B$11,Paramètres!$A$1:$I$89,5,0)</f>
        <v>-1.1359361451468432E-12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438.62466697107681</v>
      </c>
      <c r="BJ168" s="59">
        <f t="shared" si="146"/>
        <v>241.18285512887627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-6.5028871176764376E-14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308.33000350259448</v>
      </c>
      <c r="CE168" s="59">
        <f t="shared" si="148"/>
        <v>282.64839194267171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26.029558802899707</v>
      </c>
      <c r="CL168" s="21">
        <f>EXP(-LN(2)/25)*CL167+(1-EXP(-LN(2)/25))/(LN(2)/25)*Calculateur!CG168*Calculateur!CI168*VLOOKUP('Données projet'!$B$12,Paramètres!$A$1:$I$89,3,0)*0.475*44/12</f>
        <v>3.5019073357267976</v>
      </c>
      <c r="CM168" s="21">
        <f>EXP(-LN(2)/2)*CM167+(1-EXP(-LN(2)/2))/(LN(2)/2)*CG168*CJ168*VLOOKUP('Données projet'!$B$12,Paramètres!$A$1:$I$89,3,0)*0.475*44/12</f>
        <v>1.1769563846327564E-11</v>
      </c>
      <c r="CN168" s="22">
        <f t="shared" si="172"/>
        <v>29.531466138638276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1.2946657079737634E-13</v>
      </c>
      <c r="CV168" s="13">
        <f t="shared" si="173"/>
        <v>1.8873591890224769E-12</v>
      </c>
      <c r="CW168" s="20">
        <f t="shared" si="174"/>
        <v>3.5126381983529106E-12</v>
      </c>
      <c r="CX168" s="59">
        <f t="shared" si="122"/>
        <v>293.33333333333684</v>
      </c>
      <c r="CY168" s="59">
        <f ca="1">AVERAGE(OFFSET($CX$3,0,0,'Données projet'!$E$13+1,1))-AVERAGE(OFFSET($H$3,0,0,'Données projet'!$E$13+1,1))</f>
        <v>330.87173217110126</v>
      </c>
      <c r="CZ168" s="59">
        <f t="shared" si="150"/>
        <v>200.52697135436102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123.61276495500526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123.61276495500526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2.0572770154103635E-13</v>
      </c>
      <c r="P169" s="13">
        <f t="shared" si="141"/>
        <v>2.8416956338469711E-12</v>
      </c>
      <c r="Q169" s="20">
        <f t="shared" si="162"/>
        <v>5.3075956424674458E-12</v>
      </c>
      <c r="R169" s="59">
        <f t="shared" si="109"/>
        <v>293.3333333333386</v>
      </c>
      <c r="S169" s="59">
        <f ca="1">AVERAGE(OFFSET($R$3,0,0,'Données projet'!$E$9+1,1))-AVERAGE(OFFSET($H$3,0,0,'Données projet'!$E$9+1,1))</f>
        <v>328.8796193543036</v>
      </c>
      <c r="T169" s="59">
        <f t="shared" si="142"/>
        <v>199.43308683696642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120.35873379749339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120.35873379749339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351.77274930064431</v>
      </c>
      <c r="AO169" s="59">
        <f t="shared" si="144"/>
        <v>386.10758060007078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20.516232694216356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20.516232694216356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-1.1937117960769683E-12</v>
      </c>
      <c r="BE169" s="13">
        <f>BD169*VLOOKUP('Données projet'!$B$11,Paramètres!$A$1:$I$89,3,0)*VLOOKUP('Données projet'!$B$11,Paramètres!$A$1:$I$89,5,0)</f>
        <v>-1.1359361451468432E-12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438.62466697107681</v>
      </c>
      <c r="BJ169" s="59">
        <f t="shared" si="146"/>
        <v>241.18285512887627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-6.5028871176764376E-14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308.33000350259448</v>
      </c>
      <c r="CE169" s="59">
        <f t="shared" si="148"/>
        <v>282.64839194267171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25.519135031238044</v>
      </c>
      <c r="CL169" s="21">
        <f>EXP(-LN(2)/25)*CL168+(1-EXP(-LN(2)/25))/(LN(2)/25)*Calculateur!CG169*Calculateur!CI169*VLOOKUP('Données projet'!$B$12,Paramètres!$A$1:$I$89,3,0)*0.475*44/12</f>
        <v>3.4061474954740452</v>
      </c>
      <c r="CM169" s="21">
        <f>EXP(-LN(2)/2)*CM168+(1-EXP(-LN(2)/2))/(LN(2)/2)*CG169*CJ169*VLOOKUP('Données projet'!$B$12,Paramètres!$A$1:$I$89,3,0)*0.475*44/12</f>
        <v>8.3223384073462453E-12</v>
      </c>
      <c r="CN169" s="22">
        <f t="shared" si="172"/>
        <v>28.925282526720412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1.2946657079737634E-13</v>
      </c>
      <c r="CV169" s="13">
        <f t="shared" si="173"/>
        <v>1.8873591890224769E-12</v>
      </c>
      <c r="CW169" s="20">
        <f t="shared" si="174"/>
        <v>3.5126381983529106E-12</v>
      </c>
      <c r="CX169" s="59">
        <f t="shared" si="122"/>
        <v>293.33333333333684</v>
      </c>
      <c r="CY169" s="59">
        <f ca="1">AVERAGE(OFFSET($CX$3,0,0,'Données projet'!$E$13+1,1))-AVERAGE(OFFSET($H$3,0,0,'Données projet'!$E$13+1,1))</f>
        <v>330.87173217110126</v>
      </c>
      <c r="CZ169" s="59">
        <f t="shared" si="150"/>
        <v>200.52697135436102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121.18879403057946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121.18879403057946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2.0572770154103635E-13</v>
      </c>
      <c r="P170" s="13">
        <f t="shared" si="141"/>
        <v>2.8416956338469711E-12</v>
      </c>
      <c r="Q170" s="20">
        <f t="shared" si="162"/>
        <v>5.3075956424674458E-12</v>
      </c>
      <c r="R170" s="59">
        <f t="shared" si="109"/>
        <v>293.3333333333386</v>
      </c>
      <c r="S170" s="59">
        <f ca="1">AVERAGE(OFFSET($R$3,0,0,'Données projet'!$E$9+1,1))-AVERAGE(OFFSET($H$3,0,0,'Données projet'!$E$9+1,1))</f>
        <v>328.8796193543036</v>
      </c>
      <c r="T170" s="59">
        <f t="shared" si="142"/>
        <v>199.43308683696642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117.99857243930336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117.99857243930336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351.77274930064431</v>
      </c>
      <c r="AO170" s="59">
        <f t="shared" si="144"/>
        <v>386.10758060007078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20.113921884749093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20.113921884749093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-1.1937117960769683E-12</v>
      </c>
      <c r="BE170" s="13">
        <f>BD170*VLOOKUP('Données projet'!$B$11,Paramètres!$A$1:$I$89,3,0)*VLOOKUP('Données projet'!$B$11,Paramètres!$A$1:$I$89,5,0)</f>
        <v>-1.1359361451468432E-12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438.62466697107681</v>
      </c>
      <c r="BJ170" s="59">
        <f t="shared" si="146"/>
        <v>241.18285512887627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-6.5028871176764376E-14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308.33000350259448</v>
      </c>
      <c r="CE170" s="59">
        <f t="shared" si="148"/>
        <v>282.64839194267171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25.018720358410906</v>
      </c>
      <c r="CL170" s="21">
        <f>EXP(-LN(2)/25)*CL169+(1-EXP(-LN(2)/25))/(LN(2)/25)*Calculateur!CG170*Calculateur!CI170*VLOOKUP('Données projet'!$B$12,Paramètres!$A$1:$I$89,3,0)*0.475*44/12</f>
        <v>3.3130062130887956</v>
      </c>
      <c r="CM170" s="21">
        <f>EXP(-LN(2)/2)*CM169+(1-EXP(-LN(2)/2))/(LN(2)/2)*CG170*CJ170*VLOOKUP('Données projet'!$B$12,Paramètres!$A$1:$I$89,3,0)*0.475*44/12</f>
        <v>5.884781923163782E-12</v>
      </c>
      <c r="CN170" s="22">
        <f t="shared" si="172"/>
        <v>28.331726571505584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1.2946657079737634E-13</v>
      </c>
      <c r="CV170" s="13">
        <f t="shared" si="173"/>
        <v>1.8873591890224769E-12</v>
      </c>
      <c r="CW170" s="20">
        <f t="shared" si="174"/>
        <v>3.5126381983529106E-12</v>
      </c>
      <c r="CX170" s="59">
        <f t="shared" si="122"/>
        <v>293.33333333333684</v>
      </c>
      <c r="CY170" s="59">
        <f ca="1">AVERAGE(OFFSET($CX$3,0,0,'Données projet'!$E$13+1,1))-AVERAGE(OFFSET($H$3,0,0,'Données projet'!$E$13+1,1))</f>
        <v>330.87173217110126</v>
      </c>
      <c r="CZ170" s="59">
        <f t="shared" si="150"/>
        <v>200.52697135436102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118.81235569750537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118.81235569750537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2.0572770154103635E-13</v>
      </c>
      <c r="P171" s="13">
        <f t="shared" si="141"/>
        <v>2.8416956338469711E-12</v>
      </c>
      <c r="Q171" s="20">
        <f t="shared" si="162"/>
        <v>5.3075956424674458E-12</v>
      </c>
      <c r="R171" s="59">
        <f t="shared" si="109"/>
        <v>293.3333333333386</v>
      </c>
      <c r="S171" s="59">
        <f ca="1">AVERAGE(OFFSET($R$3,0,0,'Données projet'!$E$9+1,1))-AVERAGE(OFFSET($H$3,0,0,'Données projet'!$E$9+1,1))</f>
        <v>328.8796193543036</v>
      </c>
      <c r="T171" s="59">
        <f t="shared" si="142"/>
        <v>199.43308683696642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115.68469240579117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115.68469240579117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351.77274930064431</v>
      </c>
      <c r="AO171" s="59">
        <f t="shared" si="144"/>
        <v>386.10758060007078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19.719500144870121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19.719500144870121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-1.1937117960769683E-12</v>
      </c>
      <c r="BE171" s="13">
        <f>BD171*VLOOKUP('Données projet'!$B$11,Paramètres!$A$1:$I$89,3,0)*VLOOKUP('Données projet'!$B$11,Paramètres!$A$1:$I$89,5,0)</f>
        <v>-1.1359361451468432E-12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438.62466697107681</v>
      </c>
      <c r="BJ171" s="59">
        <f t="shared" si="146"/>
        <v>241.18285512887627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-6.5028871176764376E-14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308.33000350259448</v>
      </c>
      <c r="CE171" s="59">
        <f t="shared" si="148"/>
        <v>282.64839194267171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24.528118512095094</v>
      </c>
      <c r="CL171" s="21">
        <f>EXP(-LN(2)/25)*CL170+(1-EXP(-LN(2)/25))/(LN(2)/25)*Calculateur!CG171*Calculateur!CI171*VLOOKUP('Données projet'!$B$12,Paramètres!$A$1:$I$89,3,0)*0.475*44/12</f>
        <v>3.2224118839684577</v>
      </c>
      <c r="CM171" s="21">
        <f>EXP(-LN(2)/2)*CM170+(1-EXP(-LN(2)/2))/(LN(2)/2)*CG171*CJ171*VLOOKUP('Données projet'!$B$12,Paramètres!$A$1:$I$89,3,0)*0.475*44/12</f>
        <v>4.1611692036731226E-12</v>
      </c>
      <c r="CN171" s="22">
        <f t="shared" si="172"/>
        <v>27.750530396067713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1.2946657079737634E-13</v>
      </c>
      <c r="CV171" s="13">
        <f t="shared" si="173"/>
        <v>1.8873591890224769E-12</v>
      </c>
      <c r="CW171" s="20">
        <f t="shared" si="174"/>
        <v>3.5126381983529106E-12</v>
      </c>
      <c r="CX171" s="59">
        <f t="shared" si="122"/>
        <v>293.33333333333684</v>
      </c>
      <c r="CY171" s="59">
        <f ca="1">AVERAGE(OFFSET($CX$3,0,0,'Données projet'!$E$13+1,1))-AVERAGE(OFFSET($H$3,0,0,'Données projet'!$E$13+1,1))</f>
        <v>330.87173217110126</v>
      </c>
      <c r="CZ171" s="59">
        <f t="shared" si="150"/>
        <v>200.52697135436102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116.4825178706586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116.4825178706586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2.0572770154103635E-13</v>
      </c>
      <c r="P172" s="13">
        <f t="shared" si="141"/>
        <v>2.8416956338469711E-12</v>
      </c>
      <c r="Q172" s="20">
        <f t="shared" si="162"/>
        <v>5.3075956424674458E-12</v>
      </c>
      <c r="R172" s="59">
        <f t="shared" si="109"/>
        <v>293.3333333333386</v>
      </c>
      <c r="S172" s="59">
        <f ca="1">AVERAGE(OFFSET($R$3,0,0,'Données projet'!$E$9+1,1))-AVERAGE(OFFSET($H$3,0,0,'Données projet'!$E$9+1,1))</f>
        <v>328.8796193543036</v>
      </c>
      <c r="T172" s="59">
        <f t="shared" si="142"/>
        <v>199.43308683696642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113.41618614840868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113.41618614840868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351.77274930064431</v>
      </c>
      <c r="AO172" s="59">
        <f t="shared" si="144"/>
        <v>386.10758060007078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19.33281277473667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19.33281277473667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-1.1937117960769683E-12</v>
      </c>
      <c r="BE172" s="13">
        <f>BD172*VLOOKUP('Données projet'!$B$11,Paramètres!$A$1:$I$89,3,0)*VLOOKUP('Données projet'!$B$11,Paramètres!$A$1:$I$89,5,0)</f>
        <v>-1.1359361451468432E-12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438.62466697107681</v>
      </c>
      <c r="BJ172" s="59">
        <f t="shared" si="146"/>
        <v>241.18285512887627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-6.5028871176764376E-14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308.33000350259448</v>
      </c>
      <c r="CE172" s="59">
        <f t="shared" si="148"/>
        <v>282.64839194267171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24.047137068747958</v>
      </c>
      <c r="CL172" s="21">
        <f>EXP(-LN(2)/25)*CL171+(1-EXP(-LN(2)/25))/(LN(2)/25)*Calculateur!CG172*Calculateur!CI172*VLOOKUP('Données projet'!$B$12,Paramètres!$A$1:$I$89,3,0)*0.475*44/12</f>
        <v>3.134294861542064</v>
      </c>
      <c r="CM172" s="21">
        <f>EXP(-LN(2)/2)*CM171+(1-EXP(-LN(2)/2))/(LN(2)/2)*CG172*CJ172*VLOOKUP('Données projet'!$B$12,Paramètres!$A$1:$I$89,3,0)*0.475*44/12</f>
        <v>2.942390961581891E-12</v>
      </c>
      <c r="CN172" s="22">
        <f t="shared" si="172"/>
        <v>27.181431930292963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1.2946657079737634E-13</v>
      </c>
      <c r="CV172" s="13">
        <f t="shared" si="173"/>
        <v>1.8873591890224769E-12</v>
      </c>
      <c r="CW172" s="20">
        <f t="shared" si="174"/>
        <v>3.5126381983529106E-12</v>
      </c>
      <c r="CX172" s="59">
        <f t="shared" si="122"/>
        <v>293.33333333333684</v>
      </c>
      <c r="CY172" s="59">
        <f ca="1">AVERAGE(OFFSET($CX$3,0,0,'Données projet'!$E$13+1,1))-AVERAGE(OFFSET($H$3,0,0,'Données projet'!$E$13+1,1))</f>
        <v>330.87173217110126</v>
      </c>
      <c r="CZ172" s="59">
        <f t="shared" si="150"/>
        <v>200.52697135436102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114.19836674253554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114.19836674253554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2.0572770154103635E-13</v>
      </c>
      <c r="P173" s="13">
        <f t="shared" si="141"/>
        <v>2.8416956338469711E-12</v>
      </c>
      <c r="Q173" s="20">
        <f t="shared" si="162"/>
        <v>5.3075956424674458E-12</v>
      </c>
      <c r="R173" s="59">
        <f t="shared" si="109"/>
        <v>293.3333333333386</v>
      </c>
      <c r="S173" s="59">
        <f ca="1">AVERAGE(OFFSET($R$3,0,0,'Données projet'!$E$9+1,1))-AVERAGE(OFFSET($H$3,0,0,'Données projet'!$E$9+1,1))</f>
        <v>328.8796193543036</v>
      </c>
      <c r="T173" s="59">
        <f t="shared" si="142"/>
        <v>199.43308683696642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111.19216391508128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111.19216391508128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351.77274930064431</v>
      </c>
      <c r="AO173" s="59">
        <f t="shared" si="144"/>
        <v>386.10758060007078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18.953708108075528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18.953708108075528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-1.1937117960769683E-12</v>
      </c>
      <c r="BE173" s="13">
        <f>BD173*VLOOKUP('Données projet'!$B$11,Paramètres!$A$1:$I$89,3,0)*VLOOKUP('Données projet'!$B$11,Paramètres!$A$1:$I$89,5,0)</f>
        <v>-1.1359361451468432E-12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438.62466697107681</v>
      </c>
      <c r="BJ173" s="59">
        <f t="shared" si="146"/>
        <v>241.18285512887627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-6.5028871176764376E-14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308.33000350259448</v>
      </c>
      <c r="CE173" s="59">
        <f t="shared" si="148"/>
        <v>282.64839194267171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23.575587378135147</v>
      </c>
      <c r="CL173" s="21">
        <f>EXP(-LN(2)/25)*CL172+(1-EXP(-LN(2)/25))/(LN(2)/25)*Calculateur!CG173*Calculateur!CI173*VLOOKUP('Données projet'!$B$12,Paramètres!$A$1:$I$89,3,0)*0.475*44/12</f>
        <v>3.0485874037277929</v>
      </c>
      <c r="CM173" s="21">
        <f>EXP(-LN(2)/2)*CM172+(1-EXP(-LN(2)/2))/(LN(2)/2)*CG173*CJ173*VLOOKUP('Données projet'!$B$12,Paramètres!$A$1:$I$89,3,0)*0.475*44/12</f>
        <v>2.0805846018365613E-12</v>
      </c>
      <c r="CN173" s="22">
        <f t="shared" si="172"/>
        <v>26.624174781865023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1.2946657079737634E-13</v>
      </c>
      <c r="CV173" s="13">
        <f t="shared" si="173"/>
        <v>1.8873591890224769E-12</v>
      </c>
      <c r="CW173" s="20">
        <f t="shared" si="174"/>
        <v>3.5126381983529106E-12</v>
      </c>
      <c r="CX173" s="59">
        <f t="shared" si="122"/>
        <v>293.33333333333684</v>
      </c>
      <c r="CY173" s="59">
        <f ca="1">AVERAGE(OFFSET($CX$3,0,0,'Données projet'!$E$13+1,1))-AVERAGE(OFFSET($H$3,0,0,'Données projet'!$E$13+1,1))</f>
        <v>330.87173217110126</v>
      </c>
      <c r="CZ173" s="59">
        <f t="shared" si="150"/>
        <v>200.52697135436102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111.95900642484035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111.95900642484035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2.0572770154103635E-13</v>
      </c>
      <c r="P174" s="13">
        <f t="shared" si="141"/>
        <v>2.8416956338469711E-12</v>
      </c>
      <c r="Q174" s="20">
        <f t="shared" si="162"/>
        <v>5.3075956424674458E-12</v>
      </c>
      <c r="R174" s="59">
        <f t="shared" si="109"/>
        <v>293.3333333333386</v>
      </c>
      <c r="S174" s="59">
        <f ca="1">AVERAGE(OFFSET($R$3,0,0,'Données projet'!$E$9+1,1))-AVERAGE(OFFSET($H$3,0,0,'Données projet'!$E$9+1,1))</f>
        <v>328.8796193543036</v>
      </c>
      <c r="T174" s="59">
        <f t="shared" si="142"/>
        <v>199.43308683696642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109.01175340122981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109.01175340122981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351.77274930064431</v>
      </c>
      <c r="AO174" s="59">
        <f t="shared" si="144"/>
        <v>386.10758060007078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18.582037452696596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18.582037452696596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-1.1937117960769683E-12</v>
      </c>
      <c r="BE174" s="13">
        <f>BD174*VLOOKUP('Données projet'!$B$11,Paramètres!$A$1:$I$89,3,0)*VLOOKUP('Données projet'!$B$11,Paramètres!$A$1:$I$89,5,0)</f>
        <v>-1.1359361451468432E-12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438.62466697107681</v>
      </c>
      <c r="BJ174" s="59">
        <f t="shared" si="146"/>
        <v>241.18285512887627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-6.5028871176764376E-14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308.33000350259448</v>
      </c>
      <c r="CE174" s="59">
        <f t="shared" si="148"/>
        <v>282.64839194267171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23.113284489338341</v>
      </c>
      <c r="CL174" s="21">
        <f>EXP(-LN(2)/25)*CL173+(1-EXP(-LN(2)/25))/(LN(2)/25)*Calculateur!CG174*Calculateur!CI174*VLOOKUP('Données projet'!$B$12,Paramètres!$A$1:$I$89,3,0)*0.475*44/12</f>
        <v>2.9652236208546126</v>
      </c>
      <c r="CM174" s="21">
        <f>EXP(-LN(2)/2)*CM173+(1-EXP(-LN(2)/2))/(LN(2)/2)*CG174*CJ174*VLOOKUP('Données projet'!$B$12,Paramètres!$A$1:$I$89,3,0)*0.475*44/12</f>
        <v>1.4711954807909455E-12</v>
      </c>
      <c r="CN174" s="22">
        <f t="shared" si="172"/>
        <v>26.078508110194424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1.2946657079737634E-13</v>
      </c>
      <c r="CV174" s="13">
        <f t="shared" si="173"/>
        <v>1.8873591890224769E-12</v>
      </c>
      <c r="CW174" s="20">
        <f t="shared" si="174"/>
        <v>3.5126381983529106E-12</v>
      </c>
      <c r="CX174" s="59">
        <f t="shared" si="122"/>
        <v>293.33333333333684</v>
      </c>
      <c r="CY174" s="59">
        <f ca="1">AVERAGE(OFFSET($CX$3,0,0,'Données projet'!$E$13+1,1))-AVERAGE(OFFSET($H$3,0,0,'Données projet'!$E$13+1,1))</f>
        <v>330.87173217110126</v>
      </c>
      <c r="CZ174" s="59">
        <f t="shared" si="150"/>
        <v>200.52697135436102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109.76355859710024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109.76355859710024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2.0572770154103635E-13</v>
      </c>
      <c r="P175" s="13">
        <f t="shared" si="141"/>
        <v>2.8416956338469711E-12</v>
      </c>
      <c r="Q175" s="20">
        <f t="shared" si="162"/>
        <v>5.3075956424674458E-12</v>
      </c>
      <c r="R175" s="59">
        <f t="shared" si="109"/>
        <v>293.3333333333386</v>
      </c>
      <c r="S175" s="59">
        <f ca="1">AVERAGE(OFFSET($R$3,0,0,'Données projet'!$E$9+1,1))-AVERAGE(OFFSET($H$3,0,0,'Données projet'!$E$9+1,1))</f>
        <v>328.8796193543036</v>
      </c>
      <c r="T175" s="59">
        <f t="shared" si="142"/>
        <v>199.43308683696642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106.87409940763587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106.87409940763587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351.77274930064431</v>
      </c>
      <c r="AO175" s="59">
        <f t="shared" si="144"/>
        <v>386.10758060007078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18.217655032172932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18.217655032172932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-1.1937117960769683E-12</v>
      </c>
      <c r="BE175" s="13">
        <f>BD175*VLOOKUP('Données projet'!$B$11,Paramètres!$A$1:$I$89,3,0)*VLOOKUP('Données projet'!$B$11,Paramètres!$A$1:$I$89,5,0)</f>
        <v>-1.1359361451468432E-12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438.62466697107681</v>
      </c>
      <c r="BJ175" s="59">
        <f t="shared" si="146"/>
        <v>241.18285512887627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-6.5028871176764376E-14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308.33000350259448</v>
      </c>
      <c r="CE175" s="59">
        <f t="shared" si="148"/>
        <v>282.64839194267171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22.660047078213921</v>
      </c>
      <c r="CL175" s="21">
        <f>EXP(-LN(2)/25)*CL174+(1-EXP(-LN(2)/25))/(LN(2)/25)*Calculateur!CG175*Calculateur!CI175*VLOOKUP('Données projet'!$B$12,Paramètres!$A$1:$I$89,3,0)*0.475*44/12</f>
        <v>2.8841394250080099</v>
      </c>
      <c r="CM175" s="21">
        <f>EXP(-LN(2)/2)*CM174+(1-EXP(-LN(2)/2))/(LN(2)/2)*CG175*CJ175*VLOOKUP('Données projet'!$B$12,Paramètres!$A$1:$I$89,3,0)*0.475*44/12</f>
        <v>1.0402923009182807E-12</v>
      </c>
      <c r="CN175" s="22">
        <f t="shared" si="172"/>
        <v>25.544186503222971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1.2946657079737634E-13</v>
      </c>
      <c r="CV175" s="13">
        <f t="shared" si="173"/>
        <v>1.8873591890224769E-12</v>
      </c>
      <c r="CW175" s="20">
        <f t="shared" si="174"/>
        <v>3.5126381983529106E-12</v>
      </c>
      <c r="CX175" s="59">
        <f t="shared" si="122"/>
        <v>293.33333333333684</v>
      </c>
      <c r="CY175" s="59">
        <f ca="1">AVERAGE(OFFSET($CX$3,0,0,'Données projet'!$E$13+1,1))-AVERAGE(OFFSET($H$3,0,0,'Données projet'!$E$13+1,1))</f>
        <v>330.87173217110126</v>
      </c>
      <c r="CZ175" s="59">
        <f t="shared" si="150"/>
        <v>200.52697135436102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107.61116216217117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107.61116216217117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2.0572770154103635E-13</v>
      </c>
      <c r="P176" s="13">
        <f t="shared" si="141"/>
        <v>2.8416956338469711E-12</v>
      </c>
      <c r="Q176" s="20">
        <f t="shared" si="162"/>
        <v>5.3075956424674458E-12</v>
      </c>
      <c r="R176" s="59">
        <f t="shared" si="109"/>
        <v>293.3333333333386</v>
      </c>
      <c r="S176" s="59">
        <f ca="1">AVERAGE(OFFSET($R$3,0,0,'Données projet'!$E$9+1,1))-AVERAGE(OFFSET($H$3,0,0,'Données projet'!$E$9+1,1))</f>
        <v>328.8796193543036</v>
      </c>
      <c r="T176" s="59">
        <f t="shared" si="142"/>
        <v>199.43308683696642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104.7783635050161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104.7783635050161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351.77274930064431</v>
      </c>
      <c r="AO176" s="59">
        <f t="shared" si="144"/>
        <v>386.10758060007078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17.860417928664404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17.860417928664404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-1.1937117960769683E-12</v>
      </c>
      <c r="BE176" s="13">
        <f>BD176*VLOOKUP('Données projet'!$B$11,Paramètres!$A$1:$I$89,3,0)*VLOOKUP('Données projet'!$B$11,Paramètres!$A$1:$I$89,5,0)</f>
        <v>-1.1359361451468432E-12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438.62466697107681</v>
      </c>
      <c r="BJ176" s="59">
        <f t="shared" si="146"/>
        <v>241.18285512887627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-6.5028871176764376E-14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308.33000350259448</v>
      </c>
      <c r="CE176" s="59">
        <f t="shared" si="148"/>
        <v>282.64839194267171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22.215697376274129</v>
      </c>
      <c r="CL176" s="21">
        <f>EXP(-LN(2)/25)*CL175+(1-EXP(-LN(2)/25))/(LN(2)/25)*Calculateur!CG176*Calculateur!CI176*VLOOKUP('Données projet'!$B$12,Paramètres!$A$1:$I$89,3,0)*0.475*44/12</f>
        <v>2.8052724807608653</v>
      </c>
      <c r="CM176" s="21">
        <f>EXP(-LN(2)/2)*CM175+(1-EXP(-LN(2)/2))/(LN(2)/2)*CG176*CJ176*VLOOKUP('Données projet'!$B$12,Paramètres!$A$1:$I$89,3,0)*0.475*44/12</f>
        <v>7.3559774039547275E-13</v>
      </c>
      <c r="CN176" s="22">
        <f t="shared" si="172"/>
        <v>25.02096985703573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1.2946657079737634E-13</v>
      </c>
      <c r="CV176" s="13">
        <f t="shared" si="173"/>
        <v>1.8873591890224769E-12</v>
      </c>
      <c r="CW176" s="20">
        <f t="shared" si="174"/>
        <v>3.5126381983529106E-12</v>
      </c>
      <c r="CX176" s="59">
        <f t="shared" si="122"/>
        <v>293.33333333333684</v>
      </c>
      <c r="CY176" s="59">
        <f ca="1">AVERAGE(OFFSET($CX$3,0,0,'Données projet'!$E$13+1,1))-AVERAGE(OFFSET($H$3,0,0,'Données projet'!$E$13+1,1))</f>
        <v>330.87173217110126</v>
      </c>
      <c r="CZ176" s="59">
        <f t="shared" si="150"/>
        <v>200.52697135436102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105.50097290849887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105.50097290849887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2.0572770154103635E-13</v>
      </c>
      <c r="P177" s="13">
        <f t="shared" si="141"/>
        <v>2.8416956338469711E-12</v>
      </c>
      <c r="Q177" s="20">
        <f t="shared" si="162"/>
        <v>5.3075956424674458E-12</v>
      </c>
      <c r="R177" s="59">
        <f t="shared" si="109"/>
        <v>293.3333333333386</v>
      </c>
      <c r="S177" s="59">
        <f ca="1">AVERAGE(OFFSET($R$3,0,0,'Données projet'!$E$9+1,1))-AVERAGE(OFFSET($H$3,0,0,'Données projet'!$E$9+1,1))</f>
        <v>328.8796193543036</v>
      </c>
      <c r="T177" s="59">
        <f t="shared" si="142"/>
        <v>199.43308683696642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102.72372370517404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102.72372370517404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351.77274930064431</v>
      </c>
      <c r="AO177" s="59">
        <f t="shared" si="144"/>
        <v>386.10758060007078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17.510186026862559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17.510186026862559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-1.1937117960769683E-12</v>
      </c>
      <c r="BE177" s="13">
        <f>BD177*VLOOKUP('Données projet'!$B$11,Paramètres!$A$1:$I$89,3,0)*VLOOKUP('Données projet'!$B$11,Paramètres!$A$1:$I$89,5,0)</f>
        <v>-1.1359361451468432E-12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438.62466697107681</v>
      </c>
      <c r="BJ177" s="59">
        <f t="shared" si="146"/>
        <v>241.18285512887627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-6.5028871176764376E-14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308.33000350259448</v>
      </c>
      <c r="CE177" s="59">
        <f t="shared" si="148"/>
        <v>282.64839194267171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21.780061100962818</v>
      </c>
      <c r="CL177" s="21">
        <f>EXP(-LN(2)/25)*CL176+(1-EXP(-LN(2)/25))/(LN(2)/25)*Calculateur!CG177*Calculateur!CI177*VLOOKUP('Données projet'!$B$12,Paramètres!$A$1:$I$89,3,0)*0.475*44/12</f>
        <v>2.7285621572515915</v>
      </c>
      <c r="CM177" s="21">
        <f>EXP(-LN(2)/2)*CM176+(1-EXP(-LN(2)/2))/(LN(2)/2)*CG177*CJ177*VLOOKUP('Données projet'!$B$12,Paramètres!$A$1:$I$89,3,0)*0.475*44/12</f>
        <v>5.2014615045914033E-13</v>
      </c>
      <c r="CN177" s="22">
        <f t="shared" si="172"/>
        <v>24.508623258214929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1.2946657079737634E-13</v>
      </c>
      <c r="CV177" s="13">
        <f t="shared" si="173"/>
        <v>1.8873591890224769E-12</v>
      </c>
      <c r="CW177" s="20">
        <f t="shared" si="174"/>
        <v>3.5126381983529106E-12</v>
      </c>
      <c r="CX177" s="59">
        <f t="shared" si="122"/>
        <v>293.33333333333684</v>
      </c>
      <c r="CY177" s="59">
        <f ca="1">AVERAGE(OFFSET($CX$3,0,0,'Données projet'!$E$13+1,1))-AVERAGE(OFFSET($H$3,0,0,'Données projet'!$E$13+1,1))</f>
        <v>330.87173217110126</v>
      </c>
      <c r="CZ177" s="59">
        <f t="shared" si="150"/>
        <v>200.52697135436102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103.43216317900271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103.43216317900271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2.0572770154103635E-13</v>
      </c>
      <c r="P178" s="13">
        <f t="shared" si="141"/>
        <v>2.8416956338469711E-12</v>
      </c>
      <c r="Q178" s="20">
        <f t="shared" si="162"/>
        <v>5.3075956424674458E-12</v>
      </c>
      <c r="R178" s="59">
        <f t="shared" si="109"/>
        <v>293.3333333333386</v>
      </c>
      <c r="S178" s="59">
        <f ca="1">AVERAGE(OFFSET($R$3,0,0,'Données projet'!$E$9+1,1))-AVERAGE(OFFSET($H$3,0,0,'Données projet'!$E$9+1,1))</f>
        <v>328.8796193543036</v>
      </c>
      <c r="T178" s="59">
        <f t="shared" si="142"/>
        <v>199.43308683696642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100.70937413860034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100.70937413860034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351.77274930064431</v>
      </c>
      <c r="AO178" s="59">
        <f t="shared" si="144"/>
        <v>386.10758060007078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17.166821959034682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17.166821959034682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-1.1937117960769683E-12</v>
      </c>
      <c r="BE178" s="13">
        <f>BD178*VLOOKUP('Données projet'!$B$11,Paramètres!$A$1:$I$89,3,0)*VLOOKUP('Données projet'!$B$11,Paramètres!$A$1:$I$89,5,0)</f>
        <v>-1.1359361451468432E-12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438.62466697107681</v>
      </c>
      <c r="BJ178" s="59">
        <f t="shared" si="146"/>
        <v>241.18285512887627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-6.5028871176764376E-14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308.33000350259448</v>
      </c>
      <c r="CE178" s="59">
        <f t="shared" si="148"/>
        <v>282.64839194267171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21.35296738729847</v>
      </c>
      <c r="CL178" s="21">
        <f>EXP(-LN(2)/25)*CL177+(1-EXP(-LN(2)/25))/(LN(2)/25)*Calculateur!CG178*Calculateur!CI178*VLOOKUP('Données projet'!$B$12,Paramètres!$A$1:$I$89,3,0)*0.475*44/12</f>
        <v>2.6539494815726989</v>
      </c>
      <c r="CM178" s="21">
        <f>EXP(-LN(2)/2)*CM177+(1-EXP(-LN(2)/2))/(LN(2)/2)*CG178*CJ178*VLOOKUP('Données projet'!$B$12,Paramètres!$A$1:$I$89,3,0)*0.475*44/12</f>
        <v>3.6779887019773638E-13</v>
      </c>
      <c r="CN178" s="22">
        <f t="shared" si="172"/>
        <v>24.006916868871539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1.2946657079737634E-13</v>
      </c>
      <c r="CV178" s="13">
        <f t="shared" si="173"/>
        <v>1.8873591890224769E-12</v>
      </c>
      <c r="CW178" s="20">
        <f t="shared" si="174"/>
        <v>3.5126381983529106E-12</v>
      </c>
      <c r="CX178" s="59">
        <f t="shared" si="122"/>
        <v>293.33333333333684</v>
      </c>
      <c r="CY178" s="59">
        <f ca="1">AVERAGE(OFFSET($CX$3,0,0,'Données projet'!$E$13+1,1))-AVERAGE(OFFSET($H$3,0,0,'Données projet'!$E$13+1,1))</f>
        <v>330.87173217110126</v>
      </c>
      <c r="CZ178" s="59">
        <f t="shared" si="150"/>
        <v>200.52697135436102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101.40392154645265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101.40392154645265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2.0572770154103635E-13</v>
      </c>
      <c r="P179" s="13">
        <f t="shared" si="141"/>
        <v>2.8416956338469711E-12</v>
      </c>
      <c r="Q179" s="20">
        <f t="shared" si="162"/>
        <v>5.3075956424674458E-12</v>
      </c>
      <c r="R179" s="59">
        <f t="shared" si="109"/>
        <v>293.3333333333386</v>
      </c>
      <c r="S179" s="59">
        <f ca="1">AVERAGE(OFFSET($R$3,0,0,'Données projet'!$E$9+1,1))-AVERAGE(OFFSET($H$3,0,0,'Données projet'!$E$9+1,1))</f>
        <v>328.8796193543036</v>
      </c>
      <c r="T179" s="59">
        <f t="shared" si="142"/>
        <v>199.43308683696642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98.734524738395237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98.734524738395237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351.77274930064431</v>
      </c>
      <c r="AO179" s="59">
        <f t="shared" si="144"/>
        <v>386.10758060007078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16.830191051145508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16.830191051145508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-1.1937117960769683E-12</v>
      </c>
      <c r="BE179" s="13">
        <f>BD179*VLOOKUP('Données projet'!$B$11,Paramètres!$A$1:$I$89,3,0)*VLOOKUP('Données projet'!$B$11,Paramètres!$A$1:$I$89,5,0)</f>
        <v>-1.1359361451468432E-12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438.62466697107681</v>
      </c>
      <c r="BJ179" s="59">
        <f t="shared" si="146"/>
        <v>241.18285512887627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-6.5028871176764376E-14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308.33000350259448</v>
      </c>
      <c r="CE179" s="59">
        <f t="shared" si="148"/>
        <v>282.64839194267171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20.934248720857639</v>
      </c>
      <c r="CL179" s="21">
        <f>EXP(-LN(2)/25)*CL178+(1-EXP(-LN(2)/25))/(LN(2)/25)*Calculateur!CG179*Calculateur!CI179*VLOOKUP('Données projet'!$B$12,Paramètres!$A$1:$I$89,3,0)*0.475*44/12</f>
        <v>2.5813770934339559</v>
      </c>
      <c r="CM179" s="21">
        <f>EXP(-LN(2)/2)*CM178+(1-EXP(-LN(2)/2))/(LN(2)/2)*CG179*CJ179*VLOOKUP('Données projet'!$B$12,Paramètres!$A$1:$I$89,3,0)*0.475*44/12</f>
        <v>2.6007307522957017E-13</v>
      </c>
      <c r="CN179" s="22">
        <f t="shared" si="172"/>
        <v>23.515625814291855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1.2946657079737634E-13</v>
      </c>
      <c r="CV179" s="13">
        <f t="shared" si="173"/>
        <v>1.8873591890224769E-12</v>
      </c>
      <c r="CW179" s="20">
        <f t="shared" si="174"/>
        <v>3.5126381983529106E-12</v>
      </c>
      <c r="CX179" s="59">
        <f t="shared" si="122"/>
        <v>293.33333333333684</v>
      </c>
      <c r="CY179" s="59">
        <f ca="1">AVERAGE(OFFSET($CX$3,0,0,'Données projet'!$E$13+1,1))-AVERAGE(OFFSET($H$3,0,0,'Données projet'!$E$13+1,1))</f>
        <v>330.87173217110126</v>
      </c>
      <c r="CZ179" s="59">
        <f t="shared" si="150"/>
        <v>200.52697135436102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99.415452495211653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99.415452495211653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2.0572770154103635E-13</v>
      </c>
      <c r="P180" s="13">
        <f t="shared" si="141"/>
        <v>2.8416956338469711E-12</v>
      </c>
      <c r="Q180" s="20">
        <f t="shared" si="162"/>
        <v>5.3075956424674458E-12</v>
      </c>
      <c r="R180" s="59">
        <f t="shared" si="109"/>
        <v>293.3333333333386</v>
      </c>
      <c r="S180" s="59">
        <f ca="1">AVERAGE(OFFSET($R$3,0,0,'Données projet'!$E$9+1,1))-AVERAGE(OFFSET($H$3,0,0,'Données projet'!$E$9+1,1))</f>
        <v>328.8796193543036</v>
      </c>
      <c r="T180" s="59">
        <f t="shared" si="142"/>
        <v>199.43308683696642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96.798400930388951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96.798400930388951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351.77274930064431</v>
      </c>
      <c r="AO180" s="59">
        <f t="shared" si="144"/>
        <v>386.10758060007078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16.500161270035463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16.500161270035463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-1.1937117960769683E-12</v>
      </c>
      <c r="BE180" s="13">
        <f>BD180*VLOOKUP('Données projet'!$B$11,Paramètres!$A$1:$I$89,3,0)*VLOOKUP('Données projet'!$B$11,Paramètres!$A$1:$I$89,5,0)</f>
        <v>-1.1359361451468432E-12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438.62466697107681</v>
      </c>
      <c r="BJ180" s="59">
        <f t="shared" si="146"/>
        <v>241.18285512887627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-6.5028871176764376E-14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308.33000350259448</v>
      </c>
      <c r="CE180" s="59">
        <f t="shared" si="148"/>
        <v>282.64839194267171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20.523740872072544</v>
      </c>
      <c r="CL180" s="21">
        <f>EXP(-LN(2)/25)*CL179+(1-EXP(-LN(2)/25))/(LN(2)/25)*Calculateur!CG180*Calculateur!CI180*VLOOKUP('Données projet'!$B$12,Paramètres!$A$1:$I$89,3,0)*0.475*44/12</f>
        <v>2.510789201065283</v>
      </c>
      <c r="CM180" s="21">
        <f>EXP(-LN(2)/2)*CM179+(1-EXP(-LN(2)/2))/(LN(2)/2)*CG180*CJ180*VLOOKUP('Données projet'!$B$12,Paramètres!$A$1:$I$89,3,0)*0.475*44/12</f>
        <v>1.8389943509886819E-13</v>
      </c>
      <c r="CN180" s="22">
        <f t="shared" si="172"/>
        <v>23.034530073138011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1.2946657079737634E-13</v>
      </c>
      <c r="CV180" s="13">
        <f t="shared" si="173"/>
        <v>1.8873591890224769E-12</v>
      </c>
      <c r="CW180" s="20">
        <f t="shared" si="174"/>
        <v>3.5126381983529106E-12</v>
      </c>
      <c r="CX180" s="59">
        <f t="shared" si="122"/>
        <v>293.33333333333684</v>
      </c>
      <c r="CY180" s="59">
        <f ca="1">AVERAGE(OFFSET($CX$3,0,0,'Données projet'!$E$13+1,1))-AVERAGE(OFFSET($H$3,0,0,'Données projet'!$E$13+1,1))</f>
        <v>330.87173217110126</v>
      </c>
      <c r="CZ180" s="59">
        <f t="shared" si="150"/>
        <v>200.52697135436102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97.465976109219127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97.465976109219127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2.0572770154103635E-13</v>
      </c>
      <c r="P181" s="13">
        <f t="shared" si="141"/>
        <v>2.8416956338469711E-12</v>
      </c>
      <c r="Q181" s="20">
        <f t="shared" si="162"/>
        <v>5.3075956424674458E-12</v>
      </c>
      <c r="R181" s="59">
        <f t="shared" si="109"/>
        <v>293.3333333333386</v>
      </c>
      <c r="S181" s="59">
        <f ca="1">AVERAGE(OFFSET($R$3,0,0,'Données projet'!$E$9+1,1))-AVERAGE(OFFSET($H$3,0,0,'Données projet'!$E$9+1,1))</f>
        <v>328.8796193543036</v>
      </c>
      <c r="T181" s="59">
        <f t="shared" si="142"/>
        <v>199.43308683696642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94.900243329338764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94.900243329338764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351.77274930064431</v>
      </c>
      <c r="AO181" s="59">
        <f t="shared" si="144"/>
        <v>386.10758060007078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16.176603171634696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16.176603171634696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-1.1937117960769683E-12</v>
      </c>
      <c r="BE181" s="13">
        <f>BD181*VLOOKUP('Données projet'!$B$11,Paramètres!$A$1:$I$89,3,0)*VLOOKUP('Données projet'!$B$11,Paramètres!$A$1:$I$89,5,0)</f>
        <v>-1.1359361451468432E-12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438.62466697107681</v>
      </c>
      <c r="BJ181" s="59">
        <f t="shared" si="146"/>
        <v>241.18285512887627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-6.5028871176764376E-14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308.33000350259448</v>
      </c>
      <c r="CE181" s="59">
        <f t="shared" si="148"/>
        <v>282.64839194267171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20.121282831817059</v>
      </c>
      <c r="CL181" s="21">
        <f>EXP(-LN(2)/25)*CL180+(1-EXP(-LN(2)/25))/(LN(2)/25)*Calculateur!CG181*Calculateur!CI181*VLOOKUP('Données projet'!$B$12,Paramètres!$A$1:$I$89,3,0)*0.475*44/12</f>
        <v>2.4421315383254871</v>
      </c>
      <c r="CM181" s="21">
        <f>EXP(-LN(2)/2)*CM180+(1-EXP(-LN(2)/2))/(LN(2)/2)*CG181*CJ181*VLOOKUP('Données projet'!$B$12,Paramètres!$A$1:$I$89,3,0)*0.475*44/12</f>
        <v>1.3003653761478508E-13</v>
      </c>
      <c r="CN181" s="22">
        <f t="shared" si="172"/>
        <v>22.563414370142677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1.2946657079737634E-13</v>
      </c>
      <c r="CV181" s="13">
        <f t="shared" si="173"/>
        <v>1.8873591890224769E-12</v>
      </c>
      <c r="CW181" s="20">
        <f t="shared" si="174"/>
        <v>3.5126381983529106E-12</v>
      </c>
      <c r="CX181" s="59">
        <f t="shared" si="122"/>
        <v>293.33333333333684</v>
      </c>
      <c r="CY181" s="59">
        <f ca="1">AVERAGE(OFFSET($CX$3,0,0,'Données projet'!$E$13+1,1))-AVERAGE(OFFSET($H$3,0,0,'Données projet'!$E$13+1,1))</f>
        <v>330.87173217110126</v>
      </c>
      <c r="CZ181" s="59">
        <f t="shared" si="150"/>
        <v>200.52697135436102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95.554727766092725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95.554727766092725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2.0572770154103635E-13</v>
      </c>
      <c r="P182" s="13">
        <f t="shared" si="141"/>
        <v>2.8416956338469711E-12</v>
      </c>
      <c r="Q182" s="20">
        <f t="shared" si="162"/>
        <v>5.3075956424674458E-12</v>
      </c>
      <c r="R182" s="59">
        <f t="shared" si="109"/>
        <v>293.3333333333386</v>
      </c>
      <c r="S182" s="59">
        <f ca="1">AVERAGE(OFFSET($R$3,0,0,'Données projet'!$E$9+1,1))-AVERAGE(OFFSET($H$3,0,0,'Données projet'!$E$9+1,1))</f>
        <v>328.8796193543036</v>
      </c>
      <c r="T182" s="59">
        <f t="shared" si="142"/>
        <v>199.43308683696642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93.039307441083352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93.039307441083352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351.77274930064431</v>
      </c>
      <c r="AO182" s="59">
        <f t="shared" si="144"/>
        <v>386.10758060007078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15.859389850192613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15.859389850192613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-1.1937117960769683E-12</v>
      </c>
      <c r="BE182" s="13">
        <f>BD182*VLOOKUP('Données projet'!$B$11,Paramètres!$A$1:$I$89,3,0)*VLOOKUP('Données projet'!$B$11,Paramètres!$A$1:$I$89,5,0)</f>
        <v>-1.1359361451468432E-12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438.62466697107681</v>
      </c>
      <c r="BJ182" s="59">
        <f t="shared" si="146"/>
        <v>241.18285512887627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-6.5028871176764376E-14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308.33000350259448</v>
      </c>
      <c r="CE182" s="59">
        <f t="shared" si="148"/>
        <v>282.64839194267171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19.726716748255818</v>
      </c>
      <c r="CL182" s="21">
        <f>EXP(-LN(2)/25)*CL181+(1-EXP(-LN(2)/25))/(LN(2)/25)*Calculateur!CG182*Calculateur!CI182*VLOOKUP('Données projet'!$B$12,Paramètres!$A$1:$I$89,3,0)*0.475*44/12</f>
        <v>2.3753513229838608</v>
      </c>
      <c r="CM182" s="21">
        <f>EXP(-LN(2)/2)*CM181+(1-EXP(-LN(2)/2))/(LN(2)/2)*CG182*CJ182*VLOOKUP('Données projet'!$B$12,Paramètres!$A$1:$I$89,3,0)*0.475*44/12</f>
        <v>9.1949717549434094E-14</v>
      </c>
      <c r="CN182" s="22">
        <f t="shared" si="172"/>
        <v>22.102068071239771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1.2946657079737634E-13</v>
      </c>
      <c r="CV182" s="13">
        <f t="shared" si="173"/>
        <v>1.8873591890224769E-12</v>
      </c>
      <c r="CW182" s="20">
        <f t="shared" si="174"/>
        <v>3.5126381983529106E-12</v>
      </c>
      <c r="CX182" s="59">
        <f t="shared" si="122"/>
        <v>293.33333333333684</v>
      </c>
      <c r="CY182" s="59">
        <f ca="1">AVERAGE(OFFSET($CX$3,0,0,'Données projet'!$E$13+1,1))-AVERAGE(OFFSET($H$3,0,0,'Données projet'!$E$13+1,1))</f>
        <v>330.87173217110126</v>
      </c>
      <c r="CZ182" s="59">
        <f t="shared" si="150"/>
        <v>200.52697135436102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93.680957837228647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93.680957837228647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2.0572770154103635E-13</v>
      </c>
      <c r="P183" s="13">
        <f t="shared" si="141"/>
        <v>2.8416956338469711E-12</v>
      </c>
      <c r="Q183" s="20">
        <f t="shared" si="162"/>
        <v>5.3075956424674458E-12</v>
      </c>
      <c r="R183" s="59">
        <f t="shared" si="109"/>
        <v>293.3333333333386</v>
      </c>
      <c r="S183" s="59">
        <f ca="1">AVERAGE(OFFSET($R$3,0,0,'Données projet'!$E$9+1,1))-AVERAGE(OFFSET($H$3,0,0,'Données projet'!$E$9+1,1))</f>
        <v>328.8796193543036</v>
      </c>
      <c r="T183" s="59">
        <f t="shared" si="142"/>
        <v>199.43308683696642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91.214863370537813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91.214863370537813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351.77274930064431</v>
      </c>
      <c r="AO183" s="59">
        <f t="shared" si="144"/>
        <v>386.10758060007078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15.548396888502989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15.548396888502989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-1.1937117960769683E-12</v>
      </c>
      <c r="BE183" s="13">
        <f>BD183*VLOOKUP('Données projet'!$B$11,Paramètres!$A$1:$I$89,3,0)*VLOOKUP('Données projet'!$B$11,Paramètres!$A$1:$I$89,5,0)</f>
        <v>-1.1359361451468432E-12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438.62466697107681</v>
      </c>
      <c r="BJ183" s="59">
        <f t="shared" si="146"/>
        <v>241.18285512887627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-6.5028871176764376E-14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308.33000350259448</v>
      </c>
      <c r="CE183" s="59">
        <f t="shared" si="148"/>
        <v>282.64839194267171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19.339887864931665</v>
      </c>
      <c r="CL183" s="21">
        <f>EXP(-LN(2)/25)*CL182+(1-EXP(-LN(2)/25))/(LN(2)/25)*Calculateur!CG183*Calculateur!CI183*VLOOKUP('Données projet'!$B$12,Paramètres!$A$1:$I$89,3,0)*0.475*44/12</f>
        <v>2.3103972161425701</v>
      </c>
      <c r="CM183" s="21">
        <f>EXP(-LN(2)/2)*CM182+(1-EXP(-LN(2)/2))/(LN(2)/2)*CG183*CJ183*VLOOKUP('Données projet'!$B$12,Paramètres!$A$1:$I$89,3,0)*0.475*44/12</f>
        <v>6.5018268807392541E-14</v>
      </c>
      <c r="CN183" s="22">
        <f t="shared" si="172"/>
        <v>21.650285081074298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1.2946657079737634E-13</v>
      </c>
      <c r="CV183" s="13">
        <f t="shared" si="173"/>
        <v>1.8873591890224769E-12</v>
      </c>
      <c r="CW183" s="20">
        <f t="shared" si="174"/>
        <v>3.5126381983529106E-12</v>
      </c>
      <c r="CX183" s="59">
        <f t="shared" si="122"/>
        <v>293.33333333333684</v>
      </c>
      <c r="CY183" s="59">
        <f ca="1">AVERAGE(OFFSET($CX$3,0,0,'Données projet'!$E$13+1,1))-AVERAGE(OFFSET($H$3,0,0,'Données projet'!$E$13+1,1))</f>
        <v>330.87173217110126</v>
      </c>
      <c r="CZ183" s="59">
        <f t="shared" si="150"/>
        <v>200.52697135436102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91.843931393782796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91.843931393782796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2.0572770154103635E-13</v>
      </c>
      <c r="P184" s="13">
        <f t="shared" si="141"/>
        <v>2.8416956338469711E-12</v>
      </c>
      <c r="Q184" s="20">
        <f t="shared" si="162"/>
        <v>5.3075956424674458E-12</v>
      </c>
      <c r="R184" s="59">
        <f t="shared" si="109"/>
        <v>293.3333333333386</v>
      </c>
      <c r="S184" s="59">
        <f ca="1">AVERAGE(OFFSET($R$3,0,0,'Données projet'!$E$9+1,1))-AVERAGE(OFFSET($H$3,0,0,'Données projet'!$E$9+1,1))</f>
        <v>328.8796193543036</v>
      </c>
      <c r="T184" s="59">
        <f t="shared" si="142"/>
        <v>199.43308683696642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89.426195535414664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89.426195535414664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351.77274930064431</v>
      </c>
      <c r="AO184" s="59">
        <f t="shared" si="144"/>
        <v>386.10758060007078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15.243502309105121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15.243502309105121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-1.1937117960769683E-12</v>
      </c>
      <c r="BE184" s="13">
        <f>BD184*VLOOKUP('Données projet'!$B$11,Paramètres!$A$1:$I$89,3,0)*VLOOKUP('Données projet'!$B$11,Paramètres!$A$1:$I$89,5,0)</f>
        <v>-1.1359361451468432E-12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438.62466697107681</v>
      </c>
      <c r="BJ184" s="59">
        <f t="shared" si="146"/>
        <v>241.18285512887627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-6.5028871176764376E-14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308.33000350259448</v>
      </c>
      <c r="CE184" s="59">
        <f t="shared" si="148"/>
        <v>282.64839194267171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18.960644460067179</v>
      </c>
      <c r="CL184" s="21">
        <f>EXP(-LN(2)/25)*CL183+(1-EXP(-LN(2)/25))/(LN(2)/25)*Calculateur!CG184*Calculateur!CI184*VLOOKUP('Données projet'!$B$12,Paramètres!$A$1:$I$89,3,0)*0.475*44/12</f>
        <v>2.2472192827686426</v>
      </c>
      <c r="CM184" s="21">
        <f>EXP(-LN(2)/2)*CM183+(1-EXP(-LN(2)/2))/(LN(2)/2)*CG184*CJ184*VLOOKUP('Données projet'!$B$12,Paramètres!$A$1:$I$89,3,0)*0.475*44/12</f>
        <v>4.5974858774717047E-14</v>
      </c>
      <c r="CN184" s="22">
        <f t="shared" si="172"/>
        <v>21.207863742835869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1.2946657079737634E-13</v>
      </c>
      <c r="CV184" s="13">
        <f t="shared" si="173"/>
        <v>1.8873591890224769E-12</v>
      </c>
      <c r="CW184" s="20">
        <f t="shared" si="174"/>
        <v>3.5126381983529106E-12</v>
      </c>
      <c r="CX184" s="59">
        <f t="shared" si="122"/>
        <v>293.33333333333684</v>
      </c>
      <c r="CY184" s="59">
        <f ca="1">AVERAGE(OFFSET($CX$3,0,0,'Données projet'!$E$13+1,1))-AVERAGE(OFFSET($H$3,0,0,'Données projet'!$E$13+1,1))</f>
        <v>330.87173217110126</v>
      </c>
      <c r="CZ184" s="59">
        <f t="shared" si="150"/>
        <v>200.52697135436102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90.042927918417419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90.042927918417419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2.0572770154103635E-13</v>
      </c>
      <c r="P185" s="13">
        <f t="shared" si="141"/>
        <v>2.8416956338469711E-12</v>
      </c>
      <c r="Q185" s="20">
        <f t="shared" si="162"/>
        <v>5.3075956424674458E-12</v>
      </c>
      <c r="R185" s="59">
        <f t="shared" si="109"/>
        <v>293.3333333333386</v>
      </c>
      <c r="S185" s="59">
        <f ca="1">AVERAGE(OFFSET($R$3,0,0,'Données projet'!$E$9+1,1))-AVERAGE(OFFSET($H$3,0,0,'Données projet'!$E$9+1,1))</f>
        <v>328.8796193543036</v>
      </c>
      <c r="T185" s="59">
        <f t="shared" si="142"/>
        <v>199.43308683696642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87.672602385558633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87.672602385558633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351.77274930064431</v>
      </c>
      <c r="AO185" s="59">
        <f t="shared" si="144"/>
        <v>386.10758060007078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14.944586526441915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14.944586526441915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-1.1937117960769683E-12</v>
      </c>
      <c r="BE185" s="13">
        <f>BD185*VLOOKUP('Données projet'!$B$11,Paramètres!$A$1:$I$89,3,0)*VLOOKUP('Données projet'!$B$11,Paramètres!$A$1:$I$89,5,0)</f>
        <v>-1.1359361451468432E-12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438.62466697107681</v>
      </c>
      <c r="BJ185" s="59">
        <f t="shared" si="146"/>
        <v>241.18285512887627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-6.5028871176764376E-14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308.33000350259448</v>
      </c>
      <c r="CE185" s="59">
        <f t="shared" si="148"/>
        <v>282.64839194267171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18.588837787056448</v>
      </c>
      <c r="CL185" s="21">
        <f>EXP(-LN(2)/25)*CL184+(1-EXP(-LN(2)/25))/(LN(2)/25)*Calculateur!CG185*Calculateur!CI185*VLOOKUP('Données projet'!$B$12,Paramètres!$A$1:$I$89,3,0)*0.475*44/12</f>
        <v>2.185768953305208</v>
      </c>
      <c r="CM185" s="21">
        <f>EXP(-LN(2)/2)*CM184+(1-EXP(-LN(2)/2))/(LN(2)/2)*CG185*CJ185*VLOOKUP('Données projet'!$B$12,Paramètres!$A$1:$I$89,3,0)*0.475*44/12</f>
        <v>3.2509134403696271E-14</v>
      </c>
      <c r="CN185" s="22">
        <f t="shared" si="172"/>
        <v>20.774606740361687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1.2946657079737634E-13</v>
      </c>
      <c r="CV185" s="13">
        <f t="shared" si="173"/>
        <v>1.8873591890224769E-12</v>
      </c>
      <c r="CW185" s="20">
        <f t="shared" si="174"/>
        <v>3.5126381983529106E-12</v>
      </c>
      <c r="CX185" s="59">
        <f t="shared" si="122"/>
        <v>293.33333333333684</v>
      </c>
      <c r="CY185" s="59">
        <f ca="1">AVERAGE(OFFSET($CX$3,0,0,'Données projet'!$E$13+1,1))-AVERAGE(OFFSET($H$3,0,0,'Données projet'!$E$13+1,1))</f>
        <v>330.87173217110126</v>
      </c>
      <c r="CZ185" s="59">
        <f t="shared" si="150"/>
        <v>200.52697135436102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88.277241022700309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88.277241022700309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2.0572770154103635E-13</v>
      </c>
      <c r="P186" s="13">
        <f t="shared" si="141"/>
        <v>2.8416956338469711E-12</v>
      </c>
      <c r="Q186" s="20">
        <f t="shared" si="162"/>
        <v>5.3075956424674458E-12</v>
      </c>
      <c r="R186" s="59">
        <f t="shared" si="109"/>
        <v>293.3333333333386</v>
      </c>
      <c r="S186" s="59">
        <f ca="1">AVERAGE(OFFSET($R$3,0,0,'Données projet'!$E$9+1,1))-AVERAGE(OFFSET($H$3,0,0,'Données projet'!$E$9+1,1))</f>
        <v>328.8796193543036</v>
      </c>
      <c r="T186" s="59">
        <f t="shared" si="142"/>
        <v>199.43308683696642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85.953396127785069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85.953396127785069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351.77274930064431</v>
      </c>
      <c r="AO186" s="59">
        <f t="shared" si="144"/>
        <v>386.10758060007078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14.651532299956109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14.651532299956109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-1.1937117960769683E-12</v>
      </c>
      <c r="BE186" s="13">
        <f>BD186*VLOOKUP('Données projet'!$B$11,Paramètres!$A$1:$I$89,3,0)*VLOOKUP('Données projet'!$B$11,Paramètres!$A$1:$I$89,5,0)</f>
        <v>-1.1359361451468432E-12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438.62466697107681</v>
      </c>
      <c r="BJ186" s="59">
        <f t="shared" si="146"/>
        <v>241.18285512887627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-6.5028871176764376E-14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308.33000350259448</v>
      </c>
      <c r="CE186" s="59">
        <f t="shared" si="148"/>
        <v>282.64839194267171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18.224322016123779</v>
      </c>
      <c r="CL186" s="21">
        <f>EXP(-LN(2)/25)*CL185+(1-EXP(-LN(2)/25))/(LN(2)/25)*Calculateur!CG186*Calculateur!CI186*VLOOKUP('Données projet'!$B$12,Paramètres!$A$1:$I$89,3,0)*0.475*44/12</f>
        <v>2.1259989863324833</v>
      </c>
      <c r="CM186" s="21">
        <f>EXP(-LN(2)/2)*CM185+(1-EXP(-LN(2)/2))/(LN(2)/2)*CG186*CJ186*VLOOKUP('Données projet'!$B$12,Paramètres!$A$1:$I$89,3,0)*0.475*44/12</f>
        <v>2.2987429387358524E-14</v>
      </c>
      <c r="CN186" s="22">
        <f t="shared" si="172"/>
        <v>20.350321002456283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1.2946657079737634E-13</v>
      </c>
      <c r="CV186" s="13">
        <f t="shared" si="173"/>
        <v>1.8873591890224769E-12</v>
      </c>
      <c r="CW186" s="20">
        <f t="shared" si="174"/>
        <v>3.5126381983529106E-12</v>
      </c>
      <c r="CX186" s="59">
        <f t="shared" si="122"/>
        <v>293.33333333333684</v>
      </c>
      <c r="CY186" s="59">
        <f ca="1">AVERAGE(OFFSET($CX$3,0,0,'Données projet'!$E$13+1,1))-AVERAGE(OFFSET($H$3,0,0,'Données projet'!$E$13+1,1))</f>
        <v>330.87173217110126</v>
      </c>
      <c r="CZ186" s="59">
        <f t="shared" si="150"/>
        <v>200.52697135436102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86.54617817004555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86.54617817004555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2.0572770154103635E-13</v>
      </c>
      <c r="P187" s="13">
        <f t="shared" si="141"/>
        <v>2.8416956338469711E-12</v>
      </c>
      <c r="Q187" s="20">
        <f t="shared" si="162"/>
        <v>5.3075956424674458E-12</v>
      </c>
      <c r="R187" s="59">
        <f t="shared" si="109"/>
        <v>293.3333333333386</v>
      </c>
      <c r="S187" s="59">
        <f ca="1">AVERAGE(OFFSET($R$3,0,0,'Données projet'!$E$9+1,1))-AVERAGE(OFFSET($H$3,0,0,'Données projet'!$E$9+1,1))</f>
        <v>328.8796193543036</v>
      </c>
      <c r="T187" s="59">
        <f t="shared" si="142"/>
        <v>199.43308683696642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84.267902456114172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84.267902456114172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351.77274930064431</v>
      </c>
      <c r="AO187" s="59">
        <f t="shared" si="144"/>
        <v>386.10758060007078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14.364224688106262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14.364224688106262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-1.1937117960769683E-12</v>
      </c>
      <c r="BE187" s="13">
        <f>BD187*VLOOKUP('Données projet'!$B$11,Paramètres!$A$1:$I$89,3,0)*VLOOKUP('Données projet'!$B$11,Paramètres!$A$1:$I$89,5,0)</f>
        <v>-1.1359361451468432E-12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438.62466697107681</v>
      </c>
      <c r="BJ187" s="59">
        <f t="shared" si="146"/>
        <v>241.18285512887627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-6.5028871176764376E-14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308.33000350259448</v>
      </c>
      <c r="CE187" s="59">
        <f t="shared" si="148"/>
        <v>282.64839194267171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17.866954177126434</v>
      </c>
      <c r="CL187" s="21">
        <f>EXP(-LN(2)/25)*CL186+(1-EXP(-LN(2)/25))/(LN(2)/25)*Calculateur!CG187*Calculateur!CI187*VLOOKUP('Données projet'!$B$12,Paramètres!$A$1:$I$89,3,0)*0.475*44/12</f>
        <v>2.0678634322497937</v>
      </c>
      <c r="CM187" s="21">
        <f>EXP(-LN(2)/2)*CM186+(1-EXP(-LN(2)/2))/(LN(2)/2)*CG187*CJ187*VLOOKUP('Données projet'!$B$12,Paramètres!$A$1:$I$89,3,0)*0.475*44/12</f>
        <v>1.6254567201848135E-14</v>
      </c>
      <c r="CN187" s="22">
        <f t="shared" si="172"/>
        <v>19.934817609376246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1.2946657079737634E-13</v>
      </c>
      <c r="CV187" s="13">
        <f t="shared" si="173"/>
        <v>1.8873591890224769E-12</v>
      </c>
      <c r="CW187" s="20">
        <f t="shared" si="174"/>
        <v>3.5126381983529106E-12</v>
      </c>
      <c r="CX187" s="59">
        <f t="shared" si="122"/>
        <v>293.33333333333684</v>
      </c>
      <c r="CY187" s="59">
        <f ca="1">AVERAGE(OFFSET($CX$3,0,0,'Données projet'!$E$13+1,1))-AVERAGE(OFFSET($H$3,0,0,'Données projet'!$E$13+1,1))</f>
        <v>330.87173217110126</v>
      </c>
      <c r="CZ187" s="59">
        <f t="shared" si="150"/>
        <v>200.52697135436102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84.849060404087268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84.849060404087268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2.0572770154103635E-13</v>
      </c>
      <c r="P188" s="13">
        <f t="shared" si="141"/>
        <v>2.8416956338469711E-12</v>
      </c>
      <c r="Q188" s="20">
        <f t="shared" si="162"/>
        <v>5.3075956424674458E-12</v>
      </c>
      <c r="R188" s="59">
        <f t="shared" si="109"/>
        <v>293.3333333333386</v>
      </c>
      <c r="S188" s="59">
        <f ca="1">AVERAGE(OFFSET($R$3,0,0,'Données projet'!$E$9+1,1))-AVERAGE(OFFSET($H$3,0,0,'Données projet'!$E$9+1,1))</f>
        <v>328.8796193543036</v>
      </c>
      <c r="T188" s="59">
        <f t="shared" si="142"/>
        <v>199.43308683696642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82.615460287295107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82.615460287295107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351.77274930064431</v>
      </c>
      <c r="AO188" s="59">
        <f t="shared" si="144"/>
        <v>386.10758060007078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14.082551003284451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14.082551003284451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-1.1937117960769683E-12</v>
      </c>
      <c r="BE188" s="13">
        <f>BD188*VLOOKUP('Données projet'!$B$11,Paramètres!$A$1:$I$89,3,0)*VLOOKUP('Données projet'!$B$11,Paramètres!$A$1:$I$89,5,0)</f>
        <v>-1.1359361451468432E-12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438.62466697107681</v>
      </c>
      <c r="BJ188" s="59">
        <f t="shared" si="146"/>
        <v>241.18285512887627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-6.5028871176764376E-14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308.33000350259448</v>
      </c>
      <c r="CE188" s="59">
        <f t="shared" si="148"/>
        <v>282.64839194267171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17.516594103478969</v>
      </c>
      <c r="CL188" s="21">
        <f>EXP(-LN(2)/25)*CL187+(1-EXP(-LN(2)/25))/(LN(2)/25)*Calculateur!CG188*Calculateur!CI188*VLOOKUP('Données projet'!$B$12,Paramètres!$A$1:$I$89,3,0)*0.475*44/12</f>
        <v>2.0113175979507112</v>
      </c>
      <c r="CM188" s="21">
        <f>EXP(-LN(2)/2)*CM187+(1-EXP(-LN(2)/2))/(LN(2)/2)*CG188*CJ188*VLOOKUP('Données projet'!$B$12,Paramètres!$A$1:$I$89,3,0)*0.475*44/12</f>
        <v>1.1493714693679262E-14</v>
      </c>
      <c r="CN188" s="22">
        <f t="shared" si="172"/>
        <v>19.527911701429691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1.2946657079737634E-13</v>
      </c>
      <c r="CV188" s="13">
        <f t="shared" si="173"/>
        <v>1.8873591890224769E-12</v>
      </c>
      <c r="CW188" s="20">
        <f t="shared" si="174"/>
        <v>3.5126381983529106E-12</v>
      </c>
      <c r="CX188" s="59">
        <f t="shared" si="122"/>
        <v>293.33333333333684</v>
      </c>
      <c r="CY188" s="59">
        <f ca="1">AVERAGE(OFFSET($CX$3,0,0,'Données projet'!$E$13+1,1))-AVERAGE(OFFSET($H$3,0,0,'Données projet'!$E$13+1,1))</f>
        <v>330.87173217110126</v>
      </c>
      <c r="CZ188" s="59">
        <f t="shared" si="150"/>
        <v>200.52697135436102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83.185222082379795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83.185222082379795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2.0572770154103635E-13</v>
      </c>
      <c r="P189" s="13">
        <f t="shared" si="141"/>
        <v>2.8416956338469711E-12</v>
      </c>
      <c r="Q189" s="20">
        <f t="shared" si="162"/>
        <v>5.3075956424674458E-12</v>
      </c>
      <c r="R189" s="59">
        <f t="shared" si="109"/>
        <v>293.3333333333386</v>
      </c>
      <c r="S189" s="59">
        <f ca="1">AVERAGE(OFFSET($R$3,0,0,'Données projet'!$E$9+1,1))-AVERAGE(OFFSET($H$3,0,0,'Données projet'!$E$9+1,1))</f>
        <v>328.8796193543036</v>
      </c>
      <c r="T189" s="59">
        <f t="shared" si="142"/>
        <v>199.43308683696642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80.995421501516375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80.995421501516375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351.77274930064431</v>
      </c>
      <c r="AO189" s="59">
        <f t="shared" si="144"/>
        <v>386.10758060007078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13.806400767618012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13.806400767618012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-1.1937117960769683E-12</v>
      </c>
      <c r="BE189" s="13">
        <f>BD189*VLOOKUP('Données projet'!$B$11,Paramètres!$A$1:$I$89,3,0)*VLOOKUP('Données projet'!$B$11,Paramètres!$A$1:$I$89,5,0)</f>
        <v>-1.1359361451468432E-12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438.62466697107681</v>
      </c>
      <c r="BJ189" s="59">
        <f t="shared" si="146"/>
        <v>241.18285512887627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-6.5028871176764376E-14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308.33000350259448</v>
      </c>
      <c r="CE189" s="59">
        <f t="shared" si="148"/>
        <v>282.64839194267171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17.173104377177186</v>
      </c>
      <c r="CL189" s="21">
        <f>EXP(-LN(2)/25)*CL188+(1-EXP(-LN(2)/25))/(LN(2)/25)*Calculateur!CG189*Calculateur!CI189*VLOOKUP('Données projet'!$B$12,Paramètres!$A$1:$I$89,3,0)*0.475*44/12</f>
        <v>1.9563180124641535</v>
      </c>
      <c r="CM189" s="21">
        <f>EXP(-LN(2)/2)*CM188+(1-EXP(-LN(2)/2))/(LN(2)/2)*CG189*CJ189*VLOOKUP('Données projet'!$B$12,Paramètres!$A$1:$I$89,3,0)*0.475*44/12</f>
        <v>8.1272836009240677E-15</v>
      </c>
      <c r="CN189" s="22">
        <f t="shared" si="172"/>
        <v>19.129422389641345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1.2946657079737634E-13</v>
      </c>
      <c r="CV189" s="13">
        <f t="shared" si="173"/>
        <v>1.8873591890224769E-12</v>
      </c>
      <c r="CW189" s="20">
        <f t="shared" si="174"/>
        <v>3.5126381983529106E-12</v>
      </c>
      <c r="CX189" s="59">
        <f t="shared" si="122"/>
        <v>293.33333333333684</v>
      </c>
      <c r="CY189" s="59">
        <f ca="1">AVERAGE(OFFSET($CX$3,0,0,'Données projet'!$E$13+1,1))-AVERAGE(OFFSET($H$3,0,0,'Données projet'!$E$13+1,1))</f>
        <v>330.87173217110126</v>
      </c>
      <c r="CZ189" s="59">
        <f t="shared" si="150"/>
        <v>200.52697135436102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81.554010615319839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81.554010615319839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2.0572770154103635E-13</v>
      </c>
      <c r="P190" s="13">
        <f t="shared" si="141"/>
        <v>2.8416956338469711E-12</v>
      </c>
      <c r="Q190" s="20">
        <f t="shared" si="162"/>
        <v>5.3075956424674458E-12</v>
      </c>
      <c r="R190" s="59">
        <f t="shared" si="109"/>
        <v>293.3333333333386</v>
      </c>
      <c r="S190" s="59">
        <f ca="1">AVERAGE(OFFSET($R$3,0,0,'Données projet'!$E$9+1,1))-AVERAGE(OFFSET($H$3,0,0,'Données projet'!$E$9+1,1))</f>
        <v>328.8796193543036</v>
      </c>
      <c r="T190" s="59">
        <f t="shared" si="142"/>
        <v>199.43308683696642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79.407150688200687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79.407150688200687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351.77274930064431</v>
      </c>
      <c r="AO190" s="59">
        <f t="shared" si="144"/>
        <v>386.10758060007078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13.535665669637979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13.535665669637979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-1.1937117960769683E-12</v>
      </c>
      <c r="BE190" s="13">
        <f>BD190*VLOOKUP('Données projet'!$B$11,Paramètres!$A$1:$I$89,3,0)*VLOOKUP('Données projet'!$B$11,Paramètres!$A$1:$I$89,5,0)</f>
        <v>-1.1359361451468432E-12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438.62466697107681</v>
      </c>
      <c r="BJ190" s="59">
        <f t="shared" si="146"/>
        <v>241.18285512887627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-6.5028871176764376E-14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308.33000350259448</v>
      </c>
      <c r="CE190" s="59">
        <f t="shared" si="148"/>
        <v>282.64839194267171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16.836350274900134</v>
      </c>
      <c r="CL190" s="21">
        <f>EXP(-LN(2)/25)*CL189+(1-EXP(-LN(2)/25))/(LN(2)/25)*Calculateur!CG190*Calculateur!CI190*VLOOKUP('Données projet'!$B$12,Paramètres!$A$1:$I$89,3,0)*0.475*44/12</f>
        <v>1.9028223935350281</v>
      </c>
      <c r="CM190" s="21">
        <f>EXP(-LN(2)/2)*CM189+(1-EXP(-LN(2)/2))/(LN(2)/2)*CG190*CJ190*VLOOKUP('Données projet'!$B$12,Paramètres!$A$1:$I$89,3,0)*0.475*44/12</f>
        <v>5.7468573468396309E-15</v>
      </c>
      <c r="CN190" s="22">
        <f t="shared" si="172"/>
        <v>18.73917266843517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1.2946657079737634E-13</v>
      </c>
      <c r="CV190" s="13">
        <f t="shared" si="173"/>
        <v>1.8873591890224769E-12</v>
      </c>
      <c r="CW190" s="20">
        <f t="shared" si="174"/>
        <v>3.5126381983529106E-12</v>
      </c>
      <c r="CX190" s="59">
        <f t="shared" si="122"/>
        <v>293.33333333333684</v>
      </c>
      <c r="CY190" s="59">
        <f ca="1">AVERAGE(OFFSET($CX$3,0,0,'Données projet'!$E$13+1,1))-AVERAGE(OFFSET($H$3,0,0,'Données projet'!$E$13+1,1))</f>
        <v>330.87173217110126</v>
      </c>
      <c r="CZ190" s="59">
        <f t="shared" si="150"/>
        <v>200.52697135436102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79.954786210188175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79.954786210188175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2.0572770154103635E-13</v>
      </c>
      <c r="P191" s="13">
        <f t="shared" si="141"/>
        <v>2.8416956338469711E-12</v>
      </c>
      <c r="Q191" s="20">
        <f t="shared" si="162"/>
        <v>5.3075956424674458E-12</v>
      </c>
      <c r="R191" s="59">
        <f t="shared" si="109"/>
        <v>293.3333333333386</v>
      </c>
      <c r="S191" s="59">
        <f ca="1">AVERAGE(OFFSET($R$3,0,0,'Données projet'!$E$9+1,1))-AVERAGE(OFFSET($H$3,0,0,'Données projet'!$E$9+1,1))</f>
        <v>328.8796193543036</v>
      </c>
      <c r="T191" s="59">
        <f t="shared" si="142"/>
        <v>199.43308683696642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77.850024896784575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77.850024896784575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351.77274930064431</v>
      </c>
      <c r="AO191" s="59">
        <f t="shared" si="144"/>
        <v>386.10758060007078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13.27023952179723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13.27023952179723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-1.1937117960769683E-12</v>
      </c>
      <c r="BE191" s="13">
        <f>BD191*VLOOKUP('Données projet'!$B$11,Paramètres!$A$1:$I$89,3,0)*VLOOKUP('Données projet'!$B$11,Paramètres!$A$1:$I$89,5,0)</f>
        <v>-1.1359361451468432E-12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438.62466697107681</v>
      </c>
      <c r="BJ191" s="59">
        <f t="shared" si="146"/>
        <v>241.18285512887627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-6.5028871176764376E-14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308.33000350259448</v>
      </c>
      <c r="CE191" s="59">
        <f t="shared" si="148"/>
        <v>282.64839194267171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16.506199715169014</v>
      </c>
      <c r="CL191" s="21">
        <f>EXP(-LN(2)/25)*CL190+(1-EXP(-LN(2)/25))/(LN(2)/25)*Calculateur!CG191*Calculateur!CI191*VLOOKUP('Données projet'!$B$12,Paramètres!$A$1:$I$89,3,0)*0.475*44/12</f>
        <v>1.850789615118732</v>
      </c>
      <c r="CM191" s="21">
        <f>EXP(-LN(2)/2)*CM190+(1-EXP(-LN(2)/2))/(LN(2)/2)*CG191*CJ191*VLOOKUP('Données projet'!$B$12,Paramètres!$A$1:$I$89,3,0)*0.475*44/12</f>
        <v>4.0636418004620338E-15</v>
      </c>
      <c r="CN191" s="22">
        <f t="shared" si="172"/>
        <v>18.35698933028775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1.2946657079737634E-13</v>
      </c>
      <c r="CV191" s="13">
        <f t="shared" si="173"/>
        <v>1.8873591890224769E-12</v>
      </c>
      <c r="CW191" s="20">
        <f t="shared" si="174"/>
        <v>3.5126381983529106E-12</v>
      </c>
      <c r="CX191" s="59">
        <f t="shared" si="122"/>
        <v>293.33333333333684</v>
      </c>
      <c r="CY191" s="59">
        <f ca="1">AVERAGE(OFFSET($CX$3,0,0,'Données projet'!$E$13+1,1))-AVERAGE(OFFSET($H$3,0,0,'Données projet'!$E$13+1,1))</f>
        <v>330.87173217110126</v>
      </c>
      <c r="CZ191" s="59">
        <f t="shared" si="150"/>
        <v>200.52697135436102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78.386921620210572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78.386921620210572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2.0572770154103635E-13</v>
      </c>
      <c r="P192" s="13">
        <f t="shared" si="141"/>
        <v>2.8416956338469711E-12</v>
      </c>
      <c r="Q192" s="20">
        <f t="shared" si="162"/>
        <v>5.3075956424674458E-12</v>
      </c>
      <c r="R192" s="59">
        <f t="shared" si="109"/>
        <v>293.3333333333386</v>
      </c>
      <c r="S192" s="59">
        <f ca="1">AVERAGE(OFFSET($R$3,0,0,'Données projet'!$E$9+1,1))-AVERAGE(OFFSET($H$3,0,0,'Données projet'!$E$9+1,1))</f>
        <v>328.8796193543036</v>
      </c>
      <c r="T192" s="59">
        <f t="shared" si="142"/>
        <v>199.43308683696642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76.323433392385184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76.323433392385184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351.77274930064431</v>
      </c>
      <c r="AO192" s="59">
        <f t="shared" si="144"/>
        <v>386.10758060007078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13.010018218821674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13.010018218821674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-1.1937117960769683E-12</v>
      </c>
      <c r="BE192" s="13">
        <f>BD192*VLOOKUP('Données projet'!$B$11,Paramètres!$A$1:$I$89,3,0)*VLOOKUP('Données projet'!$B$11,Paramètres!$A$1:$I$89,5,0)</f>
        <v>-1.1359361451468432E-12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438.62466697107681</v>
      </c>
      <c r="BJ192" s="59">
        <f t="shared" si="146"/>
        <v>241.18285512887627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-6.5028871176764376E-14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308.33000350259448</v>
      </c>
      <c r="CE192" s="59">
        <f t="shared" si="148"/>
        <v>282.64839194267171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16.182523206542264</v>
      </c>
      <c r="CL192" s="21">
        <f>EXP(-LN(2)/25)*CL191+(1-EXP(-LN(2)/25))/(LN(2)/25)*Calculateur!CG192*Calculateur!CI192*VLOOKUP('Données projet'!$B$12,Paramètres!$A$1:$I$89,3,0)*0.475*44/12</f>
        <v>1.8001796757645143</v>
      </c>
      <c r="CM192" s="21">
        <f>EXP(-LN(2)/2)*CM191+(1-EXP(-LN(2)/2))/(LN(2)/2)*CG192*CJ192*VLOOKUP('Données projet'!$B$12,Paramètres!$A$1:$I$89,3,0)*0.475*44/12</f>
        <v>2.8734286734198154E-15</v>
      </c>
      <c r="CN192" s="22">
        <f t="shared" si="172"/>
        <v>17.982702882306782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1.2946657079737634E-13</v>
      </c>
      <c r="CV192" s="13">
        <f t="shared" si="173"/>
        <v>1.8873591890224769E-12</v>
      </c>
      <c r="CW192" s="20">
        <f t="shared" si="174"/>
        <v>3.5126381983529106E-12</v>
      </c>
      <c r="CX192" s="59">
        <f t="shared" si="122"/>
        <v>293.33333333333684</v>
      </c>
      <c r="CY192" s="59">
        <f ca="1">AVERAGE(OFFSET($CX$3,0,0,'Données projet'!$E$13+1,1))-AVERAGE(OFFSET($H$3,0,0,'Données projet'!$E$13+1,1))</f>
        <v>330.87173217110126</v>
      </c>
      <c r="CZ192" s="59">
        <f t="shared" si="150"/>
        <v>200.52697135436102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76.849801898539454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76.849801898539454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2.0572770154103635E-13</v>
      </c>
      <c r="P193" s="13">
        <f t="shared" si="141"/>
        <v>2.8416956338469711E-12</v>
      </c>
      <c r="Q193" s="20">
        <f t="shared" si="162"/>
        <v>5.3075956424674458E-12</v>
      </c>
      <c r="R193" s="59">
        <f t="shared" si="109"/>
        <v>293.3333333333386</v>
      </c>
      <c r="S193" s="59">
        <f ca="1">AVERAGE(OFFSET($R$3,0,0,'Données projet'!$E$9+1,1))-AVERAGE(OFFSET($H$3,0,0,'Données projet'!$E$9+1,1))</f>
        <v>328.8796193543036</v>
      </c>
      <c r="T193" s="59">
        <f t="shared" si="142"/>
        <v>199.43308683696642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74.826777416258182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74.826777416258182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351.77274930064431</v>
      </c>
      <c r="AO193" s="59">
        <f t="shared" si="144"/>
        <v>386.10758060007078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12.754899696878146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12.754899696878146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-1.1937117960769683E-12</v>
      </c>
      <c r="BE193" s="13">
        <f>BD193*VLOOKUP('Données projet'!$B$11,Paramètres!$A$1:$I$89,3,0)*VLOOKUP('Données projet'!$B$11,Paramètres!$A$1:$I$89,5,0)</f>
        <v>-1.1359361451468432E-12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438.62466697107681</v>
      </c>
      <c r="BJ193" s="59">
        <f t="shared" si="146"/>
        <v>241.18285512887627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-6.5028871176764376E-14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308.33000350259448</v>
      </c>
      <c r="CE193" s="59">
        <f t="shared" si="148"/>
        <v>282.64839194267171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15.865193796826508</v>
      </c>
      <c r="CL193" s="21">
        <f>EXP(-LN(2)/25)*CL192+(1-EXP(-LN(2)/25))/(LN(2)/25)*Calculateur!CG193*Calculateur!CI193*VLOOKUP('Données projet'!$B$12,Paramètres!$A$1:$I$89,3,0)*0.475*44/12</f>
        <v>1.7509536678633988</v>
      </c>
      <c r="CM193" s="21">
        <f>EXP(-LN(2)/2)*CM192+(1-EXP(-LN(2)/2))/(LN(2)/2)*CG193*CJ193*VLOOKUP('Données projet'!$B$12,Paramètres!$A$1:$I$89,3,0)*0.475*44/12</f>
        <v>2.0318209002310169E-15</v>
      </c>
      <c r="CN193" s="22">
        <f t="shared" si="172"/>
        <v>17.616147464689909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1.2946657079737634E-13</v>
      </c>
      <c r="CV193" s="13">
        <f t="shared" si="173"/>
        <v>1.8873591890224769E-12</v>
      </c>
      <c r="CW193" s="20">
        <f t="shared" si="174"/>
        <v>3.5126381983529106E-12</v>
      </c>
      <c r="CX193" s="59">
        <f t="shared" si="122"/>
        <v>293.33333333333684</v>
      </c>
      <c r="CY193" s="59">
        <f ca="1">AVERAGE(OFFSET($CX$3,0,0,'Données projet'!$E$13+1,1))-AVERAGE(OFFSET($H$3,0,0,'Données projet'!$E$13+1,1))</f>
        <v>330.87173217110126</v>
      </c>
      <c r="CZ193" s="59">
        <f t="shared" si="150"/>
        <v>200.52697135436102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75.342824157059852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75.342824157059852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2.0572770154103635E-13</v>
      </c>
      <c r="P194" s="13">
        <f t="shared" si="141"/>
        <v>2.8416956338469711E-12</v>
      </c>
      <c r="Q194" s="20">
        <f t="shared" si="162"/>
        <v>5.3075956424674458E-12</v>
      </c>
      <c r="R194" s="59">
        <f t="shared" si="109"/>
        <v>293.3333333333386</v>
      </c>
      <c r="S194" s="59">
        <f ca="1">AVERAGE(OFFSET($R$3,0,0,'Données projet'!$E$9+1,1))-AVERAGE(OFFSET($H$3,0,0,'Données projet'!$E$9+1,1))</f>
        <v>328.8796193543036</v>
      </c>
      <c r="T194" s="59">
        <f t="shared" si="142"/>
        <v>199.43308683696642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73.359469950953027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73.359469950953027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351.77274930064431</v>
      </c>
      <c r="AO194" s="59">
        <f t="shared" si="144"/>
        <v>386.10758060007078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12.504783893542998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12.504783893542998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-1.1937117960769683E-12</v>
      </c>
      <c r="BE194" s="13">
        <f>BD194*VLOOKUP('Données projet'!$B$11,Paramètres!$A$1:$I$89,3,0)*VLOOKUP('Données projet'!$B$11,Paramètres!$A$1:$I$89,5,0)</f>
        <v>-1.1359361451468432E-12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438.62466697107681</v>
      </c>
      <c r="BJ194" s="59">
        <f t="shared" si="146"/>
        <v>241.18285512887627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-6.5028871176764376E-14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308.33000350259448</v>
      </c>
      <c r="CE194" s="59">
        <f t="shared" si="148"/>
        <v>282.64839194267171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15.554087023283451</v>
      </c>
      <c r="CL194" s="21">
        <f>EXP(-LN(2)/25)*CL193+(1-EXP(-LN(2)/25))/(LN(2)/25)*Calculateur!CG194*Calculateur!CI194*VLOOKUP('Données projet'!$B$12,Paramètres!$A$1:$I$89,3,0)*0.475*44/12</f>
        <v>1.7030737477370226</v>
      </c>
      <c r="CM194" s="21">
        <f>EXP(-LN(2)/2)*CM193+(1-EXP(-LN(2)/2))/(LN(2)/2)*CG194*CJ194*VLOOKUP('Données projet'!$B$12,Paramètres!$A$1:$I$89,3,0)*0.475*44/12</f>
        <v>1.4367143367099077E-15</v>
      </c>
      <c r="CN194" s="22">
        <f t="shared" si="172"/>
        <v>17.257160771020473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1.2946657079737634E-13</v>
      </c>
      <c r="CV194" s="13">
        <f t="shared" si="173"/>
        <v>1.8873591890224769E-12</v>
      </c>
      <c r="CW194" s="20">
        <f t="shared" si="174"/>
        <v>3.5126381983529106E-12</v>
      </c>
      <c r="CX194" s="59">
        <f t="shared" si="122"/>
        <v>293.33333333333684</v>
      </c>
      <c r="CY194" s="59">
        <f ca="1">AVERAGE(OFFSET($CX$3,0,0,'Données projet'!$E$13+1,1))-AVERAGE(OFFSET($H$3,0,0,'Données projet'!$E$13+1,1))</f>
        <v>330.87173217110126</v>
      </c>
      <c r="CZ194" s="59">
        <f t="shared" si="150"/>
        <v>200.52697135436102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73.865397329925003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73.865397329925003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2.0572770154103635E-13</v>
      </c>
      <c r="P195" s="13">
        <f t="shared" si="141"/>
        <v>2.8416956338469711E-12</v>
      </c>
      <c r="Q195" s="20">
        <f t="shared" si="162"/>
        <v>5.3075956424674458E-12</v>
      </c>
      <c r="R195" s="59">
        <f t="shared" ref="R195:R203" si="191">Q195+(I195+J195)*44/12</f>
        <v>293.3333333333386</v>
      </c>
      <c r="S195" s="59">
        <f ca="1">AVERAGE(OFFSET($R$3,0,0,'Données projet'!$E$9+1,1))-AVERAGE(OFFSET($H$3,0,0,'Données projet'!$E$9+1,1))</f>
        <v>328.8796193543036</v>
      </c>
      <c r="T195" s="59">
        <f t="shared" si="142"/>
        <v>199.43308683696642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71.920935490073319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71.920935490073319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351.77274930064431</v>
      </c>
      <c r="AO195" s="59">
        <f t="shared" si="144"/>
        <v>386.10758060007078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12.259572708555675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12.259572708555675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-1.1937117960769683E-12</v>
      </c>
      <c r="BE195" s="13">
        <f>BD195*VLOOKUP('Données projet'!$B$11,Paramètres!$A$1:$I$89,3,0)*VLOOKUP('Données projet'!$B$11,Paramètres!$A$1:$I$89,5,0)</f>
        <v>-1.1359361451468432E-12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438.62466697107681</v>
      </c>
      <c r="BJ195" s="59">
        <f t="shared" si="146"/>
        <v>241.18285512887627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-6.5028871176764376E-14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308.33000350259448</v>
      </c>
      <c r="CE195" s="59">
        <f t="shared" si="148"/>
        <v>282.64839194267171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15.249080863813177</v>
      </c>
      <c r="CL195" s="21">
        <f>EXP(-LN(2)/25)*CL194+(1-EXP(-LN(2)/25))/(LN(2)/25)*Calculateur!CG195*Calculateur!CI195*VLOOKUP('Données projet'!$B$12,Paramètres!$A$1:$I$89,3,0)*0.475*44/12</f>
        <v>1.6565031065443978</v>
      </c>
      <c r="CM195" s="21">
        <f>EXP(-LN(2)/2)*CM194+(1-EXP(-LN(2)/2))/(LN(2)/2)*CG195*CJ195*VLOOKUP('Données projet'!$B$12,Paramètres!$A$1:$I$89,3,0)*0.475*44/12</f>
        <v>1.0159104501155085E-15</v>
      </c>
      <c r="CN195" s="22">
        <f t="shared" si="172"/>
        <v>16.905583970357576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1.2946657079737634E-13</v>
      </c>
      <c r="CV195" s="13">
        <f t="shared" si="173"/>
        <v>1.8873591890224769E-12</v>
      </c>
      <c r="CW195" s="20">
        <f t="shared" si="174"/>
        <v>3.5126381983529106E-12</v>
      </c>
      <c r="CX195" s="59">
        <f t="shared" si="122"/>
        <v>293.33333333333684</v>
      </c>
      <c r="CY195" s="59">
        <f ca="1">AVERAGE(OFFSET($CX$3,0,0,'Données projet'!$E$13+1,1))-AVERAGE(OFFSET($H$3,0,0,'Données projet'!$E$13+1,1))</f>
        <v>330.87173217110126</v>
      </c>
      <c r="CZ195" s="59">
        <f t="shared" si="150"/>
        <v>200.52697135436102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72.416941941728894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72.416941941728894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2.0572770154103635E-13</v>
      </c>
      <c r="P196" s="13">
        <f t="shared" si="141"/>
        <v>2.8416956338469711E-12</v>
      </c>
      <c r="Q196" s="20">
        <f t="shared" si="162"/>
        <v>5.3075956424674458E-12</v>
      </c>
      <c r="R196" s="59">
        <f t="shared" si="191"/>
        <v>293.3333333333386</v>
      </c>
      <c r="S196" s="59">
        <f ca="1">AVERAGE(OFFSET($R$3,0,0,'Données projet'!$E$9+1,1))-AVERAGE(OFFSET($H$3,0,0,'Données projet'!$E$9+1,1))</f>
        <v>328.8796193543036</v>
      </c>
      <c r="T196" s="59">
        <f t="shared" si="142"/>
        <v>199.43308683696642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70.510609812552076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70.510609812552076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351.77274930064431</v>
      </c>
      <c r="AO196" s="59">
        <f t="shared" si="144"/>
        <v>386.10758060007078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12.019169965341899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12.019169965341899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-1.1937117960769683E-12</v>
      </c>
      <c r="BE196" s="13">
        <f>BD196*VLOOKUP('Données projet'!$B$11,Paramètres!$A$1:$I$89,3,0)*VLOOKUP('Données projet'!$B$11,Paramètres!$A$1:$I$89,5,0)</f>
        <v>-1.1359361451468432E-12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438.62466697107681</v>
      </c>
      <c r="BJ196" s="59">
        <f t="shared" si="146"/>
        <v>241.18285512887627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-6.5028871176764376E-14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308.33000350259448</v>
      </c>
      <c r="CE196" s="59">
        <f t="shared" si="148"/>
        <v>282.64839194267171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14.950055689094727</v>
      </c>
      <c r="CL196" s="21">
        <f>EXP(-LN(2)/25)*CL195+(1-EXP(-LN(2)/25))/(LN(2)/25)*Calculateur!CG196*Calculateur!CI196*VLOOKUP('Données projet'!$B$12,Paramètres!$A$1:$I$89,3,0)*0.475*44/12</f>
        <v>1.6112059419842288</v>
      </c>
      <c r="CM196" s="21">
        <f>EXP(-LN(2)/2)*CM195+(1-EXP(-LN(2)/2))/(LN(2)/2)*CG196*CJ196*VLOOKUP('Données projet'!$B$12,Paramètres!$A$1:$I$89,3,0)*0.475*44/12</f>
        <v>7.1835716835495386E-16</v>
      </c>
      <c r="CN196" s="22">
        <f t="shared" si="172"/>
        <v>16.561261631078956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1.2946657079737634E-13</v>
      </c>
      <c r="CV196" s="13">
        <f t="shared" si="173"/>
        <v>1.8873591890224769E-12</v>
      </c>
      <c r="CW196" s="20">
        <f t="shared" si="174"/>
        <v>3.5126381983529106E-12</v>
      </c>
      <c r="CX196" s="59">
        <f t="shared" ref="CX196:CX203" si="196">CW196+(CO196+CP196)*44/12</f>
        <v>293.33333333333684</v>
      </c>
      <c r="CY196" s="59">
        <f ca="1">AVERAGE(OFFSET($CX$3,0,0,'Données projet'!$E$13+1,1))-AVERAGE(OFFSET($H$3,0,0,'Données projet'!$E$13+1,1))</f>
        <v>330.87173217110126</v>
      </c>
      <c r="CZ196" s="59">
        <f t="shared" si="150"/>
        <v>200.52697135436102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70.996889880224757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70.996889880224757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2.0572770154103635E-13</v>
      </c>
      <c r="P197" s="13">
        <f t="shared" ref="P197:P203" si="203">EXP(-1.0587+0.8836*LN(O197)+0.284)</f>
        <v>2.8416956338469711E-12</v>
      </c>
      <c r="Q197" s="20">
        <f t="shared" si="162"/>
        <v>5.3075956424674458E-12</v>
      </c>
      <c r="R197" s="59">
        <f t="shared" si="191"/>
        <v>293.3333333333386</v>
      </c>
      <c r="S197" s="59">
        <f ca="1">AVERAGE(OFFSET($R$3,0,0,'Données projet'!$E$9+1,1))-AVERAGE(OFFSET($H$3,0,0,'Données projet'!$E$9+1,1))</f>
        <v>328.8796193543036</v>
      </c>
      <c r="T197" s="59">
        <f t="shared" ref="T197:T203" si="204">$T$3</f>
        <v>199.43308683696642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69.127939761353304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69.127939761353304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351.77274930064431</v>
      </c>
      <c r="AO197" s="59">
        <f t="shared" ref="AO197:AO203" si="205">$AO$3</f>
        <v>386.10758060007078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11.78348137329135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11.78348137329135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-1.1937117960769683E-12</v>
      </c>
      <c r="BE197" s="13">
        <f>BD197*VLOOKUP('Données projet'!$B$11,Paramètres!$A$1:$I$89,3,0)*VLOOKUP('Données projet'!$B$11,Paramètres!$A$1:$I$89,5,0)</f>
        <v>-1.1359361451468432E-12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438.62466697107681</v>
      </c>
      <c r="BJ197" s="59">
        <f t="shared" ref="BJ197:BJ203" si="206">$BJ$3</f>
        <v>241.18285512887627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-6.5028871176764376E-14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308.33000350259448</v>
      </c>
      <c r="CE197" s="59">
        <f t="shared" ref="CE197:CE203" si="207">$CE$3</f>
        <v>282.64839194267171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14.65689421566516</v>
      </c>
      <c r="CL197" s="21">
        <f>EXP(-LN(2)/25)*CL196+(1-EXP(-LN(2)/25))/(LN(2)/25)*Calculateur!CG197*Calculateur!CI197*VLOOKUP('Données projet'!$B$12,Paramètres!$A$1:$I$89,3,0)*0.475*44/12</f>
        <v>1.567147430771032</v>
      </c>
      <c r="CM197" s="21">
        <f>EXP(-LN(2)/2)*CM196+(1-EXP(-LN(2)/2))/(LN(2)/2)*CG197*CJ197*VLOOKUP('Données projet'!$B$12,Paramètres!$A$1:$I$89,3,0)*0.475*44/12</f>
        <v>5.0795522505775423E-16</v>
      </c>
      <c r="CN197" s="22">
        <f t="shared" si="172"/>
        <v>16.224041646436191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1.2946657079737634E-13</v>
      </c>
      <c r="CV197" s="13">
        <f t="shared" si="173"/>
        <v>1.8873591890224769E-12</v>
      </c>
      <c r="CW197" s="20">
        <f t="shared" si="174"/>
        <v>3.5126381983529106E-12</v>
      </c>
      <c r="CX197" s="59">
        <f t="shared" si="196"/>
        <v>293.33333333333684</v>
      </c>
      <c r="CY197" s="59">
        <f ca="1">AVERAGE(OFFSET($CX$3,0,0,'Données projet'!$E$13+1,1))-AVERAGE(OFFSET($H$3,0,0,'Données projet'!$E$13+1,1))</f>
        <v>330.87173217110126</v>
      </c>
      <c r="CZ197" s="59">
        <f t="shared" ref="CZ197:CZ203" si="208">$CZ$3</f>
        <v>200.52697135436102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69.604684173500473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69.604684173500473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2.0572770154103635E-13</v>
      </c>
      <c r="P198" s="13">
        <f t="shared" si="203"/>
        <v>2.8416956338469711E-12</v>
      </c>
      <c r="Q198" s="20">
        <f t="shared" si="162"/>
        <v>5.3075956424674458E-12</v>
      </c>
      <c r="R198" s="59">
        <f t="shared" si="191"/>
        <v>293.3333333333386</v>
      </c>
      <c r="S198" s="59">
        <f ca="1">AVERAGE(OFFSET($R$3,0,0,'Données projet'!$E$9+1,1))-AVERAGE(OFFSET($H$3,0,0,'Données projet'!$E$9+1,1))</f>
        <v>328.8796193543036</v>
      </c>
      <c r="T198" s="59">
        <f t="shared" si="204"/>
        <v>199.43308683696642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67.772383026513083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67.772383026513083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351.77274930064431</v>
      </c>
      <c r="AO198" s="59">
        <f t="shared" si="205"/>
        <v>386.10758060007078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11.552414490775066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11.552414490775066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-1.1937117960769683E-12</v>
      </c>
      <c r="BE198" s="13">
        <f>BD198*VLOOKUP('Données projet'!$B$11,Paramètres!$A$1:$I$89,3,0)*VLOOKUP('Données projet'!$B$11,Paramètres!$A$1:$I$89,5,0)</f>
        <v>-1.1359361451468432E-12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438.62466697107681</v>
      </c>
      <c r="BJ198" s="59">
        <f t="shared" si="206"/>
        <v>241.18285512887627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-6.5028871176764376E-14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308.33000350259448</v>
      </c>
      <c r="CE198" s="59">
        <f t="shared" si="207"/>
        <v>282.64839194267171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14.369481459918703</v>
      </c>
      <c r="CL198" s="21">
        <f>EXP(-LN(2)/25)*CL197+(1-EXP(-LN(2)/25))/(LN(2)/25)*Calculateur!CG198*Calculateur!CI198*VLOOKUP('Données projet'!$B$12,Paramètres!$A$1:$I$89,3,0)*0.475*44/12</f>
        <v>1.5242937018638965</v>
      </c>
      <c r="CM198" s="21">
        <f>EXP(-LN(2)/2)*CM197+(1-EXP(-LN(2)/2))/(LN(2)/2)*CG198*CJ198*VLOOKUP('Données projet'!$B$12,Paramètres!$A$1:$I$89,3,0)*0.475*44/12</f>
        <v>3.5917858417747693E-16</v>
      </c>
      <c r="CN198" s="22">
        <f t="shared" si="172"/>
        <v>15.8937751617826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1.2946657079737634E-13</v>
      </c>
      <c r="CV198" s="13">
        <f t="shared" si="173"/>
        <v>1.8873591890224769E-12</v>
      </c>
      <c r="CW198" s="20">
        <f t="shared" si="174"/>
        <v>3.5126381983529106E-12</v>
      </c>
      <c r="CX198" s="59">
        <f t="shared" si="196"/>
        <v>293.33333333333684</v>
      </c>
      <c r="CY198" s="59">
        <f ca="1">AVERAGE(OFFSET($CX$3,0,0,'Données projet'!$E$13+1,1))-AVERAGE(OFFSET($H$3,0,0,'Données projet'!$E$13+1,1))</f>
        <v>330.87173217110126</v>
      </c>
      <c r="CZ198" s="59">
        <f t="shared" si="208"/>
        <v>200.52697135436102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68.239778771523419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68.239778771523419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2.0572770154103635E-13</v>
      </c>
      <c r="P199" s="13">
        <f t="shared" si="203"/>
        <v>2.8416956338469711E-12</v>
      </c>
      <c r="Q199" s="20">
        <f t="shared" si="162"/>
        <v>5.3075956424674458E-12</v>
      </c>
      <c r="R199" s="59">
        <f t="shared" si="191"/>
        <v>293.3333333333386</v>
      </c>
      <c r="S199" s="59">
        <f ca="1">AVERAGE(OFFSET($R$3,0,0,'Données projet'!$E$9+1,1))-AVERAGE(OFFSET($H$3,0,0,'Données projet'!$E$9+1,1))</f>
        <v>328.8796193543036</v>
      </c>
      <c r="T199" s="59">
        <f t="shared" si="204"/>
        <v>199.43308683696642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66.443407932435107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66.443407932435107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351.77274930064431</v>
      </c>
      <c r="AO199" s="59">
        <f t="shared" si="205"/>
        <v>386.10758060007078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11.325878688888045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11.325878688888045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-1.1937117960769683E-12</v>
      </c>
      <c r="BE199" s="13">
        <f>BD199*VLOOKUP('Données projet'!$B$11,Paramètres!$A$1:$I$89,3,0)*VLOOKUP('Données projet'!$B$11,Paramètres!$A$1:$I$89,5,0)</f>
        <v>-1.1359361451468432E-12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438.62466697107681</v>
      </c>
      <c r="BJ199" s="59">
        <f t="shared" si="206"/>
        <v>241.18285512887627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-6.5028871176764376E-14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308.33000350259448</v>
      </c>
      <c r="CE199" s="59">
        <f t="shared" si="207"/>
        <v>282.64839194267171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14.087704693007963</v>
      </c>
      <c r="CL199" s="21">
        <f>EXP(-LN(2)/25)*CL198+(1-EXP(-LN(2)/25))/(LN(2)/25)*Calculateur!CG199*Calculateur!CI199*VLOOKUP('Données projet'!$B$12,Paramètres!$A$1:$I$89,3,0)*0.475*44/12</f>
        <v>1.4826118104273063</v>
      </c>
      <c r="CM199" s="21">
        <f>EXP(-LN(2)/2)*CM198+(1-EXP(-LN(2)/2))/(LN(2)/2)*CG199*CJ199*VLOOKUP('Données projet'!$B$12,Paramètres!$A$1:$I$89,3,0)*0.475*44/12</f>
        <v>2.5397761252887711E-16</v>
      </c>
      <c r="CN199" s="22">
        <f t="shared" si="172"/>
        <v>15.570316503435269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1.2946657079737634E-13</v>
      </c>
      <c r="CV199" s="13">
        <f t="shared" si="173"/>
        <v>1.8873591890224769E-12</v>
      </c>
      <c r="CW199" s="20">
        <f t="shared" si="174"/>
        <v>3.5126381983529106E-12</v>
      </c>
      <c r="CX199" s="59">
        <f t="shared" si="196"/>
        <v>293.33333333333684</v>
      </c>
      <c r="CY199" s="59">
        <f ca="1">AVERAGE(OFFSET($CX$3,0,0,'Données projet'!$E$13+1,1))-AVERAGE(OFFSET($H$3,0,0,'Données projet'!$E$13+1,1))</f>
        <v>330.87173217110126</v>
      </c>
      <c r="CZ199" s="59">
        <f t="shared" si="208"/>
        <v>200.52697135436102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66.901638331969053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66.901638331969053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2.0572770154103635E-13</v>
      </c>
      <c r="P200" s="13">
        <f t="shared" si="203"/>
        <v>2.8416956338469711E-12</v>
      </c>
      <c r="Q200" s="20">
        <f t="shared" si="162"/>
        <v>5.3075956424674458E-12</v>
      </c>
      <c r="R200" s="59">
        <f t="shared" si="191"/>
        <v>293.3333333333386</v>
      </c>
      <c r="S200" s="59">
        <f ca="1">AVERAGE(OFFSET($R$3,0,0,'Données projet'!$E$9+1,1))-AVERAGE(OFFSET($H$3,0,0,'Données projet'!$E$9+1,1))</f>
        <v>328.8796193543036</v>
      </c>
      <c r="T200" s="59">
        <f t="shared" si="204"/>
        <v>199.43308683696642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65.140493229357233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65.140493229357233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351.77274930064431</v>
      </c>
      <c r="AO200" s="59">
        <f t="shared" si="205"/>
        <v>386.10758060007078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11.103785115902832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11.103785115902832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-1.1937117960769683E-12</v>
      </c>
      <c r="BE200" s="13">
        <f>BD200*VLOOKUP('Données projet'!$B$11,Paramètres!$A$1:$I$89,3,0)*VLOOKUP('Données projet'!$B$11,Paramètres!$A$1:$I$89,5,0)</f>
        <v>-1.1359361451468432E-12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438.62466697107681</v>
      </c>
      <c r="BJ200" s="59">
        <f t="shared" si="206"/>
        <v>241.18285512887627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-6.5028871176764376E-14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308.33000350259448</v>
      </c>
      <c r="CE200" s="59">
        <f t="shared" si="207"/>
        <v>282.64839194267171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13.811453396629485</v>
      </c>
      <c r="CL200" s="21">
        <f>EXP(-LN(2)/25)*CL199+(1-EXP(-LN(2)/25))/(LN(2)/25)*Calculateur!CG200*Calculateur!CI200*VLOOKUP('Données projet'!$B$12,Paramètres!$A$1:$I$89,3,0)*0.475*44/12</f>
        <v>1.442069712504005</v>
      </c>
      <c r="CM200" s="21">
        <f>EXP(-LN(2)/2)*CM199+(1-EXP(-LN(2)/2))/(LN(2)/2)*CG200*CJ200*VLOOKUP('Données projet'!$B$12,Paramètres!$A$1:$I$89,3,0)*0.475*44/12</f>
        <v>1.7958929208873846E-16</v>
      </c>
      <c r="CN200" s="22">
        <f t="shared" si="172"/>
        <v>15.253523109133489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1.2946657079737634E-13</v>
      </c>
      <c r="CV200" s="13">
        <f t="shared" si="173"/>
        <v>1.8873591890224769E-12</v>
      </c>
      <c r="CW200" s="20">
        <f t="shared" si="174"/>
        <v>3.5126381983529106E-12</v>
      </c>
      <c r="CX200" s="59">
        <f t="shared" si="196"/>
        <v>293.33333333333684</v>
      </c>
      <c r="CY200" s="59">
        <f ca="1">AVERAGE(OFFSET($CX$3,0,0,'Données projet'!$E$13+1,1))-AVERAGE(OFFSET($H$3,0,0,'Données projet'!$E$13+1,1))</f>
        <v>330.87173217110126</v>
      </c>
      <c r="CZ200" s="59">
        <f t="shared" si="208"/>
        <v>200.52697135436102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65.589738010249263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65.589738010249263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2.0572770154103635E-13</v>
      </c>
      <c r="P201" s="13">
        <f t="shared" si="203"/>
        <v>2.8416956338469711E-12</v>
      </c>
      <c r="Q201" s="20">
        <f t="shared" si="162"/>
        <v>5.3075956424674458E-12</v>
      </c>
      <c r="R201" s="59">
        <f t="shared" si="191"/>
        <v>293.3333333333386</v>
      </c>
      <c r="S201" s="59">
        <f ca="1">AVERAGE(OFFSET($R$3,0,0,'Données projet'!$E$9+1,1))-AVERAGE(OFFSET($H$3,0,0,'Données projet'!$E$9+1,1))</f>
        <v>328.8796193543036</v>
      </c>
      <c r="T201" s="59">
        <f t="shared" si="204"/>
        <v>199.43308683696642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63.863127888907222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63.863127888907222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351.77274930064431</v>
      </c>
      <c r="AO201" s="59">
        <f t="shared" si="205"/>
        <v>386.10758060007078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10.886046662420156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10.886046662420156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-1.1937117960769683E-12</v>
      </c>
      <c r="BE201" s="13">
        <f>BD201*VLOOKUP('Données projet'!$B$11,Paramètres!$A$1:$I$89,3,0)*VLOOKUP('Données projet'!$B$11,Paramètres!$A$1:$I$89,5,0)</f>
        <v>-1.1359361451468432E-12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438.62466697107681</v>
      </c>
      <c r="BJ201" s="59">
        <f t="shared" si="206"/>
        <v>241.18285512887627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-6.5028871176764376E-14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308.33000350259448</v>
      </c>
      <c r="CE201" s="59">
        <f t="shared" si="207"/>
        <v>282.64839194267171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13.540619219676337</v>
      </c>
      <c r="CL201" s="21">
        <f>EXP(-LN(2)/25)*CL200+(1-EXP(-LN(2)/25))/(LN(2)/25)*Calculateur!CG201*Calculateur!CI201*VLOOKUP('Données projet'!$B$12,Paramètres!$A$1:$I$89,3,0)*0.475*44/12</f>
        <v>1.4026362403804327</v>
      </c>
      <c r="CM201" s="21">
        <f>EXP(-LN(2)/2)*CM200+(1-EXP(-LN(2)/2))/(LN(2)/2)*CG201*CJ201*VLOOKUP('Données projet'!$B$12,Paramètres!$A$1:$I$89,3,0)*0.475*44/12</f>
        <v>1.2698880626443856E-16</v>
      </c>
      <c r="CN201" s="22">
        <f t="shared" si="172"/>
        <v>14.94325546005677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1.2946657079737634E-13</v>
      </c>
      <c r="CV201" s="13">
        <f t="shared" si="173"/>
        <v>1.8873591890224769E-12</v>
      </c>
      <c r="CW201" s="20">
        <f t="shared" si="174"/>
        <v>3.5126381983529106E-12</v>
      </c>
      <c r="CX201" s="59">
        <f t="shared" si="196"/>
        <v>293.33333333333684</v>
      </c>
      <c r="CY201" s="59">
        <f ca="1">AVERAGE(OFFSET($CX$3,0,0,'Données projet'!$E$13+1,1))-AVERAGE(OFFSET($H$3,0,0,'Données projet'!$E$13+1,1))</f>
        <v>330.87173217110126</v>
      </c>
      <c r="CZ201" s="59">
        <f t="shared" si="208"/>
        <v>200.52697135436102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64.303563253658211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64.303563253658211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2.0572770154103635E-13</v>
      </c>
      <c r="P202" s="13">
        <f t="shared" si="203"/>
        <v>2.8416956338469711E-12</v>
      </c>
      <c r="Q202" s="20">
        <f t="shared" si="162"/>
        <v>5.3075956424674458E-12</v>
      </c>
      <c r="R202" s="59">
        <f t="shared" si="191"/>
        <v>293.3333333333386</v>
      </c>
      <c r="S202" s="59">
        <f ca="1">AVERAGE(OFFSET($R$3,0,0,'Données projet'!$E$9+1,1))-AVERAGE(OFFSET($H$3,0,0,'Données projet'!$E$9+1,1))</f>
        <v>328.8796193543036</v>
      </c>
      <c r="T202" s="59">
        <f t="shared" si="204"/>
        <v>199.43308683696642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62.610810903667506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62.610810903667506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351.77274930064431</v>
      </c>
      <c r="AO202" s="59">
        <f t="shared" si="205"/>
        <v>386.10758060007078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10.672577927202932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10.672577927202932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-1.1937117960769683E-12</v>
      </c>
      <c r="BE202" s="13">
        <f>BD202*VLOOKUP('Données projet'!$B$11,Paramètres!$A$1:$I$89,3,0)*VLOOKUP('Données projet'!$B$11,Paramètres!$A$1:$I$89,5,0)</f>
        <v>-1.1359361451468432E-12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438.62466697107681</v>
      </c>
      <c r="BJ202" s="59">
        <f t="shared" si="206"/>
        <v>241.18285512887627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-6.5028871176764376E-14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308.33000350259448</v>
      </c>
      <c r="CE202" s="59">
        <f t="shared" si="207"/>
        <v>282.64839194267171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13.275095935740703</v>
      </c>
      <c r="CL202" s="21">
        <f>EXP(-LN(2)/25)*CL201+(1-EXP(-LN(2)/25))/(LN(2)/25)*Calculateur!CG202*Calculateur!CI202*VLOOKUP('Données projet'!$B$12,Paramètres!$A$1:$I$89,3,0)*0.475*44/12</f>
        <v>1.3642810786257957</v>
      </c>
      <c r="CM202" s="21">
        <f>EXP(-LN(2)/2)*CM201+(1-EXP(-LN(2)/2))/(LN(2)/2)*CG202*CJ202*VLOOKUP('Données projet'!$B$12,Paramètres!$A$1:$I$89,3,0)*0.475*44/12</f>
        <v>8.9794646044369232E-17</v>
      </c>
      <c r="CN202" s="22">
        <f t="shared" si="172"/>
        <v>14.639377014366499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1.2946657079737634E-13</v>
      </c>
      <c r="CV202" s="13">
        <f t="shared" si="173"/>
        <v>1.8873591890224769E-12</v>
      </c>
      <c r="CW202" s="20">
        <f t="shared" si="174"/>
        <v>3.5126381983529106E-12</v>
      </c>
      <c r="CX202" s="59">
        <f t="shared" si="196"/>
        <v>293.33333333333684</v>
      </c>
      <c r="CY202" s="59">
        <f ca="1">AVERAGE(OFFSET($CX$3,0,0,'Données projet'!$E$13+1,1))-AVERAGE(OFFSET($H$3,0,0,'Données projet'!$E$13+1,1))</f>
        <v>330.87173217110126</v>
      </c>
      <c r="CZ202" s="59">
        <f t="shared" si="208"/>
        <v>200.52697135436102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63.04260959955478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63.04260959955478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2.0572770154103635E-13</v>
      </c>
      <c r="P203" s="13">
        <f t="shared" si="203"/>
        <v>2.8416956338469711E-12</v>
      </c>
      <c r="Q203" s="20">
        <f t="shared" si="162"/>
        <v>5.3075956424674458E-12</v>
      </c>
      <c r="R203" s="59">
        <f t="shared" si="191"/>
        <v>293.3333333333386</v>
      </c>
      <c r="S203" s="59">
        <f ca="1">AVERAGE(OFFSET($R$3,0,0,'Données projet'!$E$9+1,1))-AVERAGE(OFFSET($H$3,0,0,'Données projet'!$E$9+1,1))</f>
        <v>328.8796193543036</v>
      </c>
      <c r="T203" s="59">
        <f t="shared" si="204"/>
        <v>199.43308683696642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61.383051090670406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61.383051090670406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351.77274930064431</v>
      </c>
      <c r="AO203" s="59">
        <f t="shared" si="205"/>
        <v>386.10758060007078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10.463295183680245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10.463295183680245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-1.1937117960769683E-12</v>
      </c>
      <c r="BE203" s="13">
        <f>BD203*VLOOKUP('Données projet'!$B$11,Paramètres!$A$1:$I$89,3,0)*VLOOKUP('Données projet'!$B$11,Paramètres!$A$1:$I$89,5,0)</f>
        <v>-1.1359361451468432E-12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438.62466697107681</v>
      </c>
      <c r="BJ203" s="59">
        <f t="shared" si="206"/>
        <v>241.18285512887627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-6.5028871176764376E-14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308.33000350259448</v>
      </c>
      <c r="CE203" s="59">
        <f t="shared" si="207"/>
        <v>282.64839194267171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13.014779401449836</v>
      </c>
      <c r="CL203" s="21">
        <f>EXP(-LN(2)/25)*CL202+(1-EXP(-LN(2)/25))/(LN(2)/25)*Calculateur!CG203*Calculateur!CI203*VLOOKUP('Données projet'!$B$12,Paramètres!$A$1:$I$89,3,0)*0.475*44/12</f>
        <v>1.3269747407863495</v>
      </c>
      <c r="CM203" s="21">
        <f>EXP(-LN(2)/2)*CM202+(1-EXP(-LN(2)/2))/(LN(2)/2)*CG203*CJ203*VLOOKUP('Données projet'!$B$12,Paramètres!$A$1:$I$89,3,0)*0.475*44/12</f>
        <v>6.3494403132219279E-17</v>
      </c>
      <c r="CN203" s="22">
        <f t="shared" si="172"/>
        <v>14.341754142236185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1.2946657079737634E-13</v>
      </c>
      <c r="CV203" s="13">
        <f t="shared" si="173"/>
        <v>1.8873591890224769E-12</v>
      </c>
      <c r="CW203" s="20">
        <f t="shared" si="174"/>
        <v>3.5126381983529106E-12</v>
      </c>
      <c r="CX203" s="59">
        <f t="shared" si="196"/>
        <v>293.33333333333684</v>
      </c>
      <c r="CY203" s="59">
        <f ca="1">AVERAGE(OFFSET($CX$3,0,0,'Données projet'!$E$13+1,1))-AVERAGE(OFFSET($H$3,0,0,'Données projet'!$E$13+1,1))</f>
        <v>330.87173217110126</v>
      </c>
      <c r="CZ203" s="59">
        <f t="shared" si="208"/>
        <v>200.52697135436102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61.806382477502524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61.806382477502524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1.1191358811422176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1.3590468710106116</v>
      </c>
      <c r="BA205" s="82">
        <f>EXP(LN('Données projet'!B88)/'Données projet'!A88)</f>
        <v>1.1852335095914694</v>
      </c>
      <c r="BV205" s="82">
        <f>EXP(LN('Données projet'!B114)/'Données projet'!A114)</f>
        <v>1.2355839005057505</v>
      </c>
      <c r="CQ205" s="82">
        <f>EXP(LN('Données projet'!B140)/'Données projet'!A140)</f>
        <v>1.1132057446377015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12.0721326</v>
      </c>
      <c r="C6" s="147">
        <f ca="1">IF(OR('Données projet'!B9="",'Données projet'!C9="",'Données projet'!C9=0%),0,Calculateur!S3)</f>
        <v>328.8796193543036</v>
      </c>
      <c r="D6" s="147">
        <f>IF(OR('Données projet'!B9="",'Données projet'!C9="",'Données projet'!C9=0%),0,Calculateur!T3)</f>
        <v>199.43308683696642</v>
      </c>
      <c r="E6" s="147">
        <f ca="1">MIN(C6,D6)</f>
        <v>199.43308683696642</v>
      </c>
      <c r="F6" s="147">
        <f ca="1">E6*B6</f>
        <v>2407.5826691231732</v>
      </c>
      <c r="G6" s="147">
        <f ca="1">F6*(100%-'Données projet'!$C$24)*(100%-'Données projet'!$C$25)*(100%-'Données projet'!$C$26)*(100%-'Données projet'!$C$27)</f>
        <v>2166.8244022108561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2166.8244022108561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Merisier</v>
      </c>
      <c r="B7" s="154">
        <f>'Données projet'!D10</f>
        <v>5.0059879999999994</v>
      </c>
      <c r="C7" s="147">
        <f ca="1">IF(OR('Données projet'!B10="",'Données projet'!C10="",'Données projet'!C10=0%),0,Calculateur!AN3)</f>
        <v>351.77274930064431</v>
      </c>
      <c r="D7" s="147">
        <f>IF(OR('Données projet'!B10="",'Données projet'!C10="",'Données projet'!C10=0%),0,Calculateur!AO3)</f>
        <v>386.10758060007078</v>
      </c>
      <c r="E7" s="147">
        <f t="shared" ref="E7:E15" ca="1" si="0">MIN(C7,D7)</f>
        <v>351.77274930064431</v>
      </c>
      <c r="F7" s="147">
        <f t="shared" ref="F7:F15" ca="1" si="1">E7*B7</f>
        <v>1760.9701617260337</v>
      </c>
      <c r="G7" s="147">
        <f ca="1">F7*(100%-'Données projet'!$C$24)*(100%-'Données projet'!$C$25)*(100%-'Données projet'!$C$26)*(100%-'Données projet'!$C$27)</f>
        <v>1584.8731455534303</v>
      </c>
      <c r="H7" s="155">
        <f>IF(OR('Données projet'!B10="",'Données projet'!C10="",'Données projet'!C10=0%),0,AVERAGE(Calculateur!$AX$3:$AX$33)*B7)</f>
        <v>6.9557753942416198</v>
      </c>
      <c r="I7" s="149">
        <f>H7*(100%-'Données projet'!$C$24)*(100%-'Données projet'!$C$25)*(100%-'Données projet'!$C$26)*(100%-'Données projet'!$C$27)</f>
        <v>6.2601978548174584</v>
      </c>
      <c r="J7" s="150">
        <f>IF(OR('Données projet'!B10="",'Données projet'!C10="",'Données projet'!C10=0%),0,SUM(Calculateur!$AQ$3:$AQ$33)*VLOOKUP('Données projet'!$B$10,Paramètres!$A$1:$I$89,9,0)*B7)</f>
        <v>61.383049406899993</v>
      </c>
      <c r="K7" s="151">
        <f>J7*(100%-'Données projet'!$C$24)*(100%-'Données projet'!$C$25)*(100%-'Données projet'!$C$26)*(100%-'Données projet'!$C$27)</f>
        <v>55.244744466209994</v>
      </c>
      <c r="L7" s="152">
        <f t="shared" ref="L7:L15" ca="1" si="2">G7+I7+K7</f>
        <v>1646.3780878744578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Charme</v>
      </c>
      <c r="B8" s="154">
        <f>'Données projet'!D11</f>
        <v>0.66618147999999988</v>
      </c>
      <c r="C8" s="147">
        <f ca="1">IF(OR('Données projet'!B11="",'Données projet'!C11="",'Données projet'!C11=0%),0,Calculateur!BI3)</f>
        <v>438.62466697107681</v>
      </c>
      <c r="D8" s="147">
        <f>IF(OR('Données projet'!B11="",'Données projet'!C11="",'Données projet'!C11=0%),0,Calculateur!BJ3)</f>
        <v>241.18285512887627</v>
      </c>
      <c r="E8" s="147">
        <f t="shared" ca="1" si="0"/>
        <v>241.18285512887627</v>
      </c>
      <c r="F8" s="147">
        <f t="shared" ca="1" si="1"/>
        <v>160.67155138038035</v>
      </c>
      <c r="G8" s="147">
        <f ca="1">F8*(100%-'Données projet'!$C$24)*(100%-'Données projet'!$C$25)*(100%-'Données projet'!$C$26)*(100%-'Données projet'!$C$27)</f>
        <v>144.60439624234232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4.8298157299999991</v>
      </c>
      <c r="K8" s="151">
        <f>J8*(100%-'Données projet'!$C$24)*(100%-'Données projet'!$C$25)*(100%-'Données projet'!$C$26)*(100%-'Données projet'!$C$27)</f>
        <v>4.3468341569999991</v>
      </c>
      <c r="L8" s="152">
        <f t="shared" ca="1" si="2"/>
        <v>148.95123039934231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sylvestre</v>
      </c>
      <c r="B9" s="154">
        <f>'Données projet'!D12</f>
        <v>1.0801381799999998</v>
      </c>
      <c r="C9" s="147">
        <f ca="1">IF(OR('Données projet'!B12="",'Données projet'!C12="",'Données projet'!C12=0%),0,Calculateur!CD3)</f>
        <v>308.33000350259448</v>
      </c>
      <c r="D9" s="147">
        <f>IF(OR('Données projet'!B12="",'Données projet'!C12="",'Données projet'!C12=0%),0,Calculateur!CE3)</f>
        <v>282.64839194267171</v>
      </c>
      <c r="E9" s="147">
        <f t="shared" ca="1" si="0"/>
        <v>282.64839194267171</v>
      </c>
      <c r="F9" s="147">
        <f t="shared" ca="1" si="1"/>
        <v>305.29931965288404</v>
      </c>
      <c r="G9" s="147">
        <f ca="1">F9*(100%-'Données projet'!$C$24)*(100%-'Données projet'!$C$25)*(100%-'Données projet'!$C$26)*(100%-'Données projet'!$C$27)</f>
        <v>274.76938768759567</v>
      </c>
      <c r="H9" s="155">
        <f>IF(OR('Données projet'!B12="",'Données projet'!C12="",'Données projet'!C12=0%),0,AVERAGE(Calculateur!$CN$3:$CN$33)*B9)</f>
        <v>5.0243963498789839</v>
      </c>
      <c r="I9" s="149">
        <f>H9*(100%-'Données projet'!$C$24)*(100%-'Données projet'!$C$25)*(100%-'Données projet'!$C$26)*(100%-'Données projet'!$C$27)</f>
        <v>4.5219567148910853</v>
      </c>
      <c r="J9" s="150">
        <f>IF(OR('Données projet'!B12="",'Données projet'!C12="",'Données projet'!C12=0%),0,SUM(Calculateur!$CG$3:$CG$33)*VLOOKUP('Données projet'!$B$12,Paramètres!$A$1:$I$89,9,0)*B9)</f>
        <v>49.232698244399991</v>
      </c>
      <c r="K9" s="151">
        <f>J9*(100%-'Données projet'!$C$24)*(100%-'Données projet'!$C$25)*(100%-'Données projet'!$C$26)*(100%-'Données projet'!$C$27)</f>
        <v>44.309428419959993</v>
      </c>
      <c r="L9" s="152">
        <f t="shared" ca="1" si="2"/>
        <v>323.60077282244674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vert</v>
      </c>
      <c r="B10" s="154">
        <f>'Données projet'!D13</f>
        <v>0.41973283999999994</v>
      </c>
      <c r="C10" s="147">
        <f ca="1">IF(OR('Données projet'!B13="",'Données projet'!C13="",'Données projet'!C13=0%),0,Calculateur!CY3)</f>
        <v>330.87173217110126</v>
      </c>
      <c r="D10" s="147">
        <f>IF(OR('Données projet'!B13="",'Données projet'!C13="",'Données projet'!C13=0%),0,Calculateur!CZ3)</f>
        <v>200.52697135436102</v>
      </c>
      <c r="E10" s="147">
        <f t="shared" ca="1" si="0"/>
        <v>200.52697135436102</v>
      </c>
      <c r="F10" s="147">
        <f t="shared" ca="1" si="1"/>
        <v>84.167755183164587</v>
      </c>
      <c r="G10" s="147">
        <f ca="1">F10*(100%-'Données projet'!$C$24)*(100%-'Données projet'!$C$25)*(100%-'Données projet'!$C$26)*(100%-'Données projet'!$C$27)</f>
        <v>75.750979664848131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75.750979664848131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4718.6914570656354</v>
      </c>
      <c r="G16" s="166">
        <f t="shared" ca="1" si="3"/>
        <v>4246.822311359073</v>
      </c>
      <c r="H16" s="167">
        <f t="shared" si="3"/>
        <v>11.980171744120604</v>
      </c>
      <c r="I16" s="167">
        <f t="shared" si="3"/>
        <v>10.782154569708544</v>
      </c>
      <c r="J16" s="168">
        <f t="shared" si="3"/>
        <v>115.44556338129999</v>
      </c>
      <c r="K16" s="168">
        <f t="shared" si="3"/>
        <v>103.90100704316998</v>
      </c>
      <c r="L16" s="169">
        <f t="shared" ca="1" si="3"/>
        <v>4361.5054729719513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Merisier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sylvestre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80" zoomScaleNormal="80" workbookViewId="0">
      <selection activeCell="I26" sqref="I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-3174.0102869956017</v>
      </c>
      <c r="U10" s="178">
        <f>'Données projet'!D9</f>
        <v>12.0721326</v>
      </c>
      <c r="V10" s="177">
        <f>U10*T10</f>
        <v>-38317.073058374961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Merisier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-1208.3212663123932</v>
      </c>
      <c r="U11" s="178">
        <f>'Données projet'!D10</f>
        <v>5.0059879999999994</v>
      </c>
      <c r="V11" s="177">
        <f t="shared" ref="V11" si="0">U11*T11</f>
        <v>-6048.8417593046433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-2030.1902210742094</v>
      </c>
      <c r="U12" s="178">
        <f>'Données projet'!D11</f>
        <v>0.66618147999999988</v>
      </c>
      <c r="V12" s="177">
        <f t="shared" ref="V12:V19" si="1">U12*T12</f>
        <v>-1352.4751261567437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sylvestre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-736.64038966360226</v>
      </c>
      <c r="U13" s="178">
        <f>'Données projet'!D12</f>
        <v>1.0801381799999998</v>
      </c>
      <c r="V13" s="177">
        <f t="shared" si="1"/>
        <v>-795.67340980573408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-4426.8329607080095</v>
      </c>
      <c r="U14" s="178">
        <f>'Données projet'!D13</f>
        <v>0.41973283999999994</v>
      </c>
      <c r="V14" s="177">
        <f t="shared" si="1"/>
        <v>-1858.0871708035809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3764.7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2864.88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540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540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42</v>
      </c>
      <c r="B23" s="181">
        <f>'Données projet'!D36</f>
        <v>30</v>
      </c>
      <c r="C23" s="193">
        <v>20</v>
      </c>
      <c r="D23" s="182">
        <f>B23*C23</f>
        <v>600</v>
      </c>
      <c r="E23" s="193">
        <v>150</v>
      </c>
      <c r="F23" s="230"/>
      <c r="H23" s="190">
        <v>3</v>
      </c>
      <c r="I23" s="191">
        <v>864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-156535.22380848497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48</v>
      </c>
      <c r="B24" s="181">
        <f>'Données projet'!D37</f>
        <v>28</v>
      </c>
      <c r="C24" s="193">
        <v>20</v>
      </c>
      <c r="D24" s="182">
        <f t="shared" ref="D24:D42" si="2">B24*C24</f>
        <v>560</v>
      </c>
      <c r="E24" s="193">
        <v>150</v>
      </c>
      <c r="F24" s="233"/>
      <c r="H24" s="190">
        <v>4</v>
      </c>
      <c r="I24" s="191">
        <v>864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56</v>
      </c>
      <c r="B25" s="181">
        <f>'Données projet'!D38</f>
        <v>36</v>
      </c>
      <c r="C25" s="193">
        <v>25</v>
      </c>
      <c r="D25" s="182">
        <f t="shared" si="2"/>
        <v>900</v>
      </c>
      <c r="E25" s="193">
        <v>150</v>
      </c>
      <c r="F25" s="233"/>
      <c r="H25" s="190">
        <v>5</v>
      </c>
      <c r="I25" s="191">
        <v>324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-156535.22380848497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64</v>
      </c>
      <c r="B26" s="181">
        <f>'Données projet'!D39</f>
        <v>41</v>
      </c>
      <c r="C26" s="193">
        <v>30</v>
      </c>
      <c r="D26" s="182">
        <f t="shared" si="2"/>
        <v>1230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72</v>
      </c>
      <c r="B27" s="181">
        <f>'Données projet'!D40</f>
        <v>32</v>
      </c>
      <c r="C27" s="193">
        <v>35</v>
      </c>
      <c r="D27" s="182">
        <f t="shared" si="2"/>
        <v>1120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81</v>
      </c>
      <c r="B28" s="181">
        <f>'Données projet'!D41</f>
        <v>31</v>
      </c>
      <c r="C28" s="193">
        <v>50</v>
      </c>
      <c r="D28" s="182">
        <f t="shared" si="2"/>
        <v>1550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90</v>
      </c>
      <c r="B29" s="181">
        <f>'Données projet'!D42</f>
        <v>30</v>
      </c>
      <c r="C29" s="193">
        <v>100</v>
      </c>
      <c r="D29" s="182">
        <f t="shared" si="2"/>
        <v>3000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102</v>
      </c>
      <c r="B30" s="181">
        <f>'Données projet'!D43</f>
        <v>41</v>
      </c>
      <c r="C30" s="193">
        <v>100</v>
      </c>
      <c r="D30" s="182">
        <f t="shared" si="2"/>
        <v>4100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114</v>
      </c>
      <c r="B31" s="181">
        <f>'Données projet'!D44</f>
        <v>37</v>
      </c>
      <c r="C31" s="193">
        <v>150</v>
      </c>
      <c r="D31" s="182">
        <f t="shared" si="2"/>
        <v>5550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126</v>
      </c>
      <c r="B32" s="181">
        <f>'Données projet'!D45</f>
        <v>38</v>
      </c>
      <c r="C32" s="193">
        <v>150</v>
      </c>
      <c r="D32" s="182">
        <f t="shared" si="2"/>
        <v>5700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138</v>
      </c>
      <c r="B33" s="181">
        <f>'Données projet'!D46</f>
        <v>39</v>
      </c>
      <c r="C33" s="193">
        <v>200</v>
      </c>
      <c r="D33" s="182">
        <f t="shared" si="2"/>
        <v>7800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153</v>
      </c>
      <c r="B34" s="181">
        <f>'Données projet'!D47</f>
        <v>296</v>
      </c>
      <c r="C34" s="193">
        <v>250</v>
      </c>
      <c r="D34" s="182">
        <f t="shared" si="2"/>
        <v>74000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Merisier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4429.3500000000004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15</v>
      </c>
      <c r="B54" s="181">
        <f>'Données projet'!D62</f>
        <v>20</v>
      </c>
      <c r="C54" s="191">
        <v>20</v>
      </c>
      <c r="D54" s="179">
        <f>B54*C54</f>
        <v>400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29.047699999999999</v>
      </c>
      <c r="C55" s="191">
        <v>25</v>
      </c>
      <c r="D55" s="179">
        <f t="shared" ref="D55:D73" si="4">B55*C55</f>
        <v>726.1925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35</v>
      </c>
      <c r="B56" s="181">
        <f>'Données projet'!D64</f>
        <v>44.097616666666674</v>
      </c>
      <c r="C56" s="191">
        <v>30</v>
      </c>
      <c r="D56" s="179">
        <f t="shared" si="4"/>
        <v>1322.9285000000002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45</v>
      </c>
      <c r="B57" s="181">
        <f>'Données projet'!D65</f>
        <v>60.759213888888908</v>
      </c>
      <c r="C57" s="191">
        <v>45</v>
      </c>
      <c r="D57" s="179">
        <f t="shared" si="4"/>
        <v>2734.1646250000008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55</v>
      </c>
      <c r="B58" s="181">
        <f>'Données projet'!D66</f>
        <v>468.51506944444446</v>
      </c>
      <c r="C58" s="191">
        <v>60</v>
      </c>
      <c r="D58" s="179">
        <f t="shared" si="4"/>
        <v>28110.904166666667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3138.03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25</v>
      </c>
      <c r="B85" s="181">
        <f>'Données projet'!D88</f>
        <v>8</v>
      </c>
      <c r="C85" s="191">
        <v>15</v>
      </c>
      <c r="D85" s="179">
        <f>B85*C85</f>
        <v>120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21</v>
      </c>
      <c r="C86" s="191">
        <v>25</v>
      </c>
      <c r="D86" s="179">
        <f t="shared" ref="D86:D104" si="6">B86*C86</f>
        <v>525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35</v>
      </c>
      <c r="B87" s="181">
        <f>'Données projet'!D90</f>
        <v>21</v>
      </c>
      <c r="C87" s="191">
        <v>30</v>
      </c>
      <c r="D87" s="179">
        <f t="shared" si="6"/>
        <v>630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21</v>
      </c>
      <c r="C88" s="191">
        <v>45</v>
      </c>
      <c r="D88" s="179">
        <f t="shared" si="6"/>
        <v>945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45</v>
      </c>
      <c r="B89" s="181">
        <f>'Données projet'!D92</f>
        <v>21</v>
      </c>
      <c r="C89" s="191">
        <v>60</v>
      </c>
      <c r="D89" s="179">
        <f t="shared" si="6"/>
        <v>1260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str">
        <f>IF(O88+1&lt;=MIN('Données projet'!$E$9:$E$18),O88+1,"STOP")</f>
        <v>STOP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50</v>
      </c>
      <c r="B90" s="181">
        <f>'Données projet'!D93</f>
        <v>21</v>
      </c>
      <c r="C90" s="191">
        <v>60</v>
      </c>
      <c r="D90" s="179">
        <f t="shared" si="6"/>
        <v>1260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55</v>
      </c>
      <c r="B91" s="181">
        <f>'Données projet'!D94</f>
        <v>21</v>
      </c>
      <c r="C91" s="191">
        <v>60</v>
      </c>
      <c r="D91" s="179">
        <f t="shared" si="6"/>
        <v>1260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60</v>
      </c>
      <c r="B92" s="181">
        <f>'Données projet'!D95</f>
        <v>21</v>
      </c>
      <c r="C92" s="191">
        <v>60</v>
      </c>
      <c r="D92" s="179">
        <f t="shared" si="6"/>
        <v>1260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65</v>
      </c>
      <c r="B93" s="181">
        <f>'Données projet'!D96</f>
        <v>21</v>
      </c>
      <c r="C93" s="191">
        <v>60</v>
      </c>
      <c r="D93" s="179">
        <f t="shared" si="6"/>
        <v>1260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70</v>
      </c>
      <c r="B94" s="181">
        <f>'Données projet'!D97</f>
        <v>21</v>
      </c>
      <c r="C94" s="191">
        <v>60</v>
      </c>
      <c r="D94" s="179">
        <f t="shared" si="6"/>
        <v>1260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75</v>
      </c>
      <c r="B95" s="181">
        <f>'Données projet'!D98</f>
        <v>21</v>
      </c>
      <c r="C95" s="191">
        <v>60</v>
      </c>
      <c r="D95" s="179">
        <f t="shared" si="6"/>
        <v>1260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80</v>
      </c>
      <c r="B96" s="181">
        <f>'Données projet'!D99</f>
        <v>21</v>
      </c>
      <c r="C96" s="191">
        <v>60</v>
      </c>
      <c r="D96" s="179">
        <f t="shared" si="6"/>
        <v>1260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85</v>
      </c>
      <c r="B97" s="181">
        <f>'Données projet'!D100</f>
        <v>21</v>
      </c>
      <c r="C97" s="191">
        <v>60</v>
      </c>
      <c r="D97" s="179">
        <f t="shared" si="6"/>
        <v>1260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90</v>
      </c>
      <c r="B98" s="181">
        <f>'Données projet'!D101</f>
        <v>21</v>
      </c>
      <c r="C98" s="191">
        <v>60</v>
      </c>
      <c r="D98" s="179">
        <f t="shared" si="6"/>
        <v>1260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100</v>
      </c>
      <c r="B99" s="181">
        <f>'Données projet'!D102</f>
        <v>42</v>
      </c>
      <c r="C99" s="191">
        <v>60</v>
      </c>
      <c r="D99" s="179">
        <f t="shared" si="6"/>
        <v>2520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110</v>
      </c>
      <c r="B100" s="181">
        <f>'Données projet'!D103</f>
        <v>39</v>
      </c>
      <c r="C100" s="191">
        <v>60</v>
      </c>
      <c r="D100" s="179">
        <f t="shared" si="6"/>
        <v>2340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120</v>
      </c>
      <c r="B101" s="181">
        <f>'Données projet'!D104</f>
        <v>35</v>
      </c>
      <c r="C101" s="191">
        <v>60</v>
      </c>
      <c r="D101" s="179">
        <f t="shared" si="6"/>
        <v>2100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130</v>
      </c>
      <c r="B102" s="181">
        <f>'Données projet'!D105</f>
        <v>31</v>
      </c>
      <c r="C102" s="191">
        <v>60</v>
      </c>
      <c r="D102" s="179">
        <f t="shared" si="6"/>
        <v>1860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140</v>
      </c>
      <c r="B103" s="181">
        <f>'Données projet'!D106</f>
        <v>27</v>
      </c>
      <c r="C103" s="191">
        <v>60</v>
      </c>
      <c r="D103" s="179">
        <f t="shared" si="6"/>
        <v>1620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150</v>
      </c>
      <c r="B104" s="181">
        <f>'Données projet'!D107</f>
        <v>293</v>
      </c>
      <c r="C104" s="191">
        <v>60</v>
      </c>
      <c r="D104" s="179">
        <f t="shared" si="6"/>
        <v>17580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sylvestre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2431.3200000000002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22</v>
      </c>
      <c r="B116" s="181">
        <f>'Données projet'!D114</f>
        <v>21</v>
      </c>
      <c r="C116" s="191">
        <v>15</v>
      </c>
      <c r="D116" s="179">
        <f>B116*C116</f>
        <v>315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25</v>
      </c>
      <c r="B117" s="181">
        <f>'Données projet'!D115</f>
        <v>36</v>
      </c>
      <c r="C117" s="191">
        <v>15</v>
      </c>
      <c r="D117" s="179">
        <f t="shared" ref="D117:D135" si="8">B117*C117</f>
        <v>540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49</v>
      </c>
      <c r="C118" s="191">
        <v>20</v>
      </c>
      <c r="D118" s="179">
        <f t="shared" si="8"/>
        <v>980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35</v>
      </c>
      <c r="B119" s="181">
        <f>'Données projet'!D117</f>
        <v>42</v>
      </c>
      <c r="C119" s="191">
        <v>20</v>
      </c>
      <c r="D119" s="179">
        <f t="shared" si="8"/>
        <v>840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40</v>
      </c>
      <c r="B120" s="181">
        <f>'Données projet'!D118</f>
        <v>38</v>
      </c>
      <c r="C120" s="191">
        <v>25</v>
      </c>
      <c r="D120" s="179">
        <f t="shared" si="8"/>
        <v>950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45</v>
      </c>
      <c r="B121" s="181">
        <f>'Données projet'!D119</f>
        <v>37</v>
      </c>
      <c r="C121" s="191">
        <v>25</v>
      </c>
      <c r="D121" s="179">
        <f t="shared" si="8"/>
        <v>925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50</v>
      </c>
      <c r="B122" s="181">
        <f>'Données projet'!D120</f>
        <v>48</v>
      </c>
      <c r="C122" s="191">
        <v>30</v>
      </c>
      <c r="D122" s="179">
        <f t="shared" si="8"/>
        <v>1440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58</v>
      </c>
      <c r="B123" s="181">
        <f>'Données projet'!D121</f>
        <v>50</v>
      </c>
      <c r="C123" s="191">
        <v>30</v>
      </c>
      <c r="D123" s="179">
        <f t="shared" si="8"/>
        <v>1500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66</v>
      </c>
      <c r="B124" s="181">
        <f>'Données projet'!D122</f>
        <v>20</v>
      </c>
      <c r="C124" s="191">
        <v>40</v>
      </c>
      <c r="D124" s="179">
        <f t="shared" si="8"/>
        <v>800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74</v>
      </c>
      <c r="B125" s="181">
        <f>'Données projet'!D123</f>
        <v>17</v>
      </c>
      <c r="C125" s="191">
        <v>50</v>
      </c>
      <c r="D125" s="179">
        <f t="shared" si="8"/>
        <v>850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82</v>
      </c>
      <c r="B126" s="181">
        <f>'Données projet'!D124</f>
        <v>427</v>
      </c>
      <c r="C126" s="191">
        <v>50</v>
      </c>
      <c r="D126" s="179">
        <f t="shared" si="8"/>
        <v>21350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4629.68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42</v>
      </c>
      <c r="B147" s="175">
        <f>'Données projet'!D140</f>
        <v>24</v>
      </c>
      <c r="C147" s="191">
        <v>20</v>
      </c>
      <c r="D147" s="182">
        <f>B147*C147</f>
        <v>480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48</v>
      </c>
      <c r="B148" s="175">
        <f>'Données projet'!D141</f>
        <v>22.400000000000002</v>
      </c>
      <c r="C148" s="191">
        <v>20</v>
      </c>
      <c r="D148" s="182">
        <f t="shared" ref="D148:D166" si="10">B148*C148</f>
        <v>448.00000000000006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56</v>
      </c>
      <c r="B149" s="175">
        <f>'Données projet'!D142</f>
        <v>28.8</v>
      </c>
      <c r="C149" s="191">
        <v>20</v>
      </c>
      <c r="D149" s="182">
        <f t="shared" si="10"/>
        <v>576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64</v>
      </c>
      <c r="B150" s="175">
        <f>'Données projet'!D143</f>
        <v>32.800000000000004</v>
      </c>
      <c r="C150" s="191">
        <v>20</v>
      </c>
      <c r="D150" s="182">
        <f t="shared" si="10"/>
        <v>656.00000000000011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72</v>
      </c>
      <c r="B151" s="175">
        <f>'Données projet'!D144</f>
        <v>25.6</v>
      </c>
      <c r="C151" s="191">
        <v>20</v>
      </c>
      <c r="D151" s="182">
        <f t="shared" si="10"/>
        <v>512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81</v>
      </c>
      <c r="B152" s="175">
        <f>'Données projet'!D145</f>
        <v>24.8</v>
      </c>
      <c r="C152" s="191">
        <v>20</v>
      </c>
      <c r="D152" s="182">
        <f t="shared" si="10"/>
        <v>496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90</v>
      </c>
      <c r="B153" s="175">
        <f>'Données projet'!D146</f>
        <v>24</v>
      </c>
      <c r="C153" s="191">
        <v>20</v>
      </c>
      <c r="D153" s="182">
        <f t="shared" si="10"/>
        <v>480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102</v>
      </c>
      <c r="B154" s="175">
        <f>'Données projet'!D147</f>
        <v>32.800000000000004</v>
      </c>
      <c r="C154" s="191">
        <v>20</v>
      </c>
      <c r="D154" s="182">
        <f t="shared" si="10"/>
        <v>656.00000000000011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114</v>
      </c>
      <c r="B155" s="175">
        <f>'Données projet'!D148</f>
        <v>29.6</v>
      </c>
      <c r="C155" s="191">
        <v>20</v>
      </c>
      <c r="D155" s="182">
        <f t="shared" si="10"/>
        <v>592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126</v>
      </c>
      <c r="B156" s="175">
        <f>'Données projet'!D149</f>
        <v>30.400000000000002</v>
      </c>
      <c r="C156" s="191">
        <v>20</v>
      </c>
      <c r="D156" s="182">
        <f t="shared" si="10"/>
        <v>608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138</v>
      </c>
      <c r="B157" s="175">
        <f>'Données projet'!D150</f>
        <v>31.200000000000003</v>
      </c>
      <c r="C157" s="191">
        <v>20</v>
      </c>
      <c r="D157" s="182">
        <f t="shared" si="10"/>
        <v>624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153</v>
      </c>
      <c r="B158" s="175">
        <f>'Données projet'!D151</f>
        <v>236.8</v>
      </c>
      <c r="C158" s="191">
        <v>20</v>
      </c>
      <c r="D158" s="182">
        <f t="shared" si="10"/>
        <v>4736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CEC0-9874-4EB7-B0F3-C77CD531C3A0}">
  <dimension ref="A1:AJ68"/>
  <sheetViews>
    <sheetView workbookViewId="0">
      <selection activeCell="I10" sqref="I10"/>
    </sheetView>
  </sheetViews>
  <sheetFormatPr baseColWidth="10" defaultRowHeight="15" x14ac:dyDescent="0.25"/>
  <cols>
    <col min="1" max="1" width="11.42578125" style="304"/>
    <col min="2" max="2" width="16.42578125" style="304" bestFit="1" customWidth="1"/>
    <col min="3" max="4" width="11.42578125" style="304"/>
    <col min="5" max="5" width="10.5703125" style="304" customWidth="1"/>
    <col min="6" max="11" width="11.42578125" style="304"/>
    <col min="12" max="12" width="16.42578125" style="304" bestFit="1" customWidth="1"/>
    <col min="13" max="26" width="11.42578125" style="304"/>
    <col min="27" max="27" width="26.28515625" style="304" customWidth="1"/>
    <col min="28" max="16384" width="11.42578125" style="304"/>
  </cols>
  <sheetData>
    <row r="1" spans="1:36" ht="23.25" x14ac:dyDescent="0.35">
      <c r="A1" s="339" t="s">
        <v>340</v>
      </c>
      <c r="B1" s="339"/>
      <c r="C1" s="339"/>
      <c r="D1" s="339"/>
      <c r="E1" s="339"/>
      <c r="F1" s="339"/>
      <c r="G1" s="339"/>
      <c r="H1" s="339"/>
      <c r="J1" s="339" t="s">
        <v>339</v>
      </c>
      <c r="K1" s="339"/>
      <c r="L1" s="339"/>
      <c r="M1" s="339"/>
      <c r="N1" s="339"/>
      <c r="O1" s="339"/>
      <c r="P1" s="339"/>
      <c r="Q1" s="339"/>
      <c r="R1" s="339"/>
      <c r="T1" s="339" t="s">
        <v>338</v>
      </c>
      <c r="U1" s="339"/>
      <c r="V1" s="339"/>
      <c r="W1" s="339"/>
      <c r="X1" s="339"/>
      <c r="Y1" s="339"/>
      <c r="Z1" s="339"/>
      <c r="AA1" s="339"/>
      <c r="AC1" s="339" t="s">
        <v>337</v>
      </c>
      <c r="AD1" s="339"/>
      <c r="AE1" s="339"/>
      <c r="AF1" s="339"/>
      <c r="AG1" s="339"/>
      <c r="AH1" s="339"/>
      <c r="AI1" s="339"/>
      <c r="AJ1" s="339"/>
    </row>
    <row r="2" spans="1:36" x14ac:dyDescent="0.25">
      <c r="T2" s="338" t="s">
        <v>336</v>
      </c>
      <c r="AC2" s="338" t="s">
        <v>335</v>
      </c>
    </row>
    <row r="3" spans="1:36" ht="16.5" x14ac:dyDescent="0.25">
      <c r="A3" s="336" t="s">
        <v>332</v>
      </c>
      <c r="B3" s="336"/>
      <c r="C3" s="336"/>
      <c r="D3" s="336"/>
      <c r="E3" s="336"/>
      <c r="F3" s="336"/>
      <c r="G3" s="336"/>
      <c r="H3" s="336"/>
      <c r="J3" s="337" t="s">
        <v>334</v>
      </c>
      <c r="K3" s="337"/>
      <c r="L3" s="337"/>
      <c r="M3" s="337"/>
      <c r="N3" s="337"/>
      <c r="O3" s="337"/>
      <c r="P3" s="337"/>
      <c r="Q3" s="337"/>
      <c r="R3" s="337"/>
      <c r="T3" s="337" t="s">
        <v>333</v>
      </c>
      <c r="U3" s="337"/>
      <c r="V3" s="334"/>
      <c r="W3" s="334"/>
      <c r="X3" s="334"/>
      <c r="Z3" s="334"/>
      <c r="AA3" s="334"/>
      <c r="AC3" s="336" t="s">
        <v>332</v>
      </c>
      <c r="AD3" s="336"/>
      <c r="AE3" s="336"/>
      <c r="AF3" s="336"/>
      <c r="AG3" s="336"/>
      <c r="AH3" s="336"/>
      <c r="AI3" s="336"/>
      <c r="AJ3" s="336"/>
    </row>
    <row r="4" spans="1:36" ht="16.5" x14ac:dyDescent="0.25">
      <c r="A4" s="333"/>
      <c r="B4" s="333"/>
      <c r="T4" s="335"/>
      <c r="U4" s="335"/>
      <c r="V4" s="334"/>
      <c r="W4" s="334"/>
      <c r="X4" s="334"/>
      <c r="Z4" s="334"/>
      <c r="AA4" s="334"/>
      <c r="AC4" s="333"/>
      <c r="AD4" s="333"/>
    </row>
    <row r="5" spans="1:36" ht="15" customHeight="1" x14ac:dyDescent="0.25">
      <c r="A5" s="304" t="s">
        <v>331</v>
      </c>
      <c r="J5" s="304" t="s">
        <v>331</v>
      </c>
      <c r="T5" s="304" t="s">
        <v>331</v>
      </c>
      <c r="AC5" s="304" t="s">
        <v>331</v>
      </c>
    </row>
    <row r="6" spans="1:36" ht="15" customHeight="1" x14ac:dyDescent="0.25">
      <c r="A6" s="317"/>
      <c r="B6" s="316" t="s">
        <v>185</v>
      </c>
      <c r="C6" s="327" t="s">
        <v>186</v>
      </c>
      <c r="D6" s="326"/>
      <c r="E6" s="325" t="s">
        <v>187</v>
      </c>
      <c r="F6" s="324"/>
      <c r="G6" s="324"/>
      <c r="H6" s="323"/>
      <c r="J6" s="317"/>
      <c r="K6" s="317"/>
      <c r="L6" s="316" t="s">
        <v>185</v>
      </c>
      <c r="M6" s="327" t="s">
        <v>186</v>
      </c>
      <c r="N6" s="326"/>
      <c r="O6" s="325" t="s">
        <v>187</v>
      </c>
      <c r="P6" s="324"/>
      <c r="Q6" s="324"/>
      <c r="R6" s="323"/>
      <c r="T6" s="317"/>
      <c r="U6" s="316" t="s">
        <v>185</v>
      </c>
      <c r="V6" s="315" t="s">
        <v>186</v>
      </c>
      <c r="W6" s="314"/>
      <c r="X6" s="313" t="s">
        <v>187</v>
      </c>
      <c r="Y6" s="312"/>
      <c r="Z6" s="312"/>
      <c r="AA6" s="311"/>
      <c r="AC6" s="317"/>
      <c r="AD6" s="316" t="s">
        <v>185</v>
      </c>
      <c r="AE6" s="327" t="s">
        <v>186</v>
      </c>
      <c r="AF6" s="326"/>
      <c r="AG6" s="325" t="s">
        <v>187</v>
      </c>
      <c r="AH6" s="324"/>
      <c r="AI6" s="324"/>
      <c r="AJ6" s="323"/>
    </row>
    <row r="7" spans="1:36" ht="75" x14ac:dyDescent="0.25">
      <c r="A7" s="309" t="s">
        <v>180</v>
      </c>
      <c r="B7" s="310" t="s">
        <v>325</v>
      </c>
      <c r="C7" s="310" t="s">
        <v>188</v>
      </c>
      <c r="D7" s="310" t="s">
        <v>251</v>
      </c>
      <c r="E7" s="309" t="s">
        <v>183</v>
      </c>
      <c r="F7" s="309" t="s">
        <v>181</v>
      </c>
      <c r="G7" s="309" t="s">
        <v>184</v>
      </c>
      <c r="H7" s="309" t="s">
        <v>182</v>
      </c>
      <c r="J7" s="309" t="s">
        <v>180</v>
      </c>
      <c r="K7" s="309"/>
      <c r="L7" s="310" t="s">
        <v>325</v>
      </c>
      <c r="M7" s="310" t="s">
        <v>188</v>
      </c>
      <c r="N7" s="310" t="s">
        <v>251</v>
      </c>
      <c r="O7" s="309" t="s">
        <v>183</v>
      </c>
      <c r="P7" s="309" t="s">
        <v>181</v>
      </c>
      <c r="Q7" s="309" t="s">
        <v>184</v>
      </c>
      <c r="R7" s="309" t="s">
        <v>182</v>
      </c>
      <c r="T7" s="309" t="s">
        <v>180</v>
      </c>
      <c r="U7" s="310" t="s">
        <v>325</v>
      </c>
      <c r="V7" s="310" t="s">
        <v>188</v>
      </c>
      <c r="W7" s="310" t="s">
        <v>251</v>
      </c>
      <c r="X7" s="309" t="s">
        <v>183</v>
      </c>
      <c r="Y7" s="309" t="s">
        <v>181</v>
      </c>
      <c r="Z7" s="309" t="s">
        <v>184</v>
      </c>
      <c r="AA7" s="309" t="s">
        <v>182</v>
      </c>
      <c r="AC7" s="309" t="s">
        <v>180</v>
      </c>
      <c r="AD7" s="310" t="s">
        <v>325</v>
      </c>
      <c r="AE7" s="310" t="s">
        <v>188</v>
      </c>
      <c r="AF7" s="310" t="s">
        <v>251</v>
      </c>
      <c r="AG7" s="309" t="s">
        <v>183</v>
      </c>
      <c r="AH7" s="309" t="s">
        <v>181</v>
      </c>
      <c r="AI7" s="309" t="s">
        <v>184</v>
      </c>
      <c r="AJ7" s="309" t="s">
        <v>182</v>
      </c>
    </row>
    <row r="8" spans="1:36" ht="15" customHeight="1" x14ac:dyDescent="0.25">
      <c r="A8" s="320">
        <v>36</v>
      </c>
      <c r="B8" s="320">
        <v>130</v>
      </c>
      <c r="C8" s="307">
        <v>1</v>
      </c>
      <c r="D8" s="307">
        <v>36</v>
      </c>
      <c r="E8" s="305">
        <v>0</v>
      </c>
      <c r="F8" s="305">
        <v>0</v>
      </c>
      <c r="G8" s="305">
        <v>0</v>
      </c>
      <c r="H8" s="305">
        <v>1</v>
      </c>
      <c r="J8" s="308">
        <v>20</v>
      </c>
      <c r="K8" s="308">
        <v>87</v>
      </c>
      <c r="L8" s="308">
        <v>100</v>
      </c>
      <c r="M8" s="329">
        <v>1</v>
      </c>
      <c r="N8" s="321">
        <v>13</v>
      </c>
      <c r="O8" s="305">
        <v>0</v>
      </c>
      <c r="P8" s="305">
        <f>0.56</f>
        <v>0.56000000000000005</v>
      </c>
      <c r="Q8" s="305">
        <f>0.44</f>
        <v>0.44</v>
      </c>
      <c r="R8" s="305">
        <v>0</v>
      </c>
      <c r="T8" s="308">
        <v>15</v>
      </c>
      <c r="U8" s="306">
        <v>113.423</v>
      </c>
      <c r="V8" s="307">
        <v>1</v>
      </c>
      <c r="W8" s="306">
        <v>20</v>
      </c>
      <c r="X8" s="305">
        <v>0</v>
      </c>
      <c r="Y8" s="305">
        <v>0</v>
      </c>
      <c r="Z8" s="305">
        <v>0</v>
      </c>
      <c r="AA8" s="305">
        <v>1</v>
      </c>
      <c r="AC8" s="320">
        <v>36</v>
      </c>
      <c r="AD8" s="320">
        <v>104</v>
      </c>
      <c r="AE8" s="307">
        <v>1</v>
      </c>
      <c r="AF8" s="307">
        <v>28.8</v>
      </c>
      <c r="AG8" s="305">
        <v>0</v>
      </c>
      <c r="AH8" s="305">
        <v>0</v>
      </c>
      <c r="AI8" s="305">
        <v>0</v>
      </c>
      <c r="AJ8" s="305">
        <v>1</v>
      </c>
    </row>
    <row r="9" spans="1:36" ht="15" customHeight="1" x14ac:dyDescent="0.25">
      <c r="A9" s="320">
        <v>42</v>
      </c>
      <c r="B9" s="320">
        <v>148</v>
      </c>
      <c r="C9" s="307">
        <v>2</v>
      </c>
      <c r="D9" s="307">
        <v>41</v>
      </c>
      <c r="E9" s="305">
        <v>0</v>
      </c>
      <c r="F9" s="305">
        <v>0</v>
      </c>
      <c r="G9" s="305">
        <v>0</v>
      </c>
      <c r="H9" s="305">
        <v>1</v>
      </c>
      <c r="J9" s="308">
        <v>25</v>
      </c>
      <c r="K9" s="308">
        <v>135</v>
      </c>
      <c r="L9" s="308">
        <v>176</v>
      </c>
      <c r="M9" s="307">
        <v>2</v>
      </c>
      <c r="N9" s="308">
        <v>41</v>
      </c>
      <c r="O9" s="305">
        <v>0</v>
      </c>
      <c r="P9" s="305">
        <f>0.56</f>
        <v>0.56000000000000005</v>
      </c>
      <c r="Q9" s="305">
        <v>0.44</v>
      </c>
      <c r="R9" s="305">
        <v>0</v>
      </c>
      <c r="T9" s="308">
        <v>25</v>
      </c>
      <c r="U9" s="306">
        <v>203.46140000000003</v>
      </c>
      <c r="V9" s="307">
        <v>2</v>
      </c>
      <c r="W9" s="306">
        <v>33.910233333333338</v>
      </c>
      <c r="X9" s="305">
        <v>0.7</v>
      </c>
      <c r="Y9" s="305">
        <v>0</v>
      </c>
      <c r="Z9" s="305">
        <v>0</v>
      </c>
      <c r="AA9" s="305">
        <v>0.3</v>
      </c>
      <c r="AC9" s="320">
        <v>42</v>
      </c>
      <c r="AD9" s="320">
        <v>118.4</v>
      </c>
      <c r="AE9" s="307">
        <v>2</v>
      </c>
      <c r="AF9" s="307">
        <v>32.800000000000004</v>
      </c>
      <c r="AG9" s="305">
        <v>0</v>
      </c>
      <c r="AH9" s="305">
        <v>0</v>
      </c>
      <c r="AI9" s="305">
        <v>0</v>
      </c>
      <c r="AJ9" s="305">
        <v>1</v>
      </c>
    </row>
    <row r="10" spans="1:36" x14ac:dyDescent="0.25">
      <c r="A10" s="320">
        <v>48</v>
      </c>
      <c r="B10" s="320">
        <v>157</v>
      </c>
      <c r="C10" s="307">
        <v>3</v>
      </c>
      <c r="D10" s="307">
        <v>41</v>
      </c>
      <c r="E10" s="305">
        <v>0</v>
      </c>
      <c r="F10" s="305">
        <v>0</v>
      </c>
      <c r="G10" s="305">
        <v>0</v>
      </c>
      <c r="H10" s="305">
        <v>1</v>
      </c>
      <c r="J10" s="308">
        <v>30</v>
      </c>
      <c r="K10" s="308">
        <v>179</v>
      </c>
      <c r="L10" s="308">
        <v>237</v>
      </c>
      <c r="M10" s="329">
        <v>3</v>
      </c>
      <c r="N10" s="308">
        <v>58</v>
      </c>
      <c r="O10" s="305">
        <v>0.7</v>
      </c>
      <c r="P10" s="305">
        <f>0.3*0.56</f>
        <v>0.16800000000000001</v>
      </c>
      <c r="Q10" s="305">
        <f>0.3*0.44</f>
        <v>0.13200000000000001</v>
      </c>
      <c r="R10" s="305">
        <v>0</v>
      </c>
      <c r="T10" s="308">
        <v>35</v>
      </c>
      <c r="U10" s="306">
        <v>307.82956666666666</v>
      </c>
      <c r="V10" s="307">
        <v>3</v>
      </c>
      <c r="W10" s="306">
        <v>51.304927777777777</v>
      </c>
      <c r="X10" s="305">
        <v>0.7</v>
      </c>
      <c r="Y10" s="305">
        <v>0</v>
      </c>
      <c r="Z10" s="305">
        <v>0</v>
      </c>
      <c r="AA10" s="305">
        <v>0.3</v>
      </c>
      <c r="AC10" s="320">
        <v>48</v>
      </c>
      <c r="AD10" s="320">
        <v>125.60000000000002</v>
      </c>
      <c r="AE10" s="307">
        <v>3</v>
      </c>
      <c r="AF10" s="307">
        <v>32.800000000000004</v>
      </c>
      <c r="AG10" s="305">
        <v>0</v>
      </c>
      <c r="AH10" s="305">
        <v>0</v>
      </c>
      <c r="AI10" s="305">
        <v>0</v>
      </c>
      <c r="AJ10" s="305">
        <v>1</v>
      </c>
    </row>
    <row r="11" spans="1:36" x14ac:dyDescent="0.25">
      <c r="A11" s="320">
        <v>54</v>
      </c>
      <c r="B11" s="320">
        <v>163</v>
      </c>
      <c r="C11" s="307">
        <v>4</v>
      </c>
      <c r="D11" s="307">
        <v>31</v>
      </c>
      <c r="E11" s="305">
        <v>0.7</v>
      </c>
      <c r="F11" s="305">
        <v>0</v>
      </c>
      <c r="G11" s="305">
        <v>0</v>
      </c>
      <c r="H11" s="305">
        <v>0.3</v>
      </c>
      <c r="J11" s="308">
        <v>35</v>
      </c>
      <c r="K11" s="308">
        <v>223</v>
      </c>
      <c r="L11" s="308">
        <v>278</v>
      </c>
      <c r="M11" s="307">
        <v>4</v>
      </c>
      <c r="N11" s="308">
        <v>55</v>
      </c>
      <c r="O11" s="305">
        <v>0.7</v>
      </c>
      <c r="P11" s="305">
        <f>0.3*0.56</f>
        <v>0.16800000000000001</v>
      </c>
      <c r="Q11" s="305">
        <f>0.3*0.44</f>
        <v>0.13200000000000001</v>
      </c>
      <c r="R11" s="305">
        <v>0</v>
      </c>
      <c r="T11" s="308">
        <v>45</v>
      </c>
      <c r="U11" s="306">
        <v>423.04303888888887</v>
      </c>
      <c r="V11" s="307">
        <v>4</v>
      </c>
      <c r="W11" s="306">
        <v>70.507173148148155</v>
      </c>
      <c r="X11" s="305">
        <v>0.9</v>
      </c>
      <c r="Y11" s="305">
        <v>0</v>
      </c>
      <c r="Z11" s="305">
        <v>0</v>
      </c>
      <c r="AA11" s="305">
        <v>0.1</v>
      </c>
      <c r="AC11" s="320">
        <v>54</v>
      </c>
      <c r="AD11" s="320">
        <v>130.4</v>
      </c>
      <c r="AE11" s="307">
        <v>4</v>
      </c>
      <c r="AF11" s="307">
        <v>24.8</v>
      </c>
      <c r="AG11" s="305">
        <v>0.7</v>
      </c>
      <c r="AH11" s="305">
        <v>0</v>
      </c>
      <c r="AI11" s="305">
        <v>0</v>
      </c>
      <c r="AJ11" s="305">
        <v>0.3</v>
      </c>
    </row>
    <row r="12" spans="1:36" x14ac:dyDescent="0.25">
      <c r="A12" s="320">
        <v>62</v>
      </c>
      <c r="B12" s="320">
        <v>194</v>
      </c>
      <c r="C12" s="307">
        <v>5</v>
      </c>
      <c r="D12" s="307">
        <v>39</v>
      </c>
      <c r="E12" s="305">
        <v>0.7</v>
      </c>
      <c r="F12" s="305">
        <v>0</v>
      </c>
      <c r="G12" s="305">
        <v>0</v>
      </c>
      <c r="H12" s="305">
        <v>0.3</v>
      </c>
      <c r="J12" s="308">
        <v>40</v>
      </c>
      <c r="K12" s="308">
        <v>263</v>
      </c>
      <c r="L12" s="308">
        <v>314</v>
      </c>
      <c r="M12" s="329">
        <v>5</v>
      </c>
      <c r="N12" s="308">
        <v>51</v>
      </c>
      <c r="O12" s="305">
        <v>0.7</v>
      </c>
      <c r="P12" s="305">
        <f>0.3*0.56</f>
        <v>0.16800000000000001</v>
      </c>
      <c r="Q12" s="305">
        <f>0.3*0.44</f>
        <v>0.13200000000000001</v>
      </c>
      <c r="R12" s="305">
        <v>0</v>
      </c>
      <c r="T12" s="308">
        <v>55</v>
      </c>
      <c r="U12" s="306">
        <v>545.97886574074084</v>
      </c>
      <c r="V12" s="307" t="s">
        <v>324</v>
      </c>
      <c r="W12" s="306">
        <v>545.97886574074084</v>
      </c>
      <c r="X12" s="305">
        <v>0.9</v>
      </c>
      <c r="Y12" s="305">
        <v>0</v>
      </c>
      <c r="Z12" s="305">
        <v>0</v>
      </c>
      <c r="AA12" s="305">
        <v>0.1</v>
      </c>
      <c r="AC12" s="320">
        <v>62</v>
      </c>
      <c r="AD12" s="320">
        <v>155.19999999999999</v>
      </c>
      <c r="AE12" s="307">
        <v>5</v>
      </c>
      <c r="AF12" s="307">
        <v>31.200000000000003</v>
      </c>
      <c r="AG12" s="305">
        <v>0.7</v>
      </c>
      <c r="AH12" s="305">
        <v>0</v>
      </c>
      <c r="AI12" s="305">
        <v>0</v>
      </c>
      <c r="AJ12" s="305">
        <v>0.3</v>
      </c>
    </row>
    <row r="13" spans="1:36" x14ac:dyDescent="0.25">
      <c r="A13" s="320">
        <v>70</v>
      </c>
      <c r="B13" s="320">
        <v>220</v>
      </c>
      <c r="C13" s="307">
        <v>6</v>
      </c>
      <c r="D13" s="307">
        <v>53</v>
      </c>
      <c r="E13" s="305">
        <v>0.7</v>
      </c>
      <c r="F13" s="305">
        <v>0</v>
      </c>
      <c r="G13" s="305">
        <v>0</v>
      </c>
      <c r="H13" s="305">
        <v>0.3</v>
      </c>
      <c r="J13" s="308">
        <v>45</v>
      </c>
      <c r="K13" s="308">
        <v>297</v>
      </c>
      <c r="L13" s="308">
        <v>342</v>
      </c>
      <c r="M13" s="307">
        <v>6</v>
      </c>
      <c r="N13" s="308">
        <v>45</v>
      </c>
      <c r="O13" s="305">
        <v>0.7</v>
      </c>
      <c r="P13" s="305">
        <f>0.3*0.56</f>
        <v>0.16800000000000001</v>
      </c>
      <c r="Q13" s="305">
        <f>0.3*0.44</f>
        <v>0.13200000000000001</v>
      </c>
      <c r="R13" s="305">
        <v>0</v>
      </c>
      <c r="AC13" s="320">
        <v>70</v>
      </c>
      <c r="AD13" s="320">
        <v>176</v>
      </c>
      <c r="AE13" s="307">
        <v>6</v>
      </c>
      <c r="AF13" s="307">
        <v>42.400000000000006</v>
      </c>
      <c r="AG13" s="305">
        <v>0.7</v>
      </c>
      <c r="AH13" s="305">
        <v>0</v>
      </c>
      <c r="AI13" s="305">
        <v>0</v>
      </c>
      <c r="AJ13" s="305">
        <v>0.3</v>
      </c>
    </row>
    <row r="14" spans="1:36" x14ac:dyDescent="0.25">
      <c r="A14" s="320">
        <v>78</v>
      </c>
      <c r="B14" s="320">
        <v>227</v>
      </c>
      <c r="C14" s="307">
        <v>7</v>
      </c>
      <c r="D14" s="307">
        <v>42</v>
      </c>
      <c r="E14" s="305">
        <v>0.7</v>
      </c>
      <c r="F14" s="305">
        <v>0</v>
      </c>
      <c r="G14" s="305">
        <v>0</v>
      </c>
      <c r="H14" s="305">
        <v>0.3</v>
      </c>
      <c r="J14" s="308">
        <v>50</v>
      </c>
      <c r="K14" s="308">
        <v>338</v>
      </c>
      <c r="L14" s="308">
        <v>380</v>
      </c>
      <c r="M14" s="329">
        <v>7</v>
      </c>
      <c r="N14" s="308">
        <v>42</v>
      </c>
      <c r="O14" s="305">
        <v>0.7</v>
      </c>
      <c r="P14" s="305">
        <f>0.3*0.56</f>
        <v>0.16800000000000001</v>
      </c>
      <c r="Q14" s="305">
        <f>0.3*0.44</f>
        <v>0.13200000000000001</v>
      </c>
      <c r="R14" s="305">
        <v>0</v>
      </c>
      <c r="AC14" s="320">
        <v>78</v>
      </c>
      <c r="AD14" s="320">
        <v>181.6</v>
      </c>
      <c r="AE14" s="307">
        <v>7</v>
      </c>
      <c r="AF14" s="307">
        <v>33.6</v>
      </c>
      <c r="AG14" s="305">
        <v>0.7</v>
      </c>
      <c r="AH14" s="305">
        <v>0</v>
      </c>
      <c r="AI14" s="305">
        <v>0</v>
      </c>
      <c r="AJ14" s="305">
        <v>0.3</v>
      </c>
    </row>
    <row r="15" spans="1:36" x14ac:dyDescent="0.25">
      <c r="A15" s="320">
        <v>87</v>
      </c>
      <c r="B15" s="320">
        <v>243</v>
      </c>
      <c r="C15" s="307">
        <v>8</v>
      </c>
      <c r="D15" s="307">
        <v>39</v>
      </c>
      <c r="E15" s="305">
        <v>0.9</v>
      </c>
      <c r="F15" s="305">
        <v>0</v>
      </c>
      <c r="G15" s="305">
        <v>0</v>
      </c>
      <c r="H15" s="305">
        <v>0.1</v>
      </c>
      <c r="J15" s="308">
        <v>55</v>
      </c>
      <c r="K15" s="308">
        <v>379</v>
      </c>
      <c r="L15" s="308">
        <v>412</v>
      </c>
      <c r="M15" s="307">
        <v>8</v>
      </c>
      <c r="N15" s="308">
        <v>33</v>
      </c>
      <c r="O15" s="305">
        <v>0.7</v>
      </c>
      <c r="P15" s="305">
        <f>0.3*0.56</f>
        <v>0.16800000000000001</v>
      </c>
      <c r="Q15" s="305">
        <f>0.3*0.44</f>
        <v>0.13200000000000001</v>
      </c>
      <c r="R15" s="305">
        <v>0</v>
      </c>
      <c r="AC15" s="320">
        <v>87</v>
      </c>
      <c r="AD15" s="320">
        <v>194.40000000000003</v>
      </c>
      <c r="AE15" s="307">
        <v>8</v>
      </c>
      <c r="AF15" s="307">
        <v>31.200000000000003</v>
      </c>
      <c r="AG15" s="305">
        <v>0.9</v>
      </c>
      <c r="AH15" s="305">
        <v>0</v>
      </c>
      <c r="AI15" s="305">
        <v>0</v>
      </c>
      <c r="AJ15" s="305">
        <v>0.1</v>
      </c>
    </row>
    <row r="16" spans="1:36" x14ac:dyDescent="0.25">
      <c r="A16" s="320">
        <v>97</v>
      </c>
      <c r="B16" s="320">
        <v>265</v>
      </c>
      <c r="C16" s="307">
        <v>9</v>
      </c>
      <c r="D16" s="307">
        <v>42</v>
      </c>
      <c r="E16" s="305">
        <v>0.9</v>
      </c>
      <c r="F16" s="305">
        <v>0</v>
      </c>
      <c r="G16" s="305">
        <v>0</v>
      </c>
      <c r="H16" s="305">
        <v>0.1</v>
      </c>
      <c r="J16" s="308">
        <v>60</v>
      </c>
      <c r="K16" s="308">
        <v>413</v>
      </c>
      <c r="L16" s="308">
        <v>433</v>
      </c>
      <c r="M16" s="329">
        <v>9</v>
      </c>
      <c r="N16" s="308">
        <v>20</v>
      </c>
      <c r="O16" s="305">
        <v>0.7</v>
      </c>
      <c r="P16" s="305">
        <f>0.3*0.56</f>
        <v>0.16800000000000001</v>
      </c>
      <c r="Q16" s="305">
        <f>0.3*0.44</f>
        <v>0.13200000000000001</v>
      </c>
      <c r="R16" s="305">
        <v>0</v>
      </c>
      <c r="AC16" s="320">
        <v>97</v>
      </c>
      <c r="AD16" s="320">
        <v>212</v>
      </c>
      <c r="AE16" s="307">
        <v>9</v>
      </c>
      <c r="AF16" s="307">
        <v>33.6</v>
      </c>
      <c r="AG16" s="305">
        <v>0.9</v>
      </c>
      <c r="AH16" s="305">
        <v>0</v>
      </c>
      <c r="AI16" s="305">
        <v>0</v>
      </c>
      <c r="AJ16" s="305">
        <v>0.1</v>
      </c>
    </row>
    <row r="17" spans="1:36" x14ac:dyDescent="0.25">
      <c r="A17" s="320">
        <v>107</v>
      </c>
      <c r="B17" s="320">
        <v>288</v>
      </c>
      <c r="C17" s="307">
        <v>10</v>
      </c>
      <c r="D17" s="307">
        <v>46</v>
      </c>
      <c r="E17" s="305">
        <v>0.9</v>
      </c>
      <c r="F17" s="305">
        <v>0</v>
      </c>
      <c r="G17" s="305">
        <v>0</v>
      </c>
      <c r="H17" s="305">
        <v>0.1</v>
      </c>
      <c r="J17" s="308">
        <v>65</v>
      </c>
      <c r="K17" s="308">
        <v>442</v>
      </c>
      <c r="L17" s="308">
        <v>442</v>
      </c>
      <c r="M17" s="307" t="s">
        <v>324</v>
      </c>
      <c r="N17" s="308">
        <v>442</v>
      </c>
      <c r="O17" s="305">
        <v>0.7</v>
      </c>
      <c r="P17" s="305">
        <f>0.3*0.56</f>
        <v>0.16800000000000001</v>
      </c>
      <c r="Q17" s="305">
        <f>0.3*0.44</f>
        <v>0.13200000000000001</v>
      </c>
      <c r="R17" s="305">
        <v>0</v>
      </c>
      <c r="X17" s="332"/>
      <c r="Y17" s="332"/>
      <c r="Z17" s="332"/>
      <c r="AA17" s="332"/>
      <c r="AC17" s="320">
        <v>107</v>
      </c>
      <c r="AD17" s="320">
        <v>230.40000000000003</v>
      </c>
      <c r="AE17" s="307">
        <v>10</v>
      </c>
      <c r="AF17" s="307">
        <v>36.800000000000004</v>
      </c>
      <c r="AG17" s="305">
        <v>0.9</v>
      </c>
      <c r="AH17" s="305">
        <v>0</v>
      </c>
      <c r="AI17" s="305">
        <v>0</v>
      </c>
      <c r="AJ17" s="305">
        <v>0.1</v>
      </c>
    </row>
    <row r="18" spans="1:36" x14ac:dyDescent="0.25">
      <c r="A18" s="320">
        <v>117</v>
      </c>
      <c r="B18" s="320">
        <v>309</v>
      </c>
      <c r="C18" s="307">
        <v>11</v>
      </c>
      <c r="D18" s="307">
        <v>45</v>
      </c>
      <c r="E18" s="305">
        <v>0.9</v>
      </c>
      <c r="F18" s="305">
        <v>0</v>
      </c>
      <c r="G18" s="305">
        <v>0</v>
      </c>
      <c r="H18" s="305">
        <v>0.1</v>
      </c>
      <c r="AC18" s="320">
        <v>117</v>
      </c>
      <c r="AD18" s="320">
        <v>247.20000000000002</v>
      </c>
      <c r="AE18" s="307">
        <v>11</v>
      </c>
      <c r="AF18" s="307">
        <v>36</v>
      </c>
      <c r="AG18" s="305">
        <v>0.9</v>
      </c>
      <c r="AH18" s="305">
        <v>0</v>
      </c>
      <c r="AI18" s="305">
        <v>0</v>
      </c>
      <c r="AJ18" s="305">
        <v>0.1</v>
      </c>
    </row>
    <row r="19" spans="1:36" x14ac:dyDescent="0.25">
      <c r="A19" s="320">
        <v>129</v>
      </c>
      <c r="B19" s="320">
        <v>337</v>
      </c>
      <c r="C19" s="307" t="s">
        <v>324</v>
      </c>
      <c r="D19" s="307">
        <v>337</v>
      </c>
      <c r="E19" s="305">
        <v>0.9</v>
      </c>
      <c r="F19" s="305">
        <v>0</v>
      </c>
      <c r="G19" s="305">
        <v>0</v>
      </c>
      <c r="H19" s="305">
        <v>0.1</v>
      </c>
      <c r="AC19" s="320">
        <v>129</v>
      </c>
      <c r="AD19" s="320">
        <v>269.60000000000002</v>
      </c>
      <c r="AE19" s="307" t="s">
        <v>324</v>
      </c>
      <c r="AF19" s="307">
        <v>269.60000000000002</v>
      </c>
      <c r="AG19" s="305">
        <v>0.9</v>
      </c>
      <c r="AH19" s="305">
        <v>0</v>
      </c>
      <c r="AI19" s="305">
        <v>0</v>
      </c>
      <c r="AJ19" s="305">
        <v>0.1</v>
      </c>
    </row>
    <row r="20" spans="1:36" x14ac:dyDescent="0.25">
      <c r="G20" s="304" t="s">
        <v>329</v>
      </c>
      <c r="AI20" s="304" t="s">
        <v>329</v>
      </c>
    </row>
    <row r="21" spans="1:36" ht="36" customHeight="1" x14ac:dyDescent="0.25">
      <c r="A21" s="304" t="s">
        <v>330</v>
      </c>
      <c r="G21" s="304" t="s">
        <v>329</v>
      </c>
      <c r="J21" s="304" t="s">
        <v>330</v>
      </c>
      <c r="T21" s="304" t="s">
        <v>330</v>
      </c>
      <c r="AC21" s="304" t="s">
        <v>330</v>
      </c>
      <c r="AI21" s="304" t="s">
        <v>329</v>
      </c>
    </row>
    <row r="22" spans="1:36" ht="20.25" customHeight="1" x14ac:dyDescent="0.25">
      <c r="A22" s="317"/>
      <c r="B22" s="316" t="s">
        <v>185</v>
      </c>
      <c r="C22" s="327" t="s">
        <v>186</v>
      </c>
      <c r="D22" s="326"/>
      <c r="E22" s="325" t="s">
        <v>187</v>
      </c>
      <c r="F22" s="324"/>
      <c r="G22" s="324"/>
      <c r="H22" s="323"/>
      <c r="J22" s="317"/>
      <c r="K22" s="317"/>
      <c r="L22" s="316" t="s">
        <v>185</v>
      </c>
      <c r="M22" s="315" t="s">
        <v>186</v>
      </c>
      <c r="N22" s="314"/>
      <c r="O22" s="313" t="s">
        <v>187</v>
      </c>
      <c r="P22" s="312"/>
      <c r="Q22" s="312"/>
      <c r="R22" s="311"/>
      <c r="T22" s="317"/>
      <c r="U22" s="316" t="s">
        <v>185</v>
      </c>
      <c r="V22" s="315" t="s">
        <v>186</v>
      </c>
      <c r="W22" s="314"/>
      <c r="X22" s="313" t="s">
        <v>187</v>
      </c>
      <c r="Y22" s="312"/>
      <c r="Z22" s="312"/>
      <c r="AA22" s="311"/>
      <c r="AC22" s="317"/>
      <c r="AD22" s="316" t="s">
        <v>185</v>
      </c>
      <c r="AE22" s="327" t="s">
        <v>186</v>
      </c>
      <c r="AF22" s="326"/>
      <c r="AG22" s="325" t="s">
        <v>187</v>
      </c>
      <c r="AH22" s="324"/>
      <c r="AI22" s="324"/>
      <c r="AJ22" s="323"/>
    </row>
    <row r="23" spans="1:36" ht="75" x14ac:dyDescent="0.25">
      <c r="A23" s="309" t="s">
        <v>180</v>
      </c>
      <c r="B23" s="310" t="s">
        <v>325</v>
      </c>
      <c r="C23" s="310" t="s">
        <v>188</v>
      </c>
      <c r="D23" s="310" t="s">
        <v>251</v>
      </c>
      <c r="E23" s="309" t="s">
        <v>183</v>
      </c>
      <c r="F23" s="309" t="s">
        <v>181</v>
      </c>
      <c r="G23" s="309" t="s">
        <v>184</v>
      </c>
      <c r="H23" s="309" t="s">
        <v>182</v>
      </c>
      <c r="J23" s="309" t="s">
        <v>180</v>
      </c>
      <c r="K23" s="309"/>
      <c r="L23" s="310" t="s">
        <v>325</v>
      </c>
      <c r="M23" s="310" t="s">
        <v>188</v>
      </c>
      <c r="N23" s="310" t="s">
        <v>251</v>
      </c>
      <c r="O23" s="309" t="s">
        <v>183</v>
      </c>
      <c r="P23" s="309" t="s">
        <v>181</v>
      </c>
      <c r="Q23" s="309" t="s">
        <v>184</v>
      </c>
      <c r="R23" s="309" t="s">
        <v>182</v>
      </c>
      <c r="T23" s="309" t="s">
        <v>180</v>
      </c>
      <c r="U23" s="310" t="s">
        <v>325</v>
      </c>
      <c r="V23" s="310" t="s">
        <v>188</v>
      </c>
      <c r="W23" s="310" t="s">
        <v>251</v>
      </c>
      <c r="X23" s="309" t="s">
        <v>183</v>
      </c>
      <c r="Y23" s="309" t="s">
        <v>181</v>
      </c>
      <c r="Z23" s="309" t="s">
        <v>184</v>
      </c>
      <c r="AA23" s="309" t="s">
        <v>182</v>
      </c>
      <c r="AC23" s="309" t="s">
        <v>180</v>
      </c>
      <c r="AD23" s="310" t="s">
        <v>325</v>
      </c>
      <c r="AE23" s="310" t="s">
        <v>188</v>
      </c>
      <c r="AF23" s="310" t="s">
        <v>251</v>
      </c>
      <c r="AG23" s="309" t="s">
        <v>183</v>
      </c>
      <c r="AH23" s="309" t="s">
        <v>181</v>
      </c>
      <c r="AI23" s="309" t="s">
        <v>184</v>
      </c>
      <c r="AJ23" s="309" t="s">
        <v>182</v>
      </c>
    </row>
    <row r="24" spans="1:36" x14ac:dyDescent="0.25">
      <c r="A24" s="320">
        <v>42</v>
      </c>
      <c r="B24" s="320">
        <v>113</v>
      </c>
      <c r="C24" s="307">
        <v>1</v>
      </c>
      <c r="D24" s="307">
        <v>30</v>
      </c>
      <c r="E24" s="305">
        <v>0</v>
      </c>
      <c r="F24" s="305">
        <v>0</v>
      </c>
      <c r="G24" s="305">
        <v>0</v>
      </c>
      <c r="H24" s="305">
        <v>1</v>
      </c>
      <c r="J24" s="308">
        <v>22</v>
      </c>
      <c r="K24" s="308">
        <v>84</v>
      </c>
      <c r="L24" s="308">
        <f>K24+N24</f>
        <v>105</v>
      </c>
      <c r="M24" s="329">
        <v>1</v>
      </c>
      <c r="N24" s="328">
        <v>21</v>
      </c>
      <c r="O24" s="305">
        <v>0</v>
      </c>
      <c r="P24" s="305">
        <f>0.56</f>
        <v>0.56000000000000005</v>
      </c>
      <c r="Q24" s="305">
        <f>0.44</f>
        <v>0.44</v>
      </c>
      <c r="R24" s="305">
        <v>0</v>
      </c>
      <c r="T24" s="308">
        <v>15</v>
      </c>
      <c r="U24" s="306">
        <v>99.659000000000006</v>
      </c>
      <c r="V24" s="307">
        <v>1</v>
      </c>
      <c r="W24" s="306">
        <v>20</v>
      </c>
      <c r="X24" s="305">
        <v>0</v>
      </c>
      <c r="Y24" s="305">
        <v>0</v>
      </c>
      <c r="Z24" s="305">
        <v>0</v>
      </c>
      <c r="AA24" s="305">
        <v>1</v>
      </c>
      <c r="AC24" s="320">
        <v>42</v>
      </c>
      <c r="AD24" s="320">
        <v>90.4</v>
      </c>
      <c r="AE24" s="307">
        <v>1</v>
      </c>
      <c r="AF24" s="307">
        <v>24</v>
      </c>
      <c r="AG24" s="305">
        <v>0</v>
      </c>
      <c r="AH24" s="305">
        <v>0</v>
      </c>
      <c r="AI24" s="305">
        <v>0</v>
      </c>
      <c r="AJ24" s="305">
        <v>1</v>
      </c>
    </row>
    <row r="25" spans="1:36" x14ac:dyDescent="0.25">
      <c r="A25" s="320">
        <v>48</v>
      </c>
      <c r="B25" s="320">
        <v>120</v>
      </c>
      <c r="C25" s="307">
        <v>2</v>
      </c>
      <c r="D25" s="307">
        <v>28</v>
      </c>
      <c r="E25" s="305">
        <v>0</v>
      </c>
      <c r="F25" s="305">
        <v>0</v>
      </c>
      <c r="G25" s="305">
        <v>0</v>
      </c>
      <c r="H25" s="305">
        <v>1</v>
      </c>
      <c r="J25" s="308">
        <v>25</v>
      </c>
      <c r="K25" s="308">
        <v>110</v>
      </c>
      <c r="L25" s="308">
        <f>K25+N25</f>
        <v>146</v>
      </c>
      <c r="M25" s="307">
        <v>2</v>
      </c>
      <c r="N25" s="328">
        <v>36</v>
      </c>
      <c r="O25" s="305">
        <v>0</v>
      </c>
      <c r="P25" s="305">
        <f>0.56</f>
        <v>0.56000000000000005</v>
      </c>
      <c r="Q25" s="305">
        <v>0.44</v>
      </c>
      <c r="R25" s="305">
        <v>0</v>
      </c>
      <c r="T25" s="308">
        <v>25</v>
      </c>
      <c r="U25" s="306">
        <v>174.28619999999998</v>
      </c>
      <c r="V25" s="307">
        <v>2</v>
      </c>
      <c r="W25" s="306">
        <v>29.047699999999999</v>
      </c>
      <c r="X25" s="305">
        <v>0.7</v>
      </c>
      <c r="Y25" s="305">
        <v>0</v>
      </c>
      <c r="Z25" s="305">
        <v>0</v>
      </c>
      <c r="AA25" s="305">
        <v>0.3</v>
      </c>
      <c r="AC25" s="320">
        <v>48</v>
      </c>
      <c r="AD25" s="320">
        <v>96</v>
      </c>
      <c r="AE25" s="307">
        <v>2</v>
      </c>
      <c r="AF25" s="307">
        <v>22.400000000000002</v>
      </c>
      <c r="AG25" s="305">
        <v>0</v>
      </c>
      <c r="AH25" s="305">
        <v>0</v>
      </c>
      <c r="AI25" s="305">
        <v>0</v>
      </c>
      <c r="AJ25" s="305">
        <v>1</v>
      </c>
    </row>
    <row r="26" spans="1:36" x14ac:dyDescent="0.25">
      <c r="A26" s="320">
        <v>56</v>
      </c>
      <c r="B26" s="320">
        <v>138</v>
      </c>
      <c r="C26" s="307">
        <v>3</v>
      </c>
      <c r="D26" s="307">
        <v>36</v>
      </c>
      <c r="E26" s="305">
        <v>0</v>
      </c>
      <c r="F26" s="305">
        <v>0</v>
      </c>
      <c r="G26" s="305">
        <v>0</v>
      </c>
      <c r="H26" s="305">
        <v>1</v>
      </c>
      <c r="J26" s="308">
        <v>30</v>
      </c>
      <c r="K26" s="308">
        <v>146</v>
      </c>
      <c r="L26" s="308">
        <f>K26+N26</f>
        <v>195</v>
      </c>
      <c r="M26" s="329">
        <v>3</v>
      </c>
      <c r="N26" s="328">
        <v>49</v>
      </c>
      <c r="O26" s="305">
        <v>0</v>
      </c>
      <c r="P26" s="305">
        <f>0.56</f>
        <v>0.56000000000000005</v>
      </c>
      <c r="Q26" s="305">
        <v>0.44</v>
      </c>
      <c r="R26" s="305">
        <v>0</v>
      </c>
      <c r="T26" s="308">
        <v>35</v>
      </c>
      <c r="U26" s="306">
        <v>264.58570000000003</v>
      </c>
      <c r="V26" s="307">
        <v>3</v>
      </c>
      <c r="W26" s="306">
        <v>44.097616666666674</v>
      </c>
      <c r="X26" s="305">
        <v>0.7</v>
      </c>
      <c r="Y26" s="305">
        <v>0</v>
      </c>
      <c r="Z26" s="305">
        <v>0</v>
      </c>
      <c r="AA26" s="305">
        <v>0.3</v>
      </c>
      <c r="AC26" s="320">
        <v>56</v>
      </c>
      <c r="AD26" s="320">
        <v>110.4</v>
      </c>
      <c r="AE26" s="307">
        <v>3</v>
      </c>
      <c r="AF26" s="307">
        <v>28.8</v>
      </c>
      <c r="AG26" s="305">
        <v>0</v>
      </c>
      <c r="AH26" s="305">
        <v>0</v>
      </c>
      <c r="AI26" s="305">
        <v>0</v>
      </c>
      <c r="AJ26" s="305">
        <v>1</v>
      </c>
    </row>
    <row r="27" spans="1:36" x14ac:dyDescent="0.25">
      <c r="A27" s="320">
        <v>64</v>
      </c>
      <c r="B27" s="320">
        <v>155</v>
      </c>
      <c r="C27" s="307">
        <v>4</v>
      </c>
      <c r="D27" s="307">
        <v>41</v>
      </c>
      <c r="E27" s="305">
        <v>0.7</v>
      </c>
      <c r="F27" s="305">
        <v>0</v>
      </c>
      <c r="G27" s="305">
        <v>0</v>
      </c>
      <c r="H27" s="305">
        <v>0.3</v>
      </c>
      <c r="J27" s="308">
        <v>35</v>
      </c>
      <c r="K27" s="308">
        <v>180</v>
      </c>
      <c r="L27" s="308">
        <f>K27+N27</f>
        <v>222</v>
      </c>
      <c r="M27" s="307">
        <v>4</v>
      </c>
      <c r="N27" s="328">
        <v>42</v>
      </c>
      <c r="O27" s="305">
        <v>0.7</v>
      </c>
      <c r="P27" s="305">
        <f>0.3*0.56</f>
        <v>0.16800000000000001</v>
      </c>
      <c r="Q27" s="305">
        <f>0.3*0.44</f>
        <v>0.13200000000000001</v>
      </c>
      <c r="R27" s="305">
        <v>0</v>
      </c>
      <c r="T27" s="308">
        <v>45</v>
      </c>
      <c r="U27" s="306">
        <v>364.55528333333342</v>
      </c>
      <c r="V27" s="307">
        <v>4</v>
      </c>
      <c r="W27" s="306">
        <v>60.759213888888908</v>
      </c>
      <c r="X27" s="305">
        <v>0.9</v>
      </c>
      <c r="Y27" s="305">
        <v>0</v>
      </c>
      <c r="Z27" s="305">
        <v>0</v>
      </c>
      <c r="AA27" s="305">
        <v>0.1</v>
      </c>
      <c r="AC27" s="320">
        <v>64</v>
      </c>
      <c r="AD27" s="320">
        <v>124</v>
      </c>
      <c r="AE27" s="307">
        <v>4</v>
      </c>
      <c r="AF27" s="307">
        <v>32.800000000000004</v>
      </c>
      <c r="AG27" s="305">
        <v>0.7</v>
      </c>
      <c r="AH27" s="305">
        <v>0</v>
      </c>
      <c r="AI27" s="305">
        <v>0</v>
      </c>
      <c r="AJ27" s="305">
        <v>0.3</v>
      </c>
    </row>
    <row r="28" spans="1:36" x14ac:dyDescent="0.25">
      <c r="A28" s="320">
        <v>72</v>
      </c>
      <c r="B28" s="320">
        <v>160</v>
      </c>
      <c r="C28" s="307">
        <v>5</v>
      </c>
      <c r="D28" s="307">
        <v>32</v>
      </c>
      <c r="E28" s="305">
        <v>0.7</v>
      </c>
      <c r="F28" s="305">
        <v>0</v>
      </c>
      <c r="G28" s="305">
        <v>0</v>
      </c>
      <c r="H28" s="305">
        <v>0.3</v>
      </c>
      <c r="J28" s="308">
        <v>40</v>
      </c>
      <c r="K28" s="308">
        <v>214</v>
      </c>
      <c r="L28" s="308">
        <f>K28+N28</f>
        <v>252</v>
      </c>
      <c r="M28" s="329">
        <v>5</v>
      </c>
      <c r="N28" s="328">
        <v>38</v>
      </c>
      <c r="O28" s="305">
        <v>0.7</v>
      </c>
      <c r="P28" s="305">
        <f>0.3*0.56</f>
        <v>0.16800000000000001</v>
      </c>
      <c r="Q28" s="305">
        <f>0.3*0.44</f>
        <v>0.13200000000000001</v>
      </c>
      <c r="R28" s="305">
        <v>0</v>
      </c>
      <c r="T28" s="308">
        <v>55</v>
      </c>
      <c r="U28" s="306">
        <v>468.51506944444446</v>
      </c>
      <c r="V28" s="307" t="s">
        <v>324</v>
      </c>
      <c r="W28" s="306">
        <v>468.51506944444446</v>
      </c>
      <c r="X28" s="305">
        <v>0.9</v>
      </c>
      <c r="Y28" s="305">
        <v>0</v>
      </c>
      <c r="Z28" s="305">
        <v>0</v>
      </c>
      <c r="AA28" s="305">
        <v>0.1</v>
      </c>
      <c r="AC28" s="320">
        <v>72</v>
      </c>
      <c r="AD28" s="320">
        <v>128</v>
      </c>
      <c r="AE28" s="307">
        <v>5</v>
      </c>
      <c r="AF28" s="307">
        <v>25.6</v>
      </c>
      <c r="AG28" s="305">
        <v>0.7</v>
      </c>
      <c r="AH28" s="305">
        <v>0</v>
      </c>
      <c r="AI28" s="305">
        <v>0</v>
      </c>
      <c r="AJ28" s="305">
        <v>0.3</v>
      </c>
    </row>
    <row r="29" spans="1:36" x14ac:dyDescent="0.25">
      <c r="A29" s="320">
        <v>81</v>
      </c>
      <c r="B29" s="320">
        <v>172</v>
      </c>
      <c r="C29" s="307">
        <v>6</v>
      </c>
      <c r="D29" s="307">
        <v>31</v>
      </c>
      <c r="E29" s="305">
        <v>0.7</v>
      </c>
      <c r="F29" s="305">
        <v>0</v>
      </c>
      <c r="G29" s="305">
        <v>0</v>
      </c>
      <c r="H29" s="305">
        <v>0.3</v>
      </c>
      <c r="J29" s="308">
        <v>45</v>
      </c>
      <c r="K29" s="308">
        <v>245</v>
      </c>
      <c r="L29" s="308">
        <f>K29+N29</f>
        <v>282</v>
      </c>
      <c r="M29" s="307">
        <v>6</v>
      </c>
      <c r="N29" s="328">
        <v>37</v>
      </c>
      <c r="O29" s="305">
        <v>0.7</v>
      </c>
      <c r="P29" s="305">
        <f>0.3*0.56</f>
        <v>0.16800000000000001</v>
      </c>
      <c r="Q29" s="305">
        <f>0.3*0.44</f>
        <v>0.13200000000000001</v>
      </c>
      <c r="R29" s="305">
        <v>0</v>
      </c>
      <c r="T29" s="330"/>
      <c r="U29" s="330"/>
      <c r="V29" s="331"/>
      <c r="W29" s="331"/>
      <c r="X29" s="330"/>
      <c r="Y29" s="330"/>
      <c r="Z29" s="330"/>
      <c r="AA29" s="330"/>
      <c r="AC29" s="320">
        <v>81</v>
      </c>
      <c r="AD29" s="320">
        <v>137.6</v>
      </c>
      <c r="AE29" s="307">
        <v>6</v>
      </c>
      <c r="AF29" s="307">
        <v>24.8</v>
      </c>
      <c r="AG29" s="305">
        <v>0.7</v>
      </c>
      <c r="AH29" s="305">
        <v>0</v>
      </c>
      <c r="AI29" s="305">
        <v>0</v>
      </c>
      <c r="AJ29" s="305">
        <v>0.3</v>
      </c>
    </row>
    <row r="30" spans="1:36" x14ac:dyDescent="0.25">
      <c r="A30" s="320">
        <v>90</v>
      </c>
      <c r="B30" s="320">
        <v>184</v>
      </c>
      <c r="C30" s="307">
        <v>7</v>
      </c>
      <c r="D30" s="307">
        <v>30</v>
      </c>
      <c r="E30" s="305">
        <v>0.7</v>
      </c>
      <c r="F30" s="305">
        <v>0</v>
      </c>
      <c r="G30" s="305">
        <v>0</v>
      </c>
      <c r="H30" s="305">
        <v>0.3</v>
      </c>
      <c r="J30" s="308">
        <v>50</v>
      </c>
      <c r="K30" s="308">
        <v>274</v>
      </c>
      <c r="L30" s="308">
        <f>K30+N30</f>
        <v>322</v>
      </c>
      <c r="M30" s="329">
        <v>7</v>
      </c>
      <c r="N30" s="328">
        <v>48</v>
      </c>
      <c r="O30" s="305">
        <v>0.7</v>
      </c>
      <c r="P30" s="305">
        <f>0.3*0.56</f>
        <v>0.16800000000000001</v>
      </c>
      <c r="Q30" s="305">
        <f>0.3*0.44</f>
        <v>0.13200000000000001</v>
      </c>
      <c r="R30" s="305">
        <v>0</v>
      </c>
      <c r="AC30" s="320">
        <v>90</v>
      </c>
      <c r="AD30" s="320">
        <v>147.20000000000002</v>
      </c>
      <c r="AE30" s="307">
        <v>7</v>
      </c>
      <c r="AF30" s="307">
        <v>24</v>
      </c>
      <c r="AG30" s="305">
        <v>0.7</v>
      </c>
      <c r="AH30" s="305">
        <v>0</v>
      </c>
      <c r="AI30" s="305">
        <v>0</v>
      </c>
      <c r="AJ30" s="305">
        <v>0.3</v>
      </c>
    </row>
    <row r="31" spans="1:36" x14ac:dyDescent="0.25">
      <c r="A31" s="320">
        <v>102</v>
      </c>
      <c r="B31" s="320">
        <v>211</v>
      </c>
      <c r="C31" s="307">
        <v>8</v>
      </c>
      <c r="D31" s="307">
        <v>41</v>
      </c>
      <c r="E31" s="305">
        <v>0.9</v>
      </c>
      <c r="F31" s="305">
        <v>0</v>
      </c>
      <c r="G31" s="305">
        <v>0</v>
      </c>
      <c r="H31" s="305">
        <v>0.1</v>
      </c>
      <c r="J31" s="308">
        <v>58</v>
      </c>
      <c r="K31" s="308">
        <v>324</v>
      </c>
      <c r="L31" s="308">
        <f>K31+N31</f>
        <v>374</v>
      </c>
      <c r="M31" s="307">
        <v>8</v>
      </c>
      <c r="N31" s="328">
        <v>50</v>
      </c>
      <c r="O31" s="305">
        <v>0.7</v>
      </c>
      <c r="P31" s="305">
        <f>0.3*0.56</f>
        <v>0.16800000000000001</v>
      </c>
      <c r="Q31" s="305">
        <f>0.3*0.44</f>
        <v>0.13200000000000001</v>
      </c>
      <c r="R31" s="305">
        <v>0</v>
      </c>
      <c r="AC31" s="320">
        <v>102</v>
      </c>
      <c r="AD31" s="320">
        <v>168.8</v>
      </c>
      <c r="AE31" s="307">
        <v>8</v>
      </c>
      <c r="AF31" s="307">
        <v>32.800000000000004</v>
      </c>
      <c r="AG31" s="305">
        <v>0.9</v>
      </c>
      <c r="AH31" s="305">
        <v>0</v>
      </c>
      <c r="AI31" s="305">
        <v>0</v>
      </c>
      <c r="AJ31" s="305">
        <v>0.1</v>
      </c>
    </row>
    <row r="32" spans="1:36" x14ac:dyDescent="0.25">
      <c r="A32" s="320">
        <v>114</v>
      </c>
      <c r="B32" s="320">
        <v>225</v>
      </c>
      <c r="C32" s="307">
        <v>9</v>
      </c>
      <c r="D32" s="307">
        <v>37</v>
      </c>
      <c r="E32" s="305">
        <v>0.9</v>
      </c>
      <c r="F32" s="305">
        <v>0</v>
      </c>
      <c r="G32" s="305">
        <v>0</v>
      </c>
      <c r="H32" s="305">
        <v>0.1</v>
      </c>
      <c r="J32" s="308">
        <v>66</v>
      </c>
      <c r="K32" s="308">
        <v>365</v>
      </c>
      <c r="L32" s="308">
        <f>K32+N32</f>
        <v>385</v>
      </c>
      <c r="M32" s="329">
        <v>9</v>
      </c>
      <c r="N32" s="328">
        <v>20</v>
      </c>
      <c r="O32" s="305">
        <v>0.7</v>
      </c>
      <c r="P32" s="305">
        <f>0.3*0.56</f>
        <v>0.16800000000000001</v>
      </c>
      <c r="Q32" s="305">
        <f>0.3*0.44</f>
        <v>0.13200000000000001</v>
      </c>
      <c r="R32" s="305">
        <v>0</v>
      </c>
      <c r="AC32" s="320">
        <v>114</v>
      </c>
      <c r="AD32" s="320">
        <v>180</v>
      </c>
      <c r="AE32" s="307">
        <v>9</v>
      </c>
      <c r="AF32" s="307">
        <v>29.6</v>
      </c>
      <c r="AG32" s="305">
        <v>0.9</v>
      </c>
      <c r="AH32" s="305">
        <v>0</v>
      </c>
      <c r="AI32" s="305">
        <v>0</v>
      </c>
      <c r="AJ32" s="305">
        <v>0.1</v>
      </c>
    </row>
    <row r="33" spans="1:36" x14ac:dyDescent="0.25">
      <c r="A33" s="320">
        <v>126</v>
      </c>
      <c r="B33" s="320">
        <v>243</v>
      </c>
      <c r="C33" s="307">
        <v>10</v>
      </c>
      <c r="D33" s="307">
        <v>38</v>
      </c>
      <c r="E33" s="305">
        <v>0.9</v>
      </c>
      <c r="F33" s="305">
        <v>0</v>
      </c>
      <c r="G33" s="305">
        <v>0</v>
      </c>
      <c r="H33" s="305">
        <v>0.1</v>
      </c>
      <c r="J33" s="308">
        <v>74</v>
      </c>
      <c r="K33" s="308">
        <v>399</v>
      </c>
      <c r="L33" s="308">
        <f>K33+N33</f>
        <v>416</v>
      </c>
      <c r="M33" s="307">
        <v>10</v>
      </c>
      <c r="N33" s="328">
        <v>17</v>
      </c>
      <c r="O33" s="305">
        <v>0.7</v>
      </c>
      <c r="P33" s="305">
        <f>0.3*0.56</f>
        <v>0.16800000000000001</v>
      </c>
      <c r="Q33" s="305">
        <f>0.3*0.44</f>
        <v>0.13200000000000001</v>
      </c>
      <c r="R33" s="305">
        <v>0</v>
      </c>
      <c r="AC33" s="320">
        <v>126</v>
      </c>
      <c r="AD33" s="320">
        <v>194.4</v>
      </c>
      <c r="AE33" s="307">
        <v>10</v>
      </c>
      <c r="AF33" s="307">
        <v>30.400000000000002</v>
      </c>
      <c r="AG33" s="305">
        <v>0.9</v>
      </c>
      <c r="AH33" s="305">
        <v>0</v>
      </c>
      <c r="AI33" s="305">
        <v>0</v>
      </c>
      <c r="AJ33" s="305">
        <v>0.1</v>
      </c>
    </row>
    <row r="34" spans="1:36" x14ac:dyDescent="0.25">
      <c r="A34" s="320">
        <v>138</v>
      </c>
      <c r="B34" s="320">
        <v>262</v>
      </c>
      <c r="C34" s="307">
        <v>11</v>
      </c>
      <c r="D34" s="307">
        <v>39</v>
      </c>
      <c r="E34" s="305">
        <v>0.9</v>
      </c>
      <c r="F34" s="305">
        <v>0</v>
      </c>
      <c r="G34" s="305">
        <v>0</v>
      </c>
      <c r="H34" s="305">
        <v>0.1</v>
      </c>
      <c r="J34" s="308">
        <v>82</v>
      </c>
      <c r="K34" s="308">
        <v>427</v>
      </c>
      <c r="L34" s="308">
        <v>427</v>
      </c>
      <c r="M34" s="307" t="s">
        <v>324</v>
      </c>
      <c r="N34" s="328">
        <v>427</v>
      </c>
      <c r="O34" s="305">
        <v>0.7</v>
      </c>
      <c r="P34" s="305">
        <f>0.3*0.56</f>
        <v>0.16800000000000001</v>
      </c>
      <c r="Q34" s="305">
        <f>0.3*0.44</f>
        <v>0.13200000000000001</v>
      </c>
      <c r="R34" s="305">
        <v>0</v>
      </c>
      <c r="AC34" s="320">
        <v>138</v>
      </c>
      <c r="AD34" s="320">
        <v>209.60000000000002</v>
      </c>
      <c r="AE34" s="307">
        <v>11</v>
      </c>
      <c r="AF34" s="307">
        <v>31.200000000000003</v>
      </c>
      <c r="AG34" s="305">
        <v>0.9</v>
      </c>
      <c r="AH34" s="305">
        <v>0</v>
      </c>
      <c r="AI34" s="305">
        <v>0</v>
      </c>
      <c r="AJ34" s="305">
        <v>0.1</v>
      </c>
    </row>
    <row r="35" spans="1:36" x14ac:dyDescent="0.25">
      <c r="A35" s="320">
        <v>153</v>
      </c>
      <c r="B35" s="320">
        <v>296</v>
      </c>
      <c r="C35" s="307" t="s">
        <v>324</v>
      </c>
      <c r="D35" s="307">
        <v>296</v>
      </c>
      <c r="E35" s="305">
        <v>0.9</v>
      </c>
      <c r="F35" s="305">
        <v>0</v>
      </c>
      <c r="G35" s="305">
        <v>0</v>
      </c>
      <c r="H35" s="305">
        <v>0.1</v>
      </c>
      <c r="AC35" s="320">
        <v>153</v>
      </c>
      <c r="AD35" s="320">
        <v>236.8</v>
      </c>
      <c r="AE35" s="307" t="s">
        <v>324</v>
      </c>
      <c r="AF35" s="307">
        <v>236.8</v>
      </c>
      <c r="AG35" s="305">
        <v>0.9</v>
      </c>
      <c r="AH35" s="305">
        <v>0</v>
      </c>
      <c r="AI35" s="305">
        <v>0</v>
      </c>
      <c r="AJ35" s="305">
        <v>0.1</v>
      </c>
    </row>
    <row r="37" spans="1:36" x14ac:dyDescent="0.25">
      <c r="A37" s="304" t="s">
        <v>328</v>
      </c>
      <c r="J37" s="304" t="s">
        <v>328</v>
      </c>
      <c r="T37" s="304" t="s">
        <v>328</v>
      </c>
      <c r="AC37" s="304" t="s">
        <v>328</v>
      </c>
    </row>
    <row r="38" spans="1:36" x14ac:dyDescent="0.25">
      <c r="A38" s="317"/>
      <c r="B38" s="316" t="s">
        <v>185</v>
      </c>
      <c r="C38" s="327" t="s">
        <v>186</v>
      </c>
      <c r="D38" s="326"/>
      <c r="E38" s="325" t="s">
        <v>187</v>
      </c>
      <c r="F38" s="324"/>
      <c r="G38" s="324"/>
      <c r="H38" s="323"/>
      <c r="J38" s="317"/>
      <c r="K38" s="317"/>
      <c r="L38" s="316" t="s">
        <v>185</v>
      </c>
      <c r="M38" s="315" t="s">
        <v>186</v>
      </c>
      <c r="N38" s="314"/>
      <c r="O38" s="313" t="s">
        <v>187</v>
      </c>
      <c r="P38" s="312"/>
      <c r="Q38" s="312"/>
      <c r="R38" s="311"/>
      <c r="T38" s="317"/>
      <c r="U38" s="316" t="s">
        <v>185</v>
      </c>
      <c r="V38" s="315" t="s">
        <v>186</v>
      </c>
      <c r="W38" s="314"/>
      <c r="X38" s="313" t="s">
        <v>187</v>
      </c>
      <c r="Y38" s="312"/>
      <c r="Z38" s="312"/>
      <c r="AA38" s="311"/>
      <c r="AC38" s="317"/>
      <c r="AD38" s="316" t="s">
        <v>185</v>
      </c>
      <c r="AE38" s="327" t="s">
        <v>186</v>
      </c>
      <c r="AF38" s="326"/>
      <c r="AG38" s="325" t="s">
        <v>187</v>
      </c>
      <c r="AH38" s="324"/>
      <c r="AI38" s="324"/>
      <c r="AJ38" s="323"/>
    </row>
    <row r="39" spans="1:36" ht="75" x14ac:dyDescent="0.25">
      <c r="A39" s="309" t="s">
        <v>180</v>
      </c>
      <c r="B39" s="310" t="s">
        <v>325</v>
      </c>
      <c r="C39" s="310" t="s">
        <v>188</v>
      </c>
      <c r="D39" s="310" t="s">
        <v>251</v>
      </c>
      <c r="E39" s="309" t="s">
        <v>183</v>
      </c>
      <c r="F39" s="309" t="s">
        <v>181</v>
      </c>
      <c r="G39" s="309" t="s">
        <v>184</v>
      </c>
      <c r="H39" s="309" t="s">
        <v>182</v>
      </c>
      <c r="J39" s="309" t="s">
        <v>180</v>
      </c>
      <c r="K39" s="309"/>
      <c r="L39" s="310" t="s">
        <v>325</v>
      </c>
      <c r="M39" s="310" t="s">
        <v>188</v>
      </c>
      <c r="N39" s="310" t="s">
        <v>251</v>
      </c>
      <c r="O39" s="309" t="s">
        <v>183</v>
      </c>
      <c r="P39" s="309" t="s">
        <v>181</v>
      </c>
      <c r="Q39" s="309" t="s">
        <v>184</v>
      </c>
      <c r="R39" s="309" t="s">
        <v>182</v>
      </c>
      <c r="T39" s="309" t="s">
        <v>180</v>
      </c>
      <c r="U39" s="310" t="s">
        <v>325</v>
      </c>
      <c r="V39" s="310" t="s">
        <v>188</v>
      </c>
      <c r="W39" s="310" t="s">
        <v>251</v>
      </c>
      <c r="X39" s="309" t="s">
        <v>183</v>
      </c>
      <c r="Y39" s="309" t="s">
        <v>181</v>
      </c>
      <c r="Z39" s="309" t="s">
        <v>184</v>
      </c>
      <c r="AA39" s="309" t="s">
        <v>182</v>
      </c>
      <c r="AC39" s="309" t="s">
        <v>180</v>
      </c>
      <c r="AD39" s="310" t="s">
        <v>325</v>
      </c>
      <c r="AE39" s="310" t="s">
        <v>188</v>
      </c>
      <c r="AF39" s="310" t="s">
        <v>251</v>
      </c>
      <c r="AG39" s="309" t="s">
        <v>183</v>
      </c>
      <c r="AH39" s="309" t="s">
        <v>181</v>
      </c>
      <c r="AI39" s="309" t="s">
        <v>184</v>
      </c>
      <c r="AJ39" s="309" t="s">
        <v>182</v>
      </c>
    </row>
    <row r="40" spans="1:36" x14ac:dyDescent="0.25">
      <c r="A40" s="320">
        <v>56</v>
      </c>
      <c r="B40" s="320">
        <v>112</v>
      </c>
      <c r="C40" s="307">
        <v>1</v>
      </c>
      <c r="D40" s="307">
        <v>33</v>
      </c>
      <c r="E40" s="305">
        <v>0</v>
      </c>
      <c r="F40" s="305">
        <v>0</v>
      </c>
      <c r="G40" s="305">
        <v>0</v>
      </c>
      <c r="H40" s="305">
        <v>1</v>
      </c>
      <c r="J40" s="308"/>
      <c r="K40" s="308"/>
      <c r="L40" s="308"/>
      <c r="M40" s="322">
        <v>0</v>
      </c>
      <c r="N40" s="321"/>
      <c r="O40" s="305">
        <v>0</v>
      </c>
      <c r="P40" s="305">
        <f>0.56</f>
        <v>0.56000000000000005</v>
      </c>
      <c r="Q40" s="305">
        <f>0.44</f>
        <v>0.44</v>
      </c>
      <c r="R40" s="305">
        <v>0</v>
      </c>
      <c r="T40" s="308">
        <v>15</v>
      </c>
      <c r="U40" s="306">
        <v>87.663000000000011</v>
      </c>
      <c r="V40" s="307">
        <v>1</v>
      </c>
      <c r="W40" s="306">
        <v>20</v>
      </c>
      <c r="X40" s="305">
        <v>0</v>
      </c>
      <c r="Y40" s="305">
        <v>0</v>
      </c>
      <c r="Z40" s="305">
        <v>0</v>
      </c>
      <c r="AA40" s="305">
        <v>1</v>
      </c>
      <c r="AC40" s="320">
        <v>56</v>
      </c>
      <c r="AD40" s="320">
        <v>89.6</v>
      </c>
      <c r="AE40" s="307">
        <v>1</v>
      </c>
      <c r="AF40" s="307">
        <v>26.400000000000002</v>
      </c>
      <c r="AG40" s="305">
        <v>0</v>
      </c>
      <c r="AH40" s="305">
        <v>0</v>
      </c>
      <c r="AI40" s="305">
        <v>0</v>
      </c>
      <c r="AJ40" s="305">
        <v>1</v>
      </c>
    </row>
    <row r="41" spans="1:36" x14ac:dyDescent="0.25">
      <c r="A41" s="320">
        <v>64</v>
      </c>
      <c r="B41" s="320">
        <v>119</v>
      </c>
      <c r="C41" s="307">
        <v>2</v>
      </c>
      <c r="D41" s="307">
        <v>34</v>
      </c>
      <c r="E41" s="305">
        <v>0</v>
      </c>
      <c r="F41" s="305">
        <v>0</v>
      </c>
      <c r="G41" s="305">
        <v>0</v>
      </c>
      <c r="H41" s="305">
        <v>1</v>
      </c>
      <c r="J41" s="308"/>
      <c r="K41" s="308"/>
      <c r="L41" s="308"/>
      <c r="M41" s="307">
        <v>1</v>
      </c>
      <c r="N41" s="308"/>
      <c r="O41" s="305">
        <v>0</v>
      </c>
      <c r="P41" s="305">
        <f>0.56</f>
        <v>0.56000000000000005</v>
      </c>
      <c r="Q41" s="305">
        <v>0.44</v>
      </c>
      <c r="R41" s="305">
        <v>0</v>
      </c>
      <c r="T41" s="308">
        <v>25</v>
      </c>
      <c r="U41" s="306">
        <v>147.07340000000005</v>
      </c>
      <c r="V41" s="307">
        <v>2</v>
      </c>
      <c r="W41" s="306">
        <v>24.512233333333342</v>
      </c>
      <c r="X41" s="305">
        <v>0.7</v>
      </c>
      <c r="Y41" s="305">
        <v>0</v>
      </c>
      <c r="Z41" s="305">
        <v>0</v>
      </c>
      <c r="AA41" s="305">
        <v>0.3</v>
      </c>
      <c r="AC41" s="320">
        <v>64</v>
      </c>
      <c r="AD41" s="320">
        <v>95.2</v>
      </c>
      <c r="AE41" s="307">
        <v>2</v>
      </c>
      <c r="AF41" s="307">
        <v>27.200000000000003</v>
      </c>
      <c r="AG41" s="305">
        <v>0</v>
      </c>
      <c r="AH41" s="305">
        <v>0</v>
      </c>
      <c r="AI41" s="305">
        <v>0</v>
      </c>
      <c r="AJ41" s="305">
        <v>1</v>
      </c>
    </row>
    <row r="42" spans="1:36" x14ac:dyDescent="0.25">
      <c r="A42" s="320">
        <v>72</v>
      </c>
      <c r="B42" s="320">
        <v>119</v>
      </c>
      <c r="C42" s="307">
        <v>3</v>
      </c>
      <c r="D42" s="307">
        <v>28</v>
      </c>
      <c r="E42" s="305">
        <v>0</v>
      </c>
      <c r="F42" s="305">
        <v>0</v>
      </c>
      <c r="G42" s="305">
        <v>0</v>
      </c>
      <c r="H42" s="305">
        <v>1</v>
      </c>
      <c r="J42" s="308"/>
      <c r="K42" s="308"/>
      <c r="L42" s="308"/>
      <c r="M42" s="307">
        <v>2</v>
      </c>
      <c r="N42" s="308"/>
      <c r="O42" s="305">
        <v>0</v>
      </c>
      <c r="P42" s="305">
        <f>0.56</f>
        <v>0.56000000000000005</v>
      </c>
      <c r="Q42" s="305">
        <f>0.44</f>
        <v>0.44</v>
      </c>
      <c r="R42" s="305">
        <v>0</v>
      </c>
      <c r="T42" s="308">
        <v>35</v>
      </c>
      <c r="U42" s="306">
        <v>222.19556666666676</v>
      </c>
      <c r="V42" s="307">
        <v>3</v>
      </c>
      <c r="W42" s="306">
        <v>37.032594444444463</v>
      </c>
      <c r="X42" s="305">
        <v>0.7</v>
      </c>
      <c r="Y42" s="305">
        <v>0</v>
      </c>
      <c r="Z42" s="305">
        <v>0</v>
      </c>
      <c r="AA42" s="305">
        <v>0.3</v>
      </c>
      <c r="AC42" s="320">
        <v>72</v>
      </c>
      <c r="AD42" s="320">
        <v>95.2</v>
      </c>
      <c r="AE42" s="307">
        <v>3</v>
      </c>
      <c r="AF42" s="307">
        <v>22.400000000000002</v>
      </c>
      <c r="AG42" s="305">
        <v>0</v>
      </c>
      <c r="AH42" s="305">
        <v>0</v>
      </c>
      <c r="AI42" s="305">
        <v>0</v>
      </c>
      <c r="AJ42" s="305">
        <v>1</v>
      </c>
    </row>
    <row r="43" spans="1:36" x14ac:dyDescent="0.25">
      <c r="A43" s="320">
        <v>81</v>
      </c>
      <c r="B43" s="320">
        <v>122</v>
      </c>
      <c r="C43" s="307">
        <v>4</v>
      </c>
      <c r="D43" s="307">
        <v>26</v>
      </c>
      <c r="E43" s="305">
        <v>0.7</v>
      </c>
      <c r="F43" s="305">
        <v>0</v>
      </c>
      <c r="G43" s="305">
        <v>0</v>
      </c>
      <c r="H43" s="305">
        <v>0.3</v>
      </c>
      <c r="J43" s="308"/>
      <c r="K43" s="308"/>
      <c r="L43" s="308"/>
      <c r="M43" s="307">
        <v>3</v>
      </c>
      <c r="N43" s="308"/>
      <c r="O43" s="305">
        <v>0</v>
      </c>
      <c r="P43" s="305">
        <f>0.56</f>
        <v>0.56000000000000005</v>
      </c>
      <c r="Q43" s="305">
        <f>0.44</f>
        <v>0.44</v>
      </c>
      <c r="R43" s="305">
        <v>0</v>
      </c>
      <c r="T43" s="308">
        <v>45</v>
      </c>
      <c r="U43" s="306">
        <v>305.02137222222223</v>
      </c>
      <c r="V43" s="307">
        <v>4</v>
      </c>
      <c r="W43" s="306">
        <v>50.836895370370371</v>
      </c>
      <c r="X43" s="305">
        <v>0.7</v>
      </c>
      <c r="Y43" s="305">
        <v>0</v>
      </c>
      <c r="Z43" s="305">
        <v>0</v>
      </c>
      <c r="AA43" s="305">
        <v>0.3</v>
      </c>
      <c r="AC43" s="320">
        <v>81</v>
      </c>
      <c r="AD43" s="320">
        <v>97.600000000000009</v>
      </c>
      <c r="AE43" s="307">
        <v>4</v>
      </c>
      <c r="AF43" s="307">
        <v>20.8</v>
      </c>
      <c r="AG43" s="305">
        <v>0.7</v>
      </c>
      <c r="AH43" s="305">
        <v>0</v>
      </c>
      <c r="AI43" s="305">
        <v>0</v>
      </c>
      <c r="AJ43" s="305">
        <v>0.3</v>
      </c>
    </row>
    <row r="44" spans="1:36" x14ac:dyDescent="0.25">
      <c r="A44" s="320">
        <v>90</v>
      </c>
      <c r="B44" s="320">
        <v>125</v>
      </c>
      <c r="C44" s="307">
        <v>5</v>
      </c>
      <c r="D44" s="307">
        <v>22</v>
      </c>
      <c r="E44" s="305">
        <v>0.7</v>
      </c>
      <c r="F44" s="305">
        <v>0</v>
      </c>
      <c r="G44" s="305">
        <v>0</v>
      </c>
      <c r="H44" s="305">
        <v>0.3</v>
      </c>
      <c r="J44" s="308"/>
      <c r="K44" s="308"/>
      <c r="L44" s="308"/>
      <c r="M44" s="307">
        <v>4</v>
      </c>
      <c r="N44" s="308"/>
      <c r="O44" s="305">
        <v>0.7</v>
      </c>
      <c r="P44" s="305">
        <f>0.3*0.56</f>
        <v>0.16800000000000001</v>
      </c>
      <c r="Q44" s="305">
        <f>0.3*0.44</f>
        <v>0.13200000000000001</v>
      </c>
      <c r="R44" s="305">
        <v>0</v>
      </c>
      <c r="T44" s="308">
        <v>55</v>
      </c>
      <c r="U44" s="306">
        <v>387.79947685185181</v>
      </c>
      <c r="V44" s="307" t="s">
        <v>324</v>
      </c>
      <c r="W44" s="306">
        <v>387.79947685185181</v>
      </c>
      <c r="X44" s="305">
        <v>0.9</v>
      </c>
      <c r="Y44" s="305">
        <v>0</v>
      </c>
      <c r="Z44" s="305">
        <v>0</v>
      </c>
      <c r="AA44" s="305">
        <v>0.1</v>
      </c>
      <c r="AC44" s="320">
        <v>90</v>
      </c>
      <c r="AD44" s="320">
        <v>100</v>
      </c>
      <c r="AE44" s="307">
        <v>5</v>
      </c>
      <c r="AF44" s="307">
        <v>17.600000000000001</v>
      </c>
      <c r="AG44" s="305">
        <v>0.7</v>
      </c>
      <c r="AH44" s="305">
        <v>0</v>
      </c>
      <c r="AI44" s="305">
        <v>0</v>
      </c>
      <c r="AJ44" s="305">
        <v>0.3</v>
      </c>
    </row>
    <row r="45" spans="1:36" x14ac:dyDescent="0.25">
      <c r="A45" s="320">
        <v>100</v>
      </c>
      <c r="B45" s="320">
        <v>134</v>
      </c>
      <c r="C45" s="307">
        <v>6</v>
      </c>
      <c r="D45" s="307">
        <v>22</v>
      </c>
      <c r="E45" s="305">
        <v>0.7</v>
      </c>
      <c r="F45" s="305">
        <v>0</v>
      </c>
      <c r="G45" s="305">
        <v>0</v>
      </c>
      <c r="H45" s="305">
        <v>0.3</v>
      </c>
      <c r="J45" s="308"/>
      <c r="K45" s="308"/>
      <c r="L45" s="308"/>
      <c r="M45" s="307">
        <v>5</v>
      </c>
      <c r="N45" s="308"/>
      <c r="O45" s="305">
        <v>0.7</v>
      </c>
      <c r="P45" s="305">
        <f>0.3*0.56</f>
        <v>0.16800000000000001</v>
      </c>
      <c r="Q45" s="305">
        <f>0.3*0.44</f>
        <v>0.13200000000000001</v>
      </c>
      <c r="R45" s="305">
        <v>0</v>
      </c>
      <c r="AC45" s="320">
        <v>100</v>
      </c>
      <c r="AD45" s="320">
        <v>107.2</v>
      </c>
      <c r="AE45" s="307">
        <v>6</v>
      </c>
      <c r="AF45" s="307">
        <v>17.600000000000001</v>
      </c>
      <c r="AG45" s="305">
        <v>0.7</v>
      </c>
      <c r="AH45" s="305">
        <v>0</v>
      </c>
      <c r="AI45" s="305">
        <v>0</v>
      </c>
      <c r="AJ45" s="305">
        <v>0.3</v>
      </c>
    </row>
    <row r="46" spans="1:36" x14ac:dyDescent="0.25">
      <c r="A46" s="320">
        <v>110</v>
      </c>
      <c r="B46" s="320">
        <v>147</v>
      </c>
      <c r="C46" s="307">
        <v>7</v>
      </c>
      <c r="D46" s="307">
        <v>24</v>
      </c>
      <c r="E46" s="305">
        <v>0.7</v>
      </c>
      <c r="F46" s="305">
        <v>0</v>
      </c>
      <c r="G46" s="305">
        <v>0</v>
      </c>
      <c r="H46" s="305">
        <v>0.3</v>
      </c>
      <c r="J46" s="308"/>
      <c r="K46" s="308"/>
      <c r="L46" s="308"/>
      <c r="M46" s="307">
        <v>6</v>
      </c>
      <c r="N46" s="308"/>
      <c r="O46" s="305">
        <v>0.7</v>
      </c>
      <c r="P46" s="305">
        <f>0.3*0.56</f>
        <v>0.16800000000000001</v>
      </c>
      <c r="Q46" s="305">
        <f>0.3*0.44</f>
        <v>0.13200000000000001</v>
      </c>
      <c r="R46" s="305">
        <v>0</v>
      </c>
      <c r="AC46" s="320">
        <v>110</v>
      </c>
      <c r="AD46" s="320">
        <v>117.60000000000001</v>
      </c>
      <c r="AE46" s="307">
        <v>7</v>
      </c>
      <c r="AF46" s="307">
        <v>19.200000000000003</v>
      </c>
      <c r="AG46" s="305">
        <v>0.7</v>
      </c>
      <c r="AH46" s="305">
        <v>0</v>
      </c>
      <c r="AI46" s="305">
        <v>0</v>
      </c>
      <c r="AJ46" s="305">
        <v>0.3</v>
      </c>
    </row>
    <row r="47" spans="1:36" x14ac:dyDescent="0.25">
      <c r="A47" s="320">
        <v>122</v>
      </c>
      <c r="B47" s="320">
        <v>159</v>
      </c>
      <c r="C47" s="307">
        <v>8</v>
      </c>
      <c r="D47" s="307">
        <v>25</v>
      </c>
      <c r="E47" s="305">
        <v>0.9</v>
      </c>
      <c r="F47" s="305">
        <v>0</v>
      </c>
      <c r="G47" s="305">
        <v>0</v>
      </c>
      <c r="H47" s="305">
        <v>0.1</v>
      </c>
      <c r="J47" s="308"/>
      <c r="K47" s="308"/>
      <c r="L47" s="308"/>
      <c r="M47" s="307">
        <v>7</v>
      </c>
      <c r="N47" s="308"/>
      <c r="O47" s="305">
        <v>0.7</v>
      </c>
      <c r="P47" s="305">
        <f>0.3*0.56</f>
        <v>0.16800000000000001</v>
      </c>
      <c r="Q47" s="305">
        <f>0.3*0.44</f>
        <v>0.13200000000000001</v>
      </c>
      <c r="R47" s="305">
        <v>0</v>
      </c>
      <c r="AC47" s="320">
        <v>122</v>
      </c>
      <c r="AD47" s="320">
        <v>127.2</v>
      </c>
      <c r="AE47" s="307">
        <v>8</v>
      </c>
      <c r="AF47" s="307">
        <v>20</v>
      </c>
      <c r="AG47" s="305">
        <v>0.9</v>
      </c>
      <c r="AH47" s="305">
        <v>0</v>
      </c>
      <c r="AI47" s="305">
        <v>0</v>
      </c>
      <c r="AJ47" s="305">
        <v>0.1</v>
      </c>
    </row>
    <row r="48" spans="1:36" x14ac:dyDescent="0.25">
      <c r="A48" s="320">
        <v>134</v>
      </c>
      <c r="B48" s="320">
        <v>171</v>
      </c>
      <c r="C48" s="307">
        <v>9</v>
      </c>
      <c r="D48" s="307">
        <v>26</v>
      </c>
      <c r="E48" s="305">
        <v>0.9</v>
      </c>
      <c r="F48" s="305">
        <v>0</v>
      </c>
      <c r="G48" s="305">
        <v>0</v>
      </c>
      <c r="H48" s="305">
        <v>0.1</v>
      </c>
      <c r="J48" s="308"/>
      <c r="K48" s="308"/>
      <c r="L48" s="308"/>
      <c r="M48" s="307">
        <v>8</v>
      </c>
      <c r="N48" s="308"/>
      <c r="O48" s="305">
        <v>0.7</v>
      </c>
      <c r="P48" s="305">
        <f>0.3*0.56</f>
        <v>0.16800000000000001</v>
      </c>
      <c r="Q48" s="305">
        <f>0.3*0.44</f>
        <v>0.13200000000000001</v>
      </c>
      <c r="R48" s="305">
        <v>0</v>
      </c>
      <c r="AC48" s="320">
        <v>134</v>
      </c>
      <c r="AD48" s="320">
        <v>136.80000000000001</v>
      </c>
      <c r="AE48" s="307">
        <v>9</v>
      </c>
      <c r="AF48" s="307">
        <v>20.8</v>
      </c>
      <c r="AG48" s="305">
        <v>0.9</v>
      </c>
      <c r="AH48" s="305">
        <v>0</v>
      </c>
      <c r="AI48" s="305">
        <v>0</v>
      </c>
      <c r="AJ48" s="305">
        <v>0.1</v>
      </c>
    </row>
    <row r="49" spans="1:36" x14ac:dyDescent="0.25">
      <c r="A49" s="320">
        <v>148</v>
      </c>
      <c r="B49" s="320">
        <v>189</v>
      </c>
      <c r="C49" s="307">
        <v>10</v>
      </c>
      <c r="D49" s="307">
        <v>30</v>
      </c>
      <c r="E49" s="305">
        <v>0.9</v>
      </c>
      <c r="F49" s="305">
        <v>0</v>
      </c>
      <c r="G49" s="305">
        <v>0</v>
      </c>
      <c r="H49" s="305">
        <v>0.1</v>
      </c>
      <c r="J49" s="308"/>
      <c r="K49" s="308"/>
      <c r="L49" s="308"/>
      <c r="M49" s="307" t="s">
        <v>324</v>
      </c>
      <c r="N49" s="308"/>
      <c r="O49" s="305">
        <v>0.7</v>
      </c>
      <c r="P49" s="305">
        <f>0.3*0.56</f>
        <v>0.16800000000000001</v>
      </c>
      <c r="Q49" s="305">
        <f>0.3*0.44</f>
        <v>0.13200000000000001</v>
      </c>
      <c r="R49" s="305">
        <v>0</v>
      </c>
      <c r="AC49" s="320">
        <v>148</v>
      </c>
      <c r="AD49" s="320">
        <v>151.20000000000002</v>
      </c>
      <c r="AE49" s="307">
        <v>10</v>
      </c>
      <c r="AF49" s="307">
        <v>24</v>
      </c>
      <c r="AG49" s="305">
        <v>0.9</v>
      </c>
      <c r="AH49" s="305">
        <v>0</v>
      </c>
      <c r="AI49" s="305">
        <v>0</v>
      </c>
      <c r="AJ49" s="305">
        <v>0.1</v>
      </c>
    </row>
    <row r="50" spans="1:36" x14ac:dyDescent="0.25">
      <c r="A50" s="320">
        <v>162</v>
      </c>
      <c r="B50" s="320">
        <v>212</v>
      </c>
      <c r="C50" s="307">
        <v>11</v>
      </c>
      <c r="D50" s="307">
        <v>37</v>
      </c>
      <c r="E50" s="305">
        <v>0.9</v>
      </c>
      <c r="F50" s="305">
        <v>0</v>
      </c>
      <c r="G50" s="305">
        <v>0</v>
      </c>
      <c r="H50" s="305">
        <v>0.1</v>
      </c>
      <c r="T50" s="317" t="s">
        <v>327</v>
      </c>
      <c r="U50" s="316" t="s">
        <v>185</v>
      </c>
      <c r="V50" s="315" t="s">
        <v>186</v>
      </c>
      <c r="W50" s="314"/>
      <c r="X50" s="313" t="s">
        <v>187</v>
      </c>
      <c r="Y50" s="312"/>
      <c r="Z50" s="312"/>
      <c r="AA50" s="311"/>
      <c r="AC50" s="320">
        <v>162</v>
      </c>
      <c r="AD50" s="320">
        <v>169.60000000000002</v>
      </c>
      <c r="AE50" s="307">
        <v>11</v>
      </c>
      <c r="AF50" s="307">
        <v>29.6</v>
      </c>
      <c r="AG50" s="305">
        <v>0.9</v>
      </c>
      <c r="AH50" s="305">
        <v>0</v>
      </c>
      <c r="AI50" s="305">
        <v>0</v>
      </c>
      <c r="AJ50" s="305">
        <v>0.1</v>
      </c>
    </row>
    <row r="51" spans="1:36" ht="75" x14ac:dyDescent="0.25">
      <c r="A51" s="320">
        <v>177</v>
      </c>
      <c r="B51" s="320">
        <v>230</v>
      </c>
      <c r="C51" s="307" t="s">
        <v>324</v>
      </c>
      <c r="D51" s="307">
        <v>230</v>
      </c>
      <c r="E51" s="305">
        <v>0.9</v>
      </c>
      <c r="F51" s="305">
        <v>0</v>
      </c>
      <c r="G51" s="305">
        <v>0</v>
      </c>
      <c r="H51" s="305">
        <v>0.1</v>
      </c>
      <c r="T51" s="309" t="s">
        <v>180</v>
      </c>
      <c r="U51" s="310" t="s">
        <v>325</v>
      </c>
      <c r="V51" s="310" t="s">
        <v>188</v>
      </c>
      <c r="W51" s="310" t="s">
        <v>251</v>
      </c>
      <c r="X51" s="309" t="s">
        <v>183</v>
      </c>
      <c r="Y51" s="309" t="s">
        <v>181</v>
      </c>
      <c r="Z51" s="309" t="s">
        <v>184</v>
      </c>
      <c r="AA51" s="309" t="s">
        <v>182</v>
      </c>
      <c r="AC51" s="320">
        <v>177</v>
      </c>
      <c r="AD51" s="320">
        <v>184</v>
      </c>
      <c r="AE51" s="307" t="s">
        <v>324</v>
      </c>
      <c r="AF51" s="307">
        <v>184</v>
      </c>
      <c r="AG51" s="305">
        <v>0.9</v>
      </c>
      <c r="AH51" s="305">
        <v>0</v>
      </c>
      <c r="AI51" s="305">
        <v>0</v>
      </c>
      <c r="AJ51" s="305">
        <v>0.1</v>
      </c>
    </row>
    <row r="52" spans="1:36" x14ac:dyDescent="0.25">
      <c r="T52" s="308">
        <v>15</v>
      </c>
      <c r="U52" s="306">
        <v>64.884</v>
      </c>
      <c r="V52" s="307">
        <v>1</v>
      </c>
      <c r="W52" s="306">
        <v>10.814</v>
      </c>
      <c r="X52" s="305">
        <v>0</v>
      </c>
      <c r="Y52" s="305">
        <v>0</v>
      </c>
      <c r="Z52" s="305">
        <v>0</v>
      </c>
      <c r="AA52" s="305">
        <v>1</v>
      </c>
    </row>
    <row r="53" spans="1:36" x14ac:dyDescent="0.25">
      <c r="T53" s="308">
        <v>25</v>
      </c>
      <c r="U53" s="306">
        <v>117.38600000000002</v>
      </c>
      <c r="V53" s="307">
        <v>2</v>
      </c>
      <c r="W53" s="306">
        <v>19.564333333333337</v>
      </c>
      <c r="X53" s="305">
        <v>0.7</v>
      </c>
      <c r="Y53" s="305">
        <v>0</v>
      </c>
      <c r="Z53" s="305">
        <v>0</v>
      </c>
      <c r="AA53" s="305">
        <v>0.3</v>
      </c>
    </row>
    <row r="54" spans="1:36" x14ac:dyDescent="0.25">
      <c r="T54" s="308">
        <v>35</v>
      </c>
      <c r="U54" s="306">
        <v>177.18566666666672</v>
      </c>
      <c r="V54" s="307">
        <v>3</v>
      </c>
      <c r="W54" s="306">
        <v>29.530944444444454</v>
      </c>
      <c r="X54" s="305">
        <v>0.7</v>
      </c>
      <c r="Y54" s="305">
        <v>0</v>
      </c>
      <c r="Z54" s="305">
        <v>0</v>
      </c>
      <c r="AA54" s="305">
        <v>0.3</v>
      </c>
    </row>
    <row r="55" spans="1:36" x14ac:dyDescent="0.25">
      <c r="T55" s="308">
        <v>45</v>
      </c>
      <c r="U55" s="306">
        <v>243.06672222222224</v>
      </c>
      <c r="V55" s="307">
        <v>4</v>
      </c>
      <c r="W55" s="306">
        <v>40.511120370370378</v>
      </c>
      <c r="X55" s="305">
        <v>0.7</v>
      </c>
      <c r="Y55" s="305">
        <v>0</v>
      </c>
      <c r="Z55" s="305">
        <v>0</v>
      </c>
      <c r="AA55" s="305">
        <v>0.3</v>
      </c>
    </row>
    <row r="56" spans="1:36" x14ac:dyDescent="0.25">
      <c r="T56" s="308">
        <v>55</v>
      </c>
      <c r="U56" s="306">
        <v>314.0156018518519</v>
      </c>
      <c r="V56" s="307" t="s">
        <v>324</v>
      </c>
      <c r="W56" s="306">
        <v>314.0156018518519</v>
      </c>
      <c r="X56" s="305">
        <v>0.7</v>
      </c>
      <c r="Y56" s="305">
        <v>0</v>
      </c>
      <c r="Z56" s="305">
        <v>0</v>
      </c>
      <c r="AA56" s="305">
        <v>0.3</v>
      </c>
    </row>
    <row r="57" spans="1:36" x14ac:dyDescent="0.25">
      <c r="V57" s="319"/>
      <c r="X57" s="318"/>
      <c r="Y57" s="318"/>
      <c r="Z57" s="318"/>
      <c r="AA57" s="318"/>
    </row>
    <row r="61" spans="1:36" x14ac:dyDescent="0.25">
      <c r="T61" s="304" t="s">
        <v>326</v>
      </c>
    </row>
    <row r="62" spans="1:36" x14ac:dyDescent="0.25">
      <c r="T62" s="317"/>
      <c r="U62" s="316" t="s">
        <v>185</v>
      </c>
      <c r="V62" s="315" t="s">
        <v>186</v>
      </c>
      <c r="W62" s="314"/>
      <c r="X62" s="313" t="s">
        <v>187</v>
      </c>
      <c r="Y62" s="312"/>
      <c r="Z62" s="312"/>
      <c r="AA62" s="311"/>
    </row>
    <row r="63" spans="1:36" ht="75" x14ac:dyDescent="0.25">
      <c r="T63" s="309" t="s">
        <v>180</v>
      </c>
      <c r="U63" s="310" t="s">
        <v>325</v>
      </c>
      <c r="V63" s="310" t="s">
        <v>188</v>
      </c>
      <c r="W63" s="310" t="s">
        <v>251</v>
      </c>
      <c r="X63" s="309" t="s">
        <v>183</v>
      </c>
      <c r="Y63" s="309" t="s">
        <v>181</v>
      </c>
      <c r="Z63" s="309" t="s">
        <v>184</v>
      </c>
      <c r="AA63" s="309" t="s">
        <v>182</v>
      </c>
    </row>
    <row r="64" spans="1:36" x14ac:dyDescent="0.25">
      <c r="T64" s="308">
        <v>15</v>
      </c>
      <c r="U64" s="306">
        <v>47.592000000000006</v>
      </c>
      <c r="V64" s="307">
        <v>1</v>
      </c>
      <c r="W64" s="306">
        <v>7.9320000000000013</v>
      </c>
      <c r="X64" s="305">
        <v>0</v>
      </c>
      <c r="Y64" s="305">
        <v>0</v>
      </c>
      <c r="Z64" s="305">
        <v>0</v>
      </c>
      <c r="AA64" s="305">
        <v>1</v>
      </c>
    </row>
    <row r="65" spans="20:27" x14ac:dyDescent="0.25">
      <c r="T65" s="308">
        <v>25</v>
      </c>
      <c r="U65" s="306">
        <v>86.968000000000018</v>
      </c>
      <c r="V65" s="307">
        <v>2</v>
      </c>
      <c r="W65" s="306">
        <v>14.494666666666669</v>
      </c>
      <c r="X65" s="305">
        <v>0.7</v>
      </c>
      <c r="Y65" s="305">
        <v>0</v>
      </c>
      <c r="Z65" s="305">
        <v>0</v>
      </c>
      <c r="AA65" s="305">
        <v>0.3</v>
      </c>
    </row>
    <row r="66" spans="20:27" x14ac:dyDescent="0.25">
      <c r="T66" s="308">
        <v>35</v>
      </c>
      <c r="U66" s="306">
        <v>132.24533333333335</v>
      </c>
      <c r="V66" s="307">
        <v>3</v>
      </c>
      <c r="W66" s="306">
        <v>22.04088888888889</v>
      </c>
      <c r="X66" s="305">
        <v>0.7</v>
      </c>
      <c r="Y66" s="305">
        <v>0</v>
      </c>
      <c r="Z66" s="305">
        <v>0</v>
      </c>
      <c r="AA66" s="305">
        <v>0.3</v>
      </c>
    </row>
    <row r="67" spans="20:27" x14ac:dyDescent="0.25">
      <c r="T67" s="308">
        <v>45</v>
      </c>
      <c r="U67" s="306">
        <v>182.44044444444449</v>
      </c>
      <c r="V67" s="307">
        <v>4</v>
      </c>
      <c r="W67" s="306">
        <v>30.406740740740748</v>
      </c>
      <c r="X67" s="305">
        <v>0.9</v>
      </c>
      <c r="Y67" s="305">
        <v>0</v>
      </c>
      <c r="Z67" s="305">
        <v>0</v>
      </c>
      <c r="AA67" s="305">
        <v>0.1</v>
      </c>
    </row>
    <row r="68" spans="20:27" x14ac:dyDescent="0.25">
      <c r="T68" s="308">
        <v>55</v>
      </c>
      <c r="U68" s="306">
        <v>236.7337037037037</v>
      </c>
      <c r="V68" s="307" t="s">
        <v>324</v>
      </c>
      <c r="W68" s="306">
        <v>236.7337037037037</v>
      </c>
      <c r="X68" s="305">
        <v>0.9</v>
      </c>
      <c r="Y68" s="305">
        <v>0</v>
      </c>
      <c r="Z68" s="305">
        <v>0</v>
      </c>
      <c r="AA68" s="305">
        <v>0.1</v>
      </c>
    </row>
  </sheetData>
  <mergeCells count="20">
    <mergeCell ref="C38:D38"/>
    <mergeCell ref="E38:H38"/>
    <mergeCell ref="AE38:AF38"/>
    <mergeCell ref="AG38:AJ38"/>
    <mergeCell ref="AE6:AF6"/>
    <mergeCell ref="AG6:AJ6"/>
    <mergeCell ref="C22:D22"/>
    <mergeCell ref="E22:H22"/>
    <mergeCell ref="AE22:AF22"/>
    <mergeCell ref="AG22:AJ22"/>
    <mergeCell ref="T1:AA1"/>
    <mergeCell ref="AC1:AJ1"/>
    <mergeCell ref="A3:H3"/>
    <mergeCell ref="AC3:AJ3"/>
    <mergeCell ref="C6:D6"/>
    <mergeCell ref="E6:H6"/>
    <mergeCell ref="M6:N6"/>
    <mergeCell ref="O6:R6"/>
    <mergeCell ref="A1:H1"/>
    <mergeCell ref="J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TP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BOUREL Clément</cp:lastModifiedBy>
  <dcterms:created xsi:type="dcterms:W3CDTF">2021-02-01T08:22:39Z</dcterms:created>
  <dcterms:modified xsi:type="dcterms:W3CDTF">2025-05-16T15:24:56Z</dcterms:modified>
</cp:coreProperties>
</file>